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G:\Upphandling\Upphandlingar\Digitala enheter för arbetsplats och skola\Digitala enheter för arbetsplats och skola 2019 (10426)\15. Avropsstöd\Avropsverktyg för dynamisk rangordning\"/>
    </mc:Choice>
  </mc:AlternateContent>
  <xr:revisionPtr revIDLastSave="0" documentId="8_{1F191FD5-6E7A-49BC-B71A-4F51D2B8E6B8}" xr6:coauthVersionLast="47" xr6:coauthVersionMax="47" xr10:uidLastSave="{00000000-0000-0000-0000-000000000000}"/>
  <workbookProtection workbookAlgorithmName="SHA-512" workbookHashValue="IH4tQlahZvJpk0wHZ8F8eGBppQjetEK+KU3DdZCPH5aKdZes3GJ1QLzeaU1NRbBnSkk4wHaqyngx5eRPJWC6yA==" workbookSaltValue="SfeDlSB3lVf4PE3xwCgiIQ==" workbookSpinCount="100000" lockStructure="1"/>
  <bookViews>
    <workbookView xWindow="-110" yWindow="-110" windowWidth="19420" windowHeight="10420" tabRatio="717" firstSheet="1" activeTab="1" xr2:uid="{00000000-000D-0000-FFFF-FFFF00000000}"/>
  </bookViews>
  <sheets>
    <sheet name="Instruktionsflik" sheetId="56" r:id="rId1"/>
    <sheet name="Bärbara datorer (A)" sheetId="35" r:id="rId2"/>
    <sheet name="Kontaktuppgifter" sheetId="71" state="hidden" r:id="rId3"/>
    <sheet name="Bärbara datorer (B)" sheetId="64" r:id="rId4"/>
    <sheet name="Surfplattor" sheetId="65" r:id="rId5"/>
    <sheet name="Bildskärmar" sheetId="66" r:id="rId6"/>
    <sheet name="Tillbehör" sheetId="33" r:id="rId7"/>
    <sheet name="Överblick" sheetId="58" r:id="rId8"/>
    <sheet name="Sammanfattning" sheetId="68" r:id="rId9"/>
    <sheet name="Sammanfattning diskussion" sheetId="69" state="hidden" r:id="rId10"/>
    <sheet name="Sheet1" sheetId="70" state="hidden" r:id="rId11"/>
    <sheet name="Databas" sheetId="30" state="hidden" r:id="rId12"/>
    <sheet name="TillbehörDB" sheetId="63" state="hidden" r:id="rId13"/>
    <sheet name="Processor" sheetId="67" state="hidden" r:id="rId14"/>
  </sheets>
  <definedNames>
    <definedName name="_xlnm._FilterDatabase" localSheetId="5" hidden="1">Bildskärmar!$Q$11:$CA$327</definedName>
    <definedName name="_xlnm._FilterDatabase" localSheetId="1" hidden="1">'Bärbara datorer (A)'!$Q$11:$CU$476</definedName>
    <definedName name="_xlnm._FilterDatabase" localSheetId="3" hidden="1">'Bärbara datorer (B)'!$AN$11:$BE$48</definedName>
    <definedName name="_xlnm._FilterDatabase" localSheetId="11" hidden="1">Databas!$A$10:$BZ$122</definedName>
    <definedName name="_xlnm._FilterDatabase" localSheetId="4" hidden="1">Surfplattor!$K$11:$CT$437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3" l="1"/>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79" i="63"/>
  <c r="D80" i="63"/>
  <c r="D81" i="63"/>
  <c r="D82" i="63"/>
  <c r="D83" i="63"/>
  <c r="D84" i="63"/>
  <c r="D85" i="63"/>
  <c r="D86" i="63"/>
  <c r="D87" i="63"/>
  <c r="D88" i="63"/>
  <c r="D89" i="63"/>
  <c r="D90" i="63"/>
  <c r="D91" i="63"/>
  <c r="D92" i="63"/>
  <c r="D93" i="63"/>
  <c r="D94" i="63"/>
  <c r="D95" i="63"/>
  <c r="D96" i="63"/>
  <c r="D97" i="63"/>
  <c r="D98" i="63"/>
  <c r="D99" i="63"/>
  <c r="D100" i="63"/>
  <c r="D101" i="63"/>
  <c r="D102" i="63"/>
  <c r="D103" i="63"/>
  <c r="D104" i="63"/>
  <c r="D105" i="63"/>
  <c r="D106" i="63"/>
  <c r="D11" i="63"/>
  <c r="AC161" i="35"/>
  <c r="AC114" i="35"/>
  <c r="AF300" i="66" l="1"/>
  <c r="AF269" i="66"/>
  <c r="AF237" i="66"/>
  <c r="AF203" i="66"/>
  <c r="AF172" i="66"/>
  <c r="AF138" i="66"/>
  <c r="AF107" i="66"/>
  <c r="AF75" i="66"/>
  <c r="AF41" i="66"/>
  <c r="AF10" i="66"/>
  <c r="AF311" i="66"/>
  <c r="AF310" i="66"/>
  <c r="AF309" i="66"/>
  <c r="AF308" i="66"/>
  <c r="AF307" i="66"/>
  <c r="AF306" i="66"/>
  <c r="AF305" i="66"/>
  <c r="AF304" i="66"/>
  <c r="AF303" i="66"/>
  <c r="AF302" i="66"/>
  <c r="AF280" i="66"/>
  <c r="AF279" i="66"/>
  <c r="AF278" i="66"/>
  <c r="AF277" i="66"/>
  <c r="AF276" i="66"/>
  <c r="AF275" i="66"/>
  <c r="AF274" i="66"/>
  <c r="AF273" i="66"/>
  <c r="AF272" i="66"/>
  <c r="AF271" i="66"/>
  <c r="AF248" i="66"/>
  <c r="AF247" i="66"/>
  <c r="AF246" i="66"/>
  <c r="AF245" i="66"/>
  <c r="AF244" i="66"/>
  <c r="AF243" i="66"/>
  <c r="AF242" i="66"/>
  <c r="AF241" i="66"/>
  <c r="AF240" i="66"/>
  <c r="AF239" i="66"/>
  <c r="AF214" i="66"/>
  <c r="AF213" i="66"/>
  <c r="AF212" i="66"/>
  <c r="AF211" i="66"/>
  <c r="AF210" i="66"/>
  <c r="AF209" i="66"/>
  <c r="AF208" i="66"/>
  <c r="AF207" i="66"/>
  <c r="AF206" i="66"/>
  <c r="AF205" i="66"/>
  <c r="AF183" i="66"/>
  <c r="AF182" i="66"/>
  <c r="AF181" i="66"/>
  <c r="AF180" i="66"/>
  <c r="AF179" i="66"/>
  <c r="AF178" i="66"/>
  <c r="AF177" i="66"/>
  <c r="AF176" i="66"/>
  <c r="AF175" i="66"/>
  <c r="AF174" i="66"/>
  <c r="AF149" i="66"/>
  <c r="AF148" i="66"/>
  <c r="AF147" i="66"/>
  <c r="AF146" i="66"/>
  <c r="AF145" i="66"/>
  <c r="AF144" i="66"/>
  <c r="AF143" i="66"/>
  <c r="AF142" i="66"/>
  <c r="AF141" i="66"/>
  <c r="AF140" i="66"/>
  <c r="AF118" i="66"/>
  <c r="AF117" i="66"/>
  <c r="AF116" i="66"/>
  <c r="AF115" i="66"/>
  <c r="AF114" i="66"/>
  <c r="AF113" i="66"/>
  <c r="AF112" i="66"/>
  <c r="AF111" i="66"/>
  <c r="AF110" i="66"/>
  <c r="AF109" i="66"/>
  <c r="AF86" i="66"/>
  <c r="AF85" i="66"/>
  <c r="AF84" i="66"/>
  <c r="AF83" i="66"/>
  <c r="AF82" i="66"/>
  <c r="AF81" i="66"/>
  <c r="AF80" i="66"/>
  <c r="AF79" i="66"/>
  <c r="AF78" i="66"/>
  <c r="AF77" i="66"/>
  <c r="AF52" i="66"/>
  <c r="AF51" i="66"/>
  <c r="AF50" i="66"/>
  <c r="AF49" i="66"/>
  <c r="AF48" i="66"/>
  <c r="AF47" i="66"/>
  <c r="AF46" i="66"/>
  <c r="AF45" i="66"/>
  <c r="AF44" i="66"/>
  <c r="AF43" i="66"/>
  <c r="AF21" i="66"/>
  <c r="AF20" i="66"/>
  <c r="AF19" i="66"/>
  <c r="AF18" i="66"/>
  <c r="AF17" i="66"/>
  <c r="AF16" i="66"/>
  <c r="AF15" i="66"/>
  <c r="AF14" i="66"/>
  <c r="AF13" i="66"/>
  <c r="AF12" i="66"/>
  <c r="AJ403" i="64"/>
  <c r="AJ402" i="64"/>
  <c r="AJ401" i="64"/>
  <c r="AJ400" i="64"/>
  <c r="AJ399" i="64"/>
  <c r="AJ398" i="64"/>
  <c r="AJ397" i="64"/>
  <c r="AJ396" i="64"/>
  <c r="AJ395" i="64"/>
  <c r="AJ394" i="64"/>
  <c r="AJ360" i="64"/>
  <c r="AJ359" i="64"/>
  <c r="AJ358" i="64"/>
  <c r="AJ357" i="64"/>
  <c r="AJ356" i="64"/>
  <c r="AJ355" i="64"/>
  <c r="AJ354" i="64"/>
  <c r="AJ353" i="64"/>
  <c r="AJ352" i="64"/>
  <c r="AJ351" i="64"/>
  <c r="AJ318" i="64"/>
  <c r="AJ317" i="64"/>
  <c r="AJ316" i="64"/>
  <c r="AJ315" i="64"/>
  <c r="AJ314" i="64"/>
  <c r="AJ313" i="64"/>
  <c r="AJ312" i="64"/>
  <c r="AJ311" i="64"/>
  <c r="AJ310" i="64"/>
  <c r="AJ309" i="64"/>
  <c r="AJ275" i="64"/>
  <c r="AJ274" i="64"/>
  <c r="AJ273" i="64"/>
  <c r="AJ272" i="64"/>
  <c r="AJ271" i="64"/>
  <c r="AJ270" i="64"/>
  <c r="AJ269" i="64"/>
  <c r="AJ268" i="64"/>
  <c r="AJ267" i="64"/>
  <c r="AJ266" i="64"/>
  <c r="AJ233" i="64"/>
  <c r="AJ232" i="64"/>
  <c r="AJ231" i="64"/>
  <c r="AJ230" i="64"/>
  <c r="AJ229" i="64"/>
  <c r="AJ228" i="64"/>
  <c r="AJ227" i="64"/>
  <c r="AJ226" i="64"/>
  <c r="AJ225" i="64"/>
  <c r="AJ224" i="64"/>
  <c r="AJ190" i="64"/>
  <c r="AJ189" i="64"/>
  <c r="AJ188" i="64"/>
  <c r="AJ187" i="64"/>
  <c r="AJ186" i="64"/>
  <c r="AJ185" i="64"/>
  <c r="AJ184" i="64"/>
  <c r="AJ183" i="64"/>
  <c r="AJ182" i="64"/>
  <c r="AJ181" i="64"/>
  <c r="AJ147" i="64"/>
  <c r="AJ146" i="64"/>
  <c r="AJ145" i="64"/>
  <c r="AJ144" i="64"/>
  <c r="AJ143" i="64"/>
  <c r="AJ142" i="64"/>
  <c r="AJ141" i="64"/>
  <c r="AJ140" i="64"/>
  <c r="AJ139" i="64"/>
  <c r="AJ138" i="64"/>
  <c r="AJ105" i="64"/>
  <c r="AJ104" i="64"/>
  <c r="AJ103" i="64"/>
  <c r="AJ102" i="64"/>
  <c r="AJ101" i="64"/>
  <c r="AJ100" i="64"/>
  <c r="AJ99" i="64"/>
  <c r="AJ98" i="64"/>
  <c r="AJ97" i="64"/>
  <c r="AJ96" i="64"/>
  <c r="AJ63" i="64"/>
  <c r="AJ62" i="64"/>
  <c r="AJ61" i="64"/>
  <c r="AJ60" i="64"/>
  <c r="AJ59" i="64"/>
  <c r="AJ58" i="64"/>
  <c r="AJ57" i="64"/>
  <c r="AJ56" i="64"/>
  <c r="AJ55" i="64"/>
  <c r="AJ54" i="64"/>
  <c r="AJ21" i="64"/>
  <c r="AJ20" i="64"/>
  <c r="AJ19" i="64"/>
  <c r="AJ18" i="64"/>
  <c r="AJ17" i="64"/>
  <c r="AJ16" i="64"/>
  <c r="AJ15" i="64"/>
  <c r="AJ14" i="64"/>
  <c r="AJ13" i="64"/>
  <c r="AJ12" i="64"/>
  <c r="AL455" i="35"/>
  <c r="AL454" i="35"/>
  <c r="AL453" i="35"/>
  <c r="AL452" i="35"/>
  <c r="AL451" i="35"/>
  <c r="AL450" i="35"/>
  <c r="AL449" i="35"/>
  <c r="AL448" i="35"/>
  <c r="AL447" i="35"/>
  <c r="AL446" i="35"/>
  <c r="AL445" i="35"/>
  <c r="AL444" i="35"/>
  <c r="AL443" i="35"/>
  <c r="AL442" i="35"/>
  <c r="AL441" i="35"/>
  <c r="AL440" i="35"/>
  <c r="AL439" i="35"/>
  <c r="AL438" i="35"/>
  <c r="AL437" i="35"/>
  <c r="AL436" i="35"/>
  <c r="AL408" i="35"/>
  <c r="AL407" i="35"/>
  <c r="AL406" i="35"/>
  <c r="AL405" i="35"/>
  <c r="AL404" i="35"/>
  <c r="AL403" i="35"/>
  <c r="AL402" i="35"/>
  <c r="AL401" i="35"/>
  <c r="AL400" i="35"/>
  <c r="AL399" i="35"/>
  <c r="AL398" i="35"/>
  <c r="AL397" i="35"/>
  <c r="AL396" i="35"/>
  <c r="AL395" i="35"/>
  <c r="AL394" i="35"/>
  <c r="AL393" i="35"/>
  <c r="AL392" i="35"/>
  <c r="AL391" i="35"/>
  <c r="AL390" i="35"/>
  <c r="AL389" i="35"/>
  <c r="AL360" i="35"/>
  <c r="AL359" i="35"/>
  <c r="AL358" i="35"/>
  <c r="AL357" i="35"/>
  <c r="AL356" i="35"/>
  <c r="AL355" i="35"/>
  <c r="AL354" i="35"/>
  <c r="AL353" i="35"/>
  <c r="AL352" i="35"/>
  <c r="AL351" i="35"/>
  <c r="AL350" i="35"/>
  <c r="AL349" i="35"/>
  <c r="AL348" i="35"/>
  <c r="AL347" i="35"/>
  <c r="AL346" i="35"/>
  <c r="AL345" i="35"/>
  <c r="AL344" i="35"/>
  <c r="AL343" i="35"/>
  <c r="AL342" i="35"/>
  <c r="AL341" i="35"/>
  <c r="AL313" i="35"/>
  <c r="AL312" i="35"/>
  <c r="AL311" i="35"/>
  <c r="AL310" i="35"/>
  <c r="AL309" i="35"/>
  <c r="AL308" i="35"/>
  <c r="AL307" i="35"/>
  <c r="AL306" i="35"/>
  <c r="AL305" i="35"/>
  <c r="AL304" i="35"/>
  <c r="AL303" i="35"/>
  <c r="AL302" i="35"/>
  <c r="AL301" i="35"/>
  <c r="AL300" i="35"/>
  <c r="AL299" i="35"/>
  <c r="AL298" i="35"/>
  <c r="AL297" i="35"/>
  <c r="AL296" i="35"/>
  <c r="AL295" i="35"/>
  <c r="AL294" i="35"/>
  <c r="AL266" i="35"/>
  <c r="AL265" i="35"/>
  <c r="AL264" i="35"/>
  <c r="AL263" i="35"/>
  <c r="AL262" i="35"/>
  <c r="AL261" i="35"/>
  <c r="AL260" i="35"/>
  <c r="AL259" i="35"/>
  <c r="AL258" i="35"/>
  <c r="AL257" i="35"/>
  <c r="AL256" i="35"/>
  <c r="AL255" i="35"/>
  <c r="AL254" i="35"/>
  <c r="AL253" i="35"/>
  <c r="AL252" i="35"/>
  <c r="AL251" i="35"/>
  <c r="AL250" i="35"/>
  <c r="AL249" i="35"/>
  <c r="AL248" i="35"/>
  <c r="AL247" i="35"/>
  <c r="AL219" i="35"/>
  <c r="AL218" i="35"/>
  <c r="AL217" i="35"/>
  <c r="AL216" i="35"/>
  <c r="AL215" i="35"/>
  <c r="AL214" i="35"/>
  <c r="AL213" i="35"/>
  <c r="AL212" i="35"/>
  <c r="AL211" i="35"/>
  <c r="AL210" i="35"/>
  <c r="AL209" i="35"/>
  <c r="AL208" i="35"/>
  <c r="AL207" i="35"/>
  <c r="AL206" i="35"/>
  <c r="AL205" i="35"/>
  <c r="AL204" i="35"/>
  <c r="AL203" i="35"/>
  <c r="AL202" i="35"/>
  <c r="AL201" i="35"/>
  <c r="AL200" i="35"/>
  <c r="AL172" i="35"/>
  <c r="AL171" i="35"/>
  <c r="AL170" i="35"/>
  <c r="AL169" i="35"/>
  <c r="AL168" i="35"/>
  <c r="AL167" i="35"/>
  <c r="AL166" i="35"/>
  <c r="AL165" i="35"/>
  <c r="AL164" i="35"/>
  <c r="AL163" i="35"/>
  <c r="AL162" i="35"/>
  <c r="AL161" i="35"/>
  <c r="AL160" i="35"/>
  <c r="AL159" i="35"/>
  <c r="AL158" i="35"/>
  <c r="AL157" i="35"/>
  <c r="AL156" i="35"/>
  <c r="AL155" i="35"/>
  <c r="AL154" i="35"/>
  <c r="AL153" i="35"/>
  <c r="AL125" i="35"/>
  <c r="AL124" i="35"/>
  <c r="AL123" i="35"/>
  <c r="AL122" i="35"/>
  <c r="AL121" i="35"/>
  <c r="AL120" i="35"/>
  <c r="AL119" i="35"/>
  <c r="AL118" i="35"/>
  <c r="AL117" i="35"/>
  <c r="AL116" i="35"/>
  <c r="AL115" i="35"/>
  <c r="AL114" i="35"/>
  <c r="AL113" i="35"/>
  <c r="AL112" i="35"/>
  <c r="AL111" i="35"/>
  <c r="AL110" i="35"/>
  <c r="AL109" i="35"/>
  <c r="AL108" i="35"/>
  <c r="AL107" i="35"/>
  <c r="AL106" i="35"/>
  <c r="AL78" i="35"/>
  <c r="AL77" i="35"/>
  <c r="AL76" i="35"/>
  <c r="AL75" i="35"/>
  <c r="AL74" i="35"/>
  <c r="AL73" i="35"/>
  <c r="AL72" i="35"/>
  <c r="AL71" i="35"/>
  <c r="AL70" i="35"/>
  <c r="AL69" i="35"/>
  <c r="AL68" i="35"/>
  <c r="AL67" i="35"/>
  <c r="AL66" i="35"/>
  <c r="AL65" i="35"/>
  <c r="AL64" i="35"/>
  <c r="AL63" i="35"/>
  <c r="AL62" i="35"/>
  <c r="AL61" i="35"/>
  <c r="AL60" i="35"/>
  <c r="AL59" i="35"/>
  <c r="AL31" i="35"/>
  <c r="AL30" i="35"/>
  <c r="AL29" i="35"/>
  <c r="AL28" i="35"/>
  <c r="AL27" i="35"/>
  <c r="AL26" i="35"/>
  <c r="AL25" i="35"/>
  <c r="AL24" i="35"/>
  <c r="AL23" i="35"/>
  <c r="AL22" i="35"/>
  <c r="AL21" i="35"/>
  <c r="AL20" i="35"/>
  <c r="AL19" i="35"/>
  <c r="AL18" i="35"/>
  <c r="AL17" i="35"/>
  <c r="AL16" i="35"/>
  <c r="AL15" i="35"/>
  <c r="AL14" i="35"/>
  <c r="AL13" i="35"/>
  <c r="AL12" i="35"/>
  <c r="BH44" i="30" l="1"/>
  <c r="BH43" i="30"/>
  <c r="BH42" i="30"/>
  <c r="BH41" i="30"/>
  <c r="BH40" i="30"/>
  <c r="BH39" i="30"/>
  <c r="BH38" i="30"/>
  <c r="BH37" i="30"/>
  <c r="BH36" i="30"/>
  <c r="BH35" i="30"/>
  <c r="F300" i="66"/>
  <c r="F269" i="66"/>
  <c r="F237" i="66"/>
  <c r="F203" i="66"/>
  <c r="F172" i="66"/>
  <c r="F138" i="66"/>
  <c r="F75" i="66"/>
  <c r="F41" i="66"/>
  <c r="F399" i="65"/>
  <c r="F355" i="65"/>
  <c r="F312" i="65"/>
  <c r="F268" i="65"/>
  <c r="F225" i="65"/>
  <c r="F184" i="65"/>
  <c r="F140" i="65"/>
  <c r="F97" i="65"/>
  <c r="F53" i="65"/>
  <c r="F392" i="64"/>
  <c r="F349" i="64"/>
  <c r="F307" i="64"/>
  <c r="F264" i="64"/>
  <c r="F222" i="64"/>
  <c r="F179" i="64"/>
  <c r="F136" i="64"/>
  <c r="F94" i="64"/>
  <c r="F52" i="64"/>
  <c r="BH32" i="30" l="1"/>
  <c r="BH31" i="30"/>
  <c r="BH30" i="30"/>
  <c r="BH29" i="30"/>
  <c r="L17" i="35" l="1"/>
  <c r="L16" i="35"/>
  <c r="AM455" i="35" l="1"/>
  <c r="AM454" i="35"/>
  <c r="AM453" i="35"/>
  <c r="AM452" i="35"/>
  <c r="AM451" i="35"/>
  <c r="AM450" i="35"/>
  <c r="AM449" i="35"/>
  <c r="AM448" i="35"/>
  <c r="AM447" i="35"/>
  <c r="AM446" i="35"/>
  <c r="AM445" i="35"/>
  <c r="AM444" i="35"/>
  <c r="AM443" i="35"/>
  <c r="AM442" i="35"/>
  <c r="AM441" i="35"/>
  <c r="AM440" i="35"/>
  <c r="AM439" i="35"/>
  <c r="AM438" i="35"/>
  <c r="AM437" i="35"/>
  <c r="AM436" i="35"/>
  <c r="AM408" i="35"/>
  <c r="AM407" i="35"/>
  <c r="AM406" i="35"/>
  <c r="AM405" i="35"/>
  <c r="AM404" i="35"/>
  <c r="AM403" i="35"/>
  <c r="AM402" i="35"/>
  <c r="AM401" i="35"/>
  <c r="AM400" i="35"/>
  <c r="AM399" i="35"/>
  <c r="AM398" i="35"/>
  <c r="AM397" i="35"/>
  <c r="AM396" i="35"/>
  <c r="AM395" i="35"/>
  <c r="AM394" i="35"/>
  <c r="AM393" i="35"/>
  <c r="AM392" i="35"/>
  <c r="AM391" i="35"/>
  <c r="AM390" i="35"/>
  <c r="AM389" i="35"/>
  <c r="AM360" i="35"/>
  <c r="AM359" i="35"/>
  <c r="AM358" i="35"/>
  <c r="AM357" i="35"/>
  <c r="AM356" i="35"/>
  <c r="AM355" i="35"/>
  <c r="AM354" i="35"/>
  <c r="AM353" i="35"/>
  <c r="AM352" i="35"/>
  <c r="AM351" i="35"/>
  <c r="AM350" i="35"/>
  <c r="AM349" i="35"/>
  <c r="AM348" i="35"/>
  <c r="AM347" i="35"/>
  <c r="AM346" i="35"/>
  <c r="AM345" i="35"/>
  <c r="AM344" i="35"/>
  <c r="AM343" i="35"/>
  <c r="AM342" i="35"/>
  <c r="AM341" i="35"/>
  <c r="AM313" i="35"/>
  <c r="AM312" i="35"/>
  <c r="AM311" i="35"/>
  <c r="AM310" i="35"/>
  <c r="AM309" i="35"/>
  <c r="AM308" i="35"/>
  <c r="AM307" i="35"/>
  <c r="AM306" i="35"/>
  <c r="AM305" i="35"/>
  <c r="AM304" i="35"/>
  <c r="AM303" i="35"/>
  <c r="AM302" i="35"/>
  <c r="AM301" i="35"/>
  <c r="AM300" i="35"/>
  <c r="AM299" i="35"/>
  <c r="AM298" i="35"/>
  <c r="AM297" i="35"/>
  <c r="AM296" i="35"/>
  <c r="AM295" i="35"/>
  <c r="AM294" i="35"/>
  <c r="AM266" i="35"/>
  <c r="AM265" i="35"/>
  <c r="AM264" i="35"/>
  <c r="AM263" i="35"/>
  <c r="AM262" i="35"/>
  <c r="AM261" i="35"/>
  <c r="AM260" i="35"/>
  <c r="AM259" i="35"/>
  <c r="AM258" i="35"/>
  <c r="AM257" i="35"/>
  <c r="AM256" i="35"/>
  <c r="AM255" i="35"/>
  <c r="AM254" i="35"/>
  <c r="AM253" i="35"/>
  <c r="AM252" i="35"/>
  <c r="AM251" i="35"/>
  <c r="AM250" i="35"/>
  <c r="AM249" i="35"/>
  <c r="AM248" i="35"/>
  <c r="AM247" i="35"/>
  <c r="AM219" i="35"/>
  <c r="AM218" i="35"/>
  <c r="AM217" i="35"/>
  <c r="AM216" i="35"/>
  <c r="AM215" i="35"/>
  <c r="AM214" i="35"/>
  <c r="AM213" i="35"/>
  <c r="AM212" i="35"/>
  <c r="AM211" i="35"/>
  <c r="AM210" i="35"/>
  <c r="AM209" i="35"/>
  <c r="AM208" i="35"/>
  <c r="AM207" i="35"/>
  <c r="AM206" i="35"/>
  <c r="AM205" i="35"/>
  <c r="AM204" i="35"/>
  <c r="AM203" i="35"/>
  <c r="AM202" i="35"/>
  <c r="AM201" i="35"/>
  <c r="AM200" i="35"/>
  <c r="AM172" i="35"/>
  <c r="AM171" i="35"/>
  <c r="AM170" i="35"/>
  <c r="AM169" i="35"/>
  <c r="AM168" i="35"/>
  <c r="AM167" i="35"/>
  <c r="AM166" i="35"/>
  <c r="AM165" i="35"/>
  <c r="AM164" i="35"/>
  <c r="AM163" i="35"/>
  <c r="AM162" i="35"/>
  <c r="AM161" i="35"/>
  <c r="AM160" i="35"/>
  <c r="AM159" i="35"/>
  <c r="AM158" i="35"/>
  <c r="AM157" i="35"/>
  <c r="AM156" i="35"/>
  <c r="AM155" i="35"/>
  <c r="AM154" i="35"/>
  <c r="AM153" i="35"/>
  <c r="AM125" i="35"/>
  <c r="AM124" i="35"/>
  <c r="AM123" i="35"/>
  <c r="AM122" i="35"/>
  <c r="AM121" i="35"/>
  <c r="AM120" i="35"/>
  <c r="AM119" i="35"/>
  <c r="AM118" i="35"/>
  <c r="AM117" i="35"/>
  <c r="AM116" i="35"/>
  <c r="AM115" i="35"/>
  <c r="AM114" i="35"/>
  <c r="AM113" i="35"/>
  <c r="AM112" i="35"/>
  <c r="AM111" i="35"/>
  <c r="AM110" i="35"/>
  <c r="AM109" i="35"/>
  <c r="AM108" i="35"/>
  <c r="AM107" i="35"/>
  <c r="AM106" i="35"/>
  <c r="AC455" i="35"/>
  <c r="AC454" i="35"/>
  <c r="AC453" i="35"/>
  <c r="AC452" i="35"/>
  <c r="AC451" i="35"/>
  <c r="AC450" i="35"/>
  <c r="AC449" i="35"/>
  <c r="AC448" i="35"/>
  <c r="AC447" i="35"/>
  <c r="AC446" i="35"/>
  <c r="AC445" i="35"/>
  <c r="AC444" i="35"/>
  <c r="AC443" i="35"/>
  <c r="AC442" i="35"/>
  <c r="AC441" i="35"/>
  <c r="AC440" i="35"/>
  <c r="AC439" i="35"/>
  <c r="AC438" i="35"/>
  <c r="AC437" i="35"/>
  <c r="AC436" i="35"/>
  <c r="AC408" i="35"/>
  <c r="AC407" i="35"/>
  <c r="AC406" i="35"/>
  <c r="AC405" i="35"/>
  <c r="AC404" i="35"/>
  <c r="AC403" i="35"/>
  <c r="AC402" i="35"/>
  <c r="AC401" i="35"/>
  <c r="AC400" i="35"/>
  <c r="AC399" i="35"/>
  <c r="AC398" i="35"/>
  <c r="AC397" i="35"/>
  <c r="AC396" i="35"/>
  <c r="AC395" i="35"/>
  <c r="AC394" i="35"/>
  <c r="AC393" i="35"/>
  <c r="AC392" i="35"/>
  <c r="AC391" i="35"/>
  <c r="AC390" i="35"/>
  <c r="AC389" i="35"/>
  <c r="AC360" i="35"/>
  <c r="AC359" i="35"/>
  <c r="AC358" i="35"/>
  <c r="AC357" i="35"/>
  <c r="AC356" i="35"/>
  <c r="AC355" i="35"/>
  <c r="AC354" i="35"/>
  <c r="AC353" i="35"/>
  <c r="AC352" i="35"/>
  <c r="AC351" i="35"/>
  <c r="AC350" i="35"/>
  <c r="AC349" i="35"/>
  <c r="AC348" i="35"/>
  <c r="AC347" i="35"/>
  <c r="AC346" i="35"/>
  <c r="AC345" i="35"/>
  <c r="AC344" i="35"/>
  <c r="AC343" i="35"/>
  <c r="AC342" i="35"/>
  <c r="AC341" i="35"/>
  <c r="AC313" i="35"/>
  <c r="AC312" i="35"/>
  <c r="AC311" i="35"/>
  <c r="AC310" i="35"/>
  <c r="AC309" i="35"/>
  <c r="AC308" i="35"/>
  <c r="AC307" i="35"/>
  <c r="AC306" i="35"/>
  <c r="AC305" i="35"/>
  <c r="AC304" i="35"/>
  <c r="AC303" i="35"/>
  <c r="AC302" i="35"/>
  <c r="AC301" i="35"/>
  <c r="AC300" i="35"/>
  <c r="AC299" i="35"/>
  <c r="AC298" i="35"/>
  <c r="AC297" i="35"/>
  <c r="AC296" i="35"/>
  <c r="AC295" i="35"/>
  <c r="AC294" i="35"/>
  <c r="AC266" i="35"/>
  <c r="AC265" i="35"/>
  <c r="AC264" i="35"/>
  <c r="AC263" i="35"/>
  <c r="AC262" i="35"/>
  <c r="AC261" i="35"/>
  <c r="AC260" i="35"/>
  <c r="AC259" i="35"/>
  <c r="AC258" i="35"/>
  <c r="AC257" i="35"/>
  <c r="AC256" i="35"/>
  <c r="AC255" i="35"/>
  <c r="AC254" i="35"/>
  <c r="AC253" i="35"/>
  <c r="AC252" i="35"/>
  <c r="AC251" i="35"/>
  <c r="AC250" i="35"/>
  <c r="AC249" i="35"/>
  <c r="AC248" i="35"/>
  <c r="AC247" i="35"/>
  <c r="AC219" i="35"/>
  <c r="AC218" i="35"/>
  <c r="AC217" i="35"/>
  <c r="AC216" i="35"/>
  <c r="AC215" i="35"/>
  <c r="AC214" i="35"/>
  <c r="AC213" i="35"/>
  <c r="AC212" i="35"/>
  <c r="AC211" i="35"/>
  <c r="AC210" i="35"/>
  <c r="AC209" i="35"/>
  <c r="AC208" i="35"/>
  <c r="AC207" i="35"/>
  <c r="AC206" i="35"/>
  <c r="AC205" i="35"/>
  <c r="AC204" i="35"/>
  <c r="AC203" i="35"/>
  <c r="AC202" i="35"/>
  <c r="AC201" i="35"/>
  <c r="AC200" i="35"/>
  <c r="AC172" i="35"/>
  <c r="AC171" i="35"/>
  <c r="AC170" i="35"/>
  <c r="AC169" i="35"/>
  <c r="AC168" i="35"/>
  <c r="AC167" i="35"/>
  <c r="AC166" i="35"/>
  <c r="AC165" i="35"/>
  <c r="AC164" i="35"/>
  <c r="AC163" i="35"/>
  <c r="AC162" i="35"/>
  <c r="AC160" i="35"/>
  <c r="AC159" i="35"/>
  <c r="AC158" i="35"/>
  <c r="AC157" i="35"/>
  <c r="AC156" i="35"/>
  <c r="AC155" i="35"/>
  <c r="AC154" i="35"/>
  <c r="AC153" i="35"/>
  <c r="AC125" i="35"/>
  <c r="AC124" i="35"/>
  <c r="AC123" i="35"/>
  <c r="AC122" i="35"/>
  <c r="AC121" i="35"/>
  <c r="AC120" i="35"/>
  <c r="AC119" i="35"/>
  <c r="AC118" i="35"/>
  <c r="AC117" i="35"/>
  <c r="AC116" i="35"/>
  <c r="AC115" i="35"/>
  <c r="AC113" i="35"/>
  <c r="AC112" i="35"/>
  <c r="AC111" i="35"/>
  <c r="AC110" i="35"/>
  <c r="AC109" i="35"/>
  <c r="AC108" i="35"/>
  <c r="AC107" i="35"/>
  <c r="AC106" i="35"/>
  <c r="P9" i="30"/>
  <c r="F387" i="35" l="1" a="1"/>
  <c r="F387" i="35" s="1"/>
  <c r="F339" i="35" a="1"/>
  <c r="F339" i="35" s="1"/>
  <c r="F292" i="35" a="1"/>
  <c r="F292" i="35" s="1"/>
  <c r="F245" i="35" a="1"/>
  <c r="F245" i="35" s="1"/>
  <c r="F198" i="35" a="1"/>
  <c r="F198" i="35" s="1"/>
  <c r="F151" i="35" a="1"/>
  <c r="F151" i="35" s="1"/>
  <c r="F104" i="35" a="1"/>
  <c r="F104" i="35" s="1"/>
  <c r="BH46" i="30"/>
  <c r="BH45" i="30"/>
  <c r="BH34" i="30"/>
  <c r="BH33" i="30"/>
  <c r="BH28" i="30"/>
  <c r="BH27" i="30"/>
  <c r="BH26" i="30"/>
  <c r="BH25" i="30"/>
  <c r="BH24" i="30"/>
  <c r="BH23" i="30"/>
  <c r="BH22" i="30"/>
  <c r="BH21" i="30"/>
  <c r="BH20" i="30"/>
  <c r="BH19" i="30"/>
  <c r="BH18" i="30"/>
  <c r="BH17" i="30"/>
  <c r="BH16" i="30"/>
  <c r="BH15" i="30"/>
  <c r="BH14" i="30"/>
  <c r="BH13" i="30"/>
  <c r="BH12" i="30"/>
  <c r="BH11" i="30"/>
  <c r="H11" i="33" l="1"/>
  <c r="L11" i="33"/>
  <c r="K11" i="33"/>
  <c r="J11" i="33"/>
  <c r="I11" i="33"/>
  <c r="BY30" i="35"/>
  <c r="AB420" i="65" l="1"/>
  <c r="AB419" i="65"/>
  <c r="AB418" i="65"/>
  <c r="AB417" i="65"/>
  <c r="AB416" i="65"/>
  <c r="AB415" i="65"/>
  <c r="AB414" i="65"/>
  <c r="AB413" i="65"/>
  <c r="AB412" i="65"/>
  <c r="AB411" i="65"/>
  <c r="AB410" i="65"/>
  <c r="AB409" i="65"/>
  <c r="AB408" i="65"/>
  <c r="AB407" i="65"/>
  <c r="AB406" i="65"/>
  <c r="AB405" i="65"/>
  <c r="AB404" i="65"/>
  <c r="AB403" i="65"/>
  <c r="AB402" i="65"/>
  <c r="AB401" i="65"/>
  <c r="AB376" i="65"/>
  <c r="AB375" i="65"/>
  <c r="AB374" i="65"/>
  <c r="AB373" i="65"/>
  <c r="AB372" i="65"/>
  <c r="AB371" i="65"/>
  <c r="AB370" i="65"/>
  <c r="AB369" i="65"/>
  <c r="AB368" i="65"/>
  <c r="AB367" i="65"/>
  <c r="AB366" i="65"/>
  <c r="AB365" i="65"/>
  <c r="AB364" i="65"/>
  <c r="AB363" i="65"/>
  <c r="AB362" i="65"/>
  <c r="AB361" i="65"/>
  <c r="AB360" i="65"/>
  <c r="AB359" i="65"/>
  <c r="AB358" i="65"/>
  <c r="AB357" i="65"/>
  <c r="AB333" i="65"/>
  <c r="AB332" i="65"/>
  <c r="AB331" i="65"/>
  <c r="AB330" i="65"/>
  <c r="AB329" i="65"/>
  <c r="AB328" i="65"/>
  <c r="AB327" i="65"/>
  <c r="AB326" i="65"/>
  <c r="AB325" i="65"/>
  <c r="AB324" i="65"/>
  <c r="AB323" i="65"/>
  <c r="AB322" i="65"/>
  <c r="AB321" i="65"/>
  <c r="AB320" i="65"/>
  <c r="AB319" i="65"/>
  <c r="AB318" i="65"/>
  <c r="AB317" i="65"/>
  <c r="AB316" i="65"/>
  <c r="AB315" i="65"/>
  <c r="AB314" i="65"/>
  <c r="AB289" i="65"/>
  <c r="AB288" i="65"/>
  <c r="AB287" i="65"/>
  <c r="AB286" i="65"/>
  <c r="AB285" i="65"/>
  <c r="AB284" i="65"/>
  <c r="AB283" i="65"/>
  <c r="AB282" i="65"/>
  <c r="AB281" i="65"/>
  <c r="AB280" i="65"/>
  <c r="AB279" i="65"/>
  <c r="AB278" i="65"/>
  <c r="AB277" i="65"/>
  <c r="AB276" i="65"/>
  <c r="AB275" i="65"/>
  <c r="AB274" i="65"/>
  <c r="AB273" i="65"/>
  <c r="AB272" i="65"/>
  <c r="AB271" i="65"/>
  <c r="AB270" i="65"/>
  <c r="AB246" i="65"/>
  <c r="AB245" i="65"/>
  <c r="AB244" i="65"/>
  <c r="AB243" i="65"/>
  <c r="AB242" i="65"/>
  <c r="AB241" i="65"/>
  <c r="AB240" i="65"/>
  <c r="AB239" i="65"/>
  <c r="AB238" i="65"/>
  <c r="AB237" i="65"/>
  <c r="AB236" i="65"/>
  <c r="AB235" i="65"/>
  <c r="AB234" i="65"/>
  <c r="AB233" i="65"/>
  <c r="AB232" i="65"/>
  <c r="AB231" i="65"/>
  <c r="AB230" i="65"/>
  <c r="AB229" i="65"/>
  <c r="AB228" i="65"/>
  <c r="AB227" i="65"/>
  <c r="AB205" i="65"/>
  <c r="AB204" i="65"/>
  <c r="AB203" i="65"/>
  <c r="AB202" i="65"/>
  <c r="AB201" i="65"/>
  <c r="AB200" i="65"/>
  <c r="AB199" i="65"/>
  <c r="AB198" i="65"/>
  <c r="AB197" i="65"/>
  <c r="AB196" i="65"/>
  <c r="AB195" i="65"/>
  <c r="AB194" i="65"/>
  <c r="AB193" i="65"/>
  <c r="AB192" i="65"/>
  <c r="AB191" i="65"/>
  <c r="AB190" i="65"/>
  <c r="AB189" i="65"/>
  <c r="AB188" i="65"/>
  <c r="AB187" i="65"/>
  <c r="AB186" i="65"/>
  <c r="AB161" i="65"/>
  <c r="AB160" i="65"/>
  <c r="AB159" i="65"/>
  <c r="AB158" i="65"/>
  <c r="AB157" i="65"/>
  <c r="AB156" i="65"/>
  <c r="AB155" i="65"/>
  <c r="AB154" i="65"/>
  <c r="AB153" i="65"/>
  <c r="AB152" i="65"/>
  <c r="AB151" i="65"/>
  <c r="AB150" i="65"/>
  <c r="AB149" i="65"/>
  <c r="AB148" i="65"/>
  <c r="AB147" i="65"/>
  <c r="AB146" i="65"/>
  <c r="AB145" i="65"/>
  <c r="AB144" i="65"/>
  <c r="AB143" i="65"/>
  <c r="AB142" i="65"/>
  <c r="AB118" i="65"/>
  <c r="AB117" i="65"/>
  <c r="AB116" i="65"/>
  <c r="AB115" i="65"/>
  <c r="AB114" i="65"/>
  <c r="AB113" i="65"/>
  <c r="AB112" i="65"/>
  <c r="AB111" i="65"/>
  <c r="AB110" i="65"/>
  <c r="AB109" i="65"/>
  <c r="AB108" i="65"/>
  <c r="AB107" i="65"/>
  <c r="AB106" i="65"/>
  <c r="AB105" i="65"/>
  <c r="AB104" i="65"/>
  <c r="AB103" i="65"/>
  <c r="AB102" i="65"/>
  <c r="AB101" i="65"/>
  <c r="AB100" i="65"/>
  <c r="AB99" i="65"/>
  <c r="AG161" i="65"/>
  <c r="AG160" i="65"/>
  <c r="AG159" i="65"/>
  <c r="AG158" i="65"/>
  <c r="AG157" i="65"/>
  <c r="AG156" i="65"/>
  <c r="AG155" i="65"/>
  <c r="AG154" i="65"/>
  <c r="AG153" i="65"/>
  <c r="AG152" i="65"/>
  <c r="AG151" i="65"/>
  <c r="AG150" i="65"/>
  <c r="AG149" i="65"/>
  <c r="AG148" i="65"/>
  <c r="AG147" i="65"/>
  <c r="AG146" i="65"/>
  <c r="AG145" i="65"/>
  <c r="AG144" i="65"/>
  <c r="AG143" i="65"/>
  <c r="AG142" i="65"/>
  <c r="AC140" i="65"/>
  <c r="AI202" i="66" l="1"/>
  <c r="AJ202" i="66"/>
  <c r="AK202" i="66"/>
  <c r="AL202" i="66"/>
  <c r="AM202" i="66"/>
  <c r="AN202" i="66"/>
  <c r="AO202" i="66"/>
  <c r="AP202" i="66"/>
  <c r="AQ202" i="66"/>
  <c r="AR202" i="66"/>
  <c r="AS202" i="66"/>
  <c r="AT202" i="66"/>
  <c r="AU202" i="66"/>
  <c r="AV202" i="66"/>
  <c r="AW202" i="66"/>
  <c r="Y203" i="66"/>
  <c r="AE203" i="66"/>
  <c r="AQ203" i="66"/>
  <c r="AU203" i="66"/>
  <c r="AV203" i="66"/>
  <c r="AM203" i="66"/>
  <c r="AL203" i="66"/>
  <c r="AR203" i="66"/>
  <c r="AJ203" i="66"/>
  <c r="BA203" i="66"/>
  <c r="AX203" i="66"/>
  <c r="BI203" i="66"/>
  <c r="BG203" i="66"/>
  <c r="AS203" i="66"/>
  <c r="BC203" i="66"/>
  <c r="BH203" i="66"/>
  <c r="AK203" i="66"/>
  <c r="AZ203" i="66"/>
  <c r="BB203" i="66"/>
  <c r="AP203" i="66"/>
  <c r="AW203" i="66"/>
  <c r="BE203" i="66"/>
  <c r="BF203" i="66"/>
  <c r="AT203" i="66"/>
  <c r="AO203" i="66"/>
  <c r="AN203" i="66"/>
  <c r="BD203" i="66"/>
  <c r="AY203" i="66"/>
  <c r="AI203" i="66"/>
  <c r="AC203" i="66" l="1"/>
  <c r="AB203" i="66"/>
  <c r="AA203" i="66"/>
  <c r="Z203" i="66"/>
  <c r="X203" i="66"/>
  <c r="R205" i="66"/>
  <c r="S205" i="66"/>
  <c r="T205" i="66"/>
  <c r="U205" i="66"/>
  <c r="Z205" i="66"/>
  <c r="AA205" i="66"/>
  <c r="AB205" i="66"/>
  <c r="AQ205" i="66"/>
  <c r="BC205" i="66"/>
  <c r="AV205" i="66"/>
  <c r="BD205" i="66"/>
  <c r="AW205" i="66"/>
  <c r="AY205" i="66"/>
  <c r="AZ205" i="66"/>
  <c r="BE205" i="66"/>
  <c r="AT205" i="66"/>
  <c r="AK205" i="66"/>
  <c r="BI205" i="66"/>
  <c r="AS205" i="66"/>
  <c r="AU205" i="66"/>
  <c r="AO205" i="66"/>
  <c r="AL205" i="66"/>
  <c r="BA205" i="66"/>
  <c r="AN205" i="66"/>
  <c r="AP205" i="66"/>
  <c r="BB205" i="66"/>
  <c r="BG205" i="66"/>
  <c r="AR205" i="66"/>
  <c r="AX205" i="66"/>
  <c r="BH205" i="66"/>
  <c r="AI205" i="66"/>
  <c r="BF205" i="66"/>
  <c r="AM205" i="66"/>
  <c r="AJ205" i="66"/>
  <c r="Q205" i="66" l="1"/>
  <c r="W203" i="66"/>
  <c r="AE205" i="66"/>
  <c r="AC205" i="66"/>
  <c r="Y205" i="66"/>
  <c r="X205" i="66"/>
  <c r="R206" i="66"/>
  <c r="S206" i="66"/>
  <c r="T206" i="66"/>
  <c r="U206" i="66"/>
  <c r="Z206" i="66"/>
  <c r="AA206" i="66"/>
  <c r="AB206" i="66"/>
  <c r="AU206" i="66"/>
  <c r="AO206" i="66"/>
  <c r="BA206" i="66"/>
  <c r="AP206" i="66"/>
  <c r="AS206" i="66"/>
  <c r="BG206" i="66"/>
  <c r="BD206" i="66"/>
  <c r="AN206" i="66"/>
  <c r="AX206" i="66"/>
  <c r="AZ206" i="66"/>
  <c r="BB206" i="66"/>
  <c r="BF206" i="66"/>
  <c r="AK206" i="66"/>
  <c r="AL206" i="66"/>
  <c r="AV206" i="66"/>
  <c r="BH206" i="66"/>
  <c r="AY206" i="66"/>
  <c r="AM206" i="66"/>
  <c r="BI206" i="66"/>
  <c r="AW206" i="66"/>
  <c r="AJ206" i="66"/>
  <c r="BC206" i="66"/>
  <c r="AQ206" i="66"/>
  <c r="AR206" i="66"/>
  <c r="AT206" i="66"/>
  <c r="AI206" i="66"/>
  <c r="BE206" i="66"/>
  <c r="W205" i="66" l="1"/>
  <c r="V205" i="66" s="1"/>
  <c r="Q206" i="66"/>
  <c r="AE206" i="66"/>
  <c r="AC206" i="66"/>
  <c r="Y206" i="66"/>
  <c r="X206" i="66"/>
  <c r="R207" i="66"/>
  <c r="S207" i="66"/>
  <c r="T207" i="66"/>
  <c r="U207" i="66"/>
  <c r="Z207" i="66"/>
  <c r="AA207" i="66"/>
  <c r="AB207" i="66"/>
  <c r="AS207" i="66"/>
  <c r="AX207" i="66"/>
  <c r="BA207" i="66"/>
  <c r="AW207" i="66"/>
  <c r="BF207" i="66"/>
  <c r="AU207" i="66"/>
  <c r="AN207" i="66"/>
  <c r="AQ207" i="66"/>
  <c r="BC207" i="66"/>
  <c r="AZ207" i="66"/>
  <c r="BI207" i="66"/>
  <c r="BH207" i="66"/>
  <c r="AM207" i="66"/>
  <c r="AY207" i="66"/>
  <c r="BD207" i="66"/>
  <c r="AR207" i="66"/>
  <c r="AL207" i="66"/>
  <c r="AJ207" i="66"/>
  <c r="BB207" i="66"/>
  <c r="BG207" i="66"/>
  <c r="AT207" i="66"/>
  <c r="AP207" i="66"/>
  <c r="AK207" i="66"/>
  <c r="BE207" i="66"/>
  <c r="AV207" i="66"/>
  <c r="AO207" i="66"/>
  <c r="AI207" i="66"/>
  <c r="W206" i="66" l="1"/>
  <c r="V206" i="66" s="1"/>
  <c r="Q207" i="66"/>
  <c r="AE207" i="66"/>
  <c r="AC207" i="66"/>
  <c r="Y207" i="66"/>
  <c r="X207" i="66"/>
  <c r="R208" i="66"/>
  <c r="S208" i="66"/>
  <c r="T208" i="66"/>
  <c r="U208" i="66"/>
  <c r="Z208" i="66"/>
  <c r="AA208" i="66"/>
  <c r="AB208" i="66"/>
  <c r="AS208" i="66"/>
  <c r="BD208" i="66"/>
  <c r="AP208" i="66"/>
  <c r="BH208" i="66"/>
  <c r="AO208" i="66"/>
  <c r="AX208" i="66"/>
  <c r="BF208" i="66"/>
  <c r="AN208" i="66"/>
  <c r="AU208" i="66"/>
  <c r="BG208" i="66"/>
  <c r="AL208" i="66"/>
  <c r="BE208" i="66"/>
  <c r="AI208" i="66"/>
  <c r="AY208" i="66"/>
  <c r="AR208" i="66"/>
  <c r="AM208" i="66"/>
  <c r="AK208" i="66"/>
  <c r="BC208" i="66"/>
  <c r="AZ208" i="66"/>
  <c r="AT208" i="66"/>
  <c r="AJ208" i="66"/>
  <c r="AQ208" i="66"/>
  <c r="BA208" i="66"/>
  <c r="BB208" i="66"/>
  <c r="AV208" i="66"/>
  <c r="BI208" i="66"/>
  <c r="AW208" i="66"/>
  <c r="W207" i="66" l="1"/>
  <c r="V207" i="66" s="1"/>
  <c r="Q208" i="66"/>
  <c r="AE208" i="66"/>
  <c r="AC208" i="66"/>
  <c r="Y208" i="66"/>
  <c r="X208" i="66"/>
  <c r="R209" i="66"/>
  <c r="S209" i="66"/>
  <c r="T209" i="66"/>
  <c r="U209" i="66"/>
  <c r="Z209" i="66"/>
  <c r="AA209" i="66"/>
  <c r="AB209" i="66"/>
  <c r="AQ209" i="66"/>
  <c r="AU209" i="66"/>
  <c r="BG209" i="66"/>
  <c r="BE209" i="66"/>
  <c r="BC209" i="66"/>
  <c r="AN209" i="66"/>
  <c r="AY209" i="66"/>
  <c r="AX209" i="66"/>
  <c r="AW209" i="66"/>
  <c r="AT209" i="66"/>
  <c r="AO209" i="66"/>
  <c r="BA209" i="66"/>
  <c r="AP209" i="66"/>
  <c r="AL209" i="66"/>
  <c r="AJ209" i="66"/>
  <c r="AZ209" i="66"/>
  <c r="BF209" i="66"/>
  <c r="BB209" i="66"/>
  <c r="BD209" i="66"/>
  <c r="AI209" i="66"/>
  <c r="BH209" i="66"/>
  <c r="AM209" i="66"/>
  <c r="AK209" i="66"/>
  <c r="AS209" i="66"/>
  <c r="BI209" i="66"/>
  <c r="AR209" i="66"/>
  <c r="AV209" i="66"/>
  <c r="W208" i="66" l="1"/>
  <c r="V208" i="66" s="1"/>
  <c r="Q209" i="66"/>
  <c r="AE209" i="66"/>
  <c r="AC209" i="66"/>
  <c r="Y209" i="66"/>
  <c r="X209" i="66"/>
  <c r="R210" i="66"/>
  <c r="S210" i="66"/>
  <c r="T210" i="66"/>
  <c r="U210" i="66"/>
  <c r="Z210" i="66"/>
  <c r="AA210" i="66"/>
  <c r="AB210" i="66"/>
  <c r="BB210" i="66"/>
  <c r="BF210" i="66"/>
  <c r="AS210" i="66"/>
  <c r="AQ210" i="66"/>
  <c r="AL210" i="66"/>
  <c r="AI210" i="66"/>
  <c r="AU210" i="66"/>
  <c r="AN210" i="66"/>
  <c r="BE210" i="66"/>
  <c r="AX210" i="66"/>
  <c r="BD210" i="66"/>
  <c r="AP210" i="66"/>
  <c r="BG210" i="66"/>
  <c r="AK210" i="66"/>
  <c r="BH210" i="66"/>
  <c r="BI210" i="66"/>
  <c r="AJ210" i="66"/>
  <c r="AT210" i="66"/>
  <c r="BA210" i="66"/>
  <c r="AO210" i="66"/>
  <c r="AM210" i="66"/>
  <c r="AV210" i="66"/>
  <c r="AZ210" i="66"/>
  <c r="AR210" i="66"/>
  <c r="AW210" i="66"/>
  <c r="BC210" i="66"/>
  <c r="AY210" i="66"/>
  <c r="W209" i="66" l="1"/>
  <c r="V209" i="66" s="1"/>
  <c r="Q210" i="66"/>
  <c r="AE210" i="66"/>
  <c r="AC210" i="66"/>
  <c r="Y210" i="66"/>
  <c r="X210" i="66"/>
  <c r="R211" i="66"/>
  <c r="S211" i="66"/>
  <c r="T211" i="66"/>
  <c r="U211" i="66"/>
  <c r="Z211" i="66"/>
  <c r="AA211" i="66"/>
  <c r="AB211" i="66"/>
  <c r="AW211" i="66"/>
  <c r="AU211" i="66"/>
  <c r="AS211" i="66"/>
  <c r="AL211" i="66"/>
  <c r="BC211" i="66"/>
  <c r="AZ211" i="66"/>
  <c r="AM211" i="66"/>
  <c r="BH211" i="66"/>
  <c r="AY211" i="66"/>
  <c r="AV211" i="66"/>
  <c r="BA211" i="66"/>
  <c r="BD211" i="66"/>
  <c r="AN211" i="66"/>
  <c r="AP211" i="66"/>
  <c r="AI211" i="66"/>
  <c r="AR211" i="66"/>
  <c r="BB211" i="66"/>
  <c r="AK211" i="66"/>
  <c r="AT211" i="66"/>
  <c r="AO211" i="66"/>
  <c r="AQ211" i="66"/>
  <c r="AX211" i="66"/>
  <c r="BF211" i="66"/>
  <c r="AJ211" i="66"/>
  <c r="BE211" i="66"/>
  <c r="BI211" i="66"/>
  <c r="BG211" i="66"/>
  <c r="W210" i="66" l="1"/>
  <c r="V210" i="66" s="1"/>
  <c r="Q211" i="66"/>
  <c r="AE211" i="66"/>
  <c r="AC211" i="66"/>
  <c r="Y211" i="66"/>
  <c r="X211" i="66"/>
  <c r="R212" i="66"/>
  <c r="S212" i="66"/>
  <c r="T212" i="66"/>
  <c r="U212" i="66"/>
  <c r="Z212" i="66"/>
  <c r="AA212" i="66"/>
  <c r="AB212" i="66"/>
  <c r="AT212" i="66"/>
  <c r="AS212" i="66"/>
  <c r="AX212" i="66"/>
  <c r="BG212" i="66"/>
  <c r="AN212" i="66"/>
  <c r="AW212" i="66"/>
  <c r="AJ212" i="66"/>
  <c r="AU212" i="66"/>
  <c r="AO212" i="66"/>
  <c r="AP212" i="66"/>
  <c r="BH212" i="66"/>
  <c r="AY212" i="66"/>
  <c r="AR212" i="66"/>
  <c r="AV212" i="66"/>
  <c r="BC212" i="66"/>
  <c r="AL212" i="66"/>
  <c r="AI212" i="66"/>
  <c r="BB212" i="66"/>
  <c r="BI212" i="66"/>
  <c r="BF212" i="66"/>
  <c r="AQ212" i="66"/>
  <c r="AZ212" i="66"/>
  <c r="BA212" i="66"/>
  <c r="BE212" i="66"/>
  <c r="AM212" i="66"/>
  <c r="BD212" i="66"/>
  <c r="AK212" i="66"/>
  <c r="W211" i="66" l="1"/>
  <c r="V211" i="66" s="1"/>
  <c r="Q212" i="66"/>
  <c r="AE212" i="66"/>
  <c r="AC212" i="66"/>
  <c r="Y212" i="66"/>
  <c r="X212" i="66"/>
  <c r="R213" i="66"/>
  <c r="S213" i="66"/>
  <c r="T213" i="66"/>
  <c r="U213" i="66"/>
  <c r="Z213" i="66"/>
  <c r="AA213" i="66"/>
  <c r="AB213" i="66"/>
  <c r="BE213" i="66"/>
  <c r="AY213" i="66"/>
  <c r="BA213" i="66"/>
  <c r="AQ213" i="66"/>
  <c r="BF213" i="66"/>
  <c r="AO213" i="66"/>
  <c r="AR213" i="66"/>
  <c r="AM213" i="66"/>
  <c r="BB213" i="66"/>
  <c r="AI213" i="66"/>
  <c r="AW213" i="66"/>
  <c r="BH213" i="66"/>
  <c r="AK213" i="66"/>
  <c r="BC213" i="66"/>
  <c r="AX213" i="66"/>
  <c r="AS213" i="66"/>
  <c r="AZ213" i="66"/>
  <c r="AN213" i="66"/>
  <c r="AV213" i="66"/>
  <c r="BG213" i="66"/>
  <c r="AJ213" i="66"/>
  <c r="AP213" i="66"/>
  <c r="AU213" i="66"/>
  <c r="BD213" i="66"/>
  <c r="BI213" i="66"/>
  <c r="AT213" i="66"/>
  <c r="AL213" i="66"/>
  <c r="W212" i="66" l="1"/>
  <c r="V212" i="66" s="1"/>
  <c r="Q213" i="66"/>
  <c r="AE213" i="66"/>
  <c r="AC213" i="66"/>
  <c r="Y213" i="66"/>
  <c r="X213" i="66"/>
  <c r="R214" i="66"/>
  <c r="S214" i="66"/>
  <c r="T214" i="66"/>
  <c r="U214" i="66"/>
  <c r="Z214" i="66"/>
  <c r="AA214" i="66"/>
  <c r="AB214" i="66"/>
  <c r="AP214" i="66"/>
  <c r="AL214" i="66"/>
  <c r="BF214" i="66"/>
  <c r="AZ214" i="66"/>
  <c r="AW214" i="66"/>
  <c r="BD214" i="66"/>
  <c r="AU214" i="66"/>
  <c r="BC214" i="66"/>
  <c r="AS214" i="66"/>
  <c r="BG214" i="66"/>
  <c r="AM214" i="66"/>
  <c r="AY214" i="66"/>
  <c r="AO214" i="66"/>
  <c r="AT214" i="66"/>
  <c r="AK214" i="66"/>
  <c r="AQ214" i="66"/>
  <c r="AJ214" i="66"/>
  <c r="AX214" i="66"/>
  <c r="BI214" i="66"/>
  <c r="AI214" i="66"/>
  <c r="BE214" i="66"/>
  <c r="BB214" i="66"/>
  <c r="BA214" i="66"/>
  <c r="BH214" i="66"/>
  <c r="AN214" i="66"/>
  <c r="AV214" i="66"/>
  <c r="AR214" i="66"/>
  <c r="W213" i="66" l="1"/>
  <c r="V213" i="66" s="1"/>
  <c r="Q214" i="66"/>
  <c r="AE214" i="66"/>
  <c r="AC214" i="66"/>
  <c r="Y214" i="66"/>
  <c r="X214" i="66"/>
  <c r="W214" i="66" l="1"/>
  <c r="V214" i="66" s="1"/>
  <c r="D218" i="66" l="1"/>
  <c r="D219" i="66"/>
  <c r="AI236" i="66"/>
  <c r="AJ236" i="66"/>
  <c r="AK236" i="66"/>
  <c r="AL236" i="66"/>
  <c r="AM236" i="66"/>
  <c r="AN236" i="66"/>
  <c r="AO236" i="66"/>
  <c r="AP236" i="66"/>
  <c r="AQ236" i="66"/>
  <c r="AR236" i="66"/>
  <c r="AS236" i="66"/>
  <c r="AT236" i="66"/>
  <c r="AU236" i="66"/>
  <c r="AV236" i="66"/>
  <c r="AW236" i="66"/>
  <c r="Y237" i="66"/>
  <c r="AE237" i="66"/>
  <c r="AQ237" i="66"/>
  <c r="AY237" i="66"/>
  <c r="AT237" i="66"/>
  <c r="BI237" i="66"/>
  <c r="BF237" i="66"/>
  <c r="AO237" i="66"/>
  <c r="AJ237" i="66"/>
  <c r="AL237" i="66"/>
  <c r="AX237" i="66"/>
  <c r="BH237" i="66"/>
  <c r="BD237" i="66"/>
  <c r="BE237" i="66"/>
  <c r="AW237" i="66"/>
  <c r="AU237" i="66"/>
  <c r="AI237" i="66"/>
  <c r="AR237" i="66"/>
  <c r="AK237" i="66"/>
  <c r="AS237" i="66"/>
  <c r="AZ237" i="66"/>
  <c r="BA237" i="66"/>
  <c r="BG237" i="66"/>
  <c r="AV237" i="66"/>
  <c r="AP237" i="66"/>
  <c r="AM237" i="66"/>
  <c r="BC237" i="66"/>
  <c r="AN237" i="66"/>
  <c r="BB237" i="66"/>
  <c r="O208" i="66" l="1" a="1"/>
  <c r="O208" i="66" s="1"/>
  <c r="N208" i="66" s="1"/>
  <c r="AC237" i="66"/>
  <c r="AB237" i="66"/>
  <c r="AA237" i="66"/>
  <c r="Z237" i="66"/>
  <c r="X237" i="66"/>
  <c r="R239" i="66"/>
  <c r="S239" i="66"/>
  <c r="T239" i="66"/>
  <c r="U239" i="66"/>
  <c r="Z239" i="66"/>
  <c r="AA239" i="66"/>
  <c r="AB239" i="66"/>
  <c r="AU239" i="66"/>
  <c r="AO239" i="66"/>
  <c r="AR239" i="66"/>
  <c r="BI239" i="66"/>
  <c r="AX239" i="66"/>
  <c r="BB239" i="66"/>
  <c r="BG239" i="66"/>
  <c r="AW239" i="66"/>
  <c r="AP239" i="66"/>
  <c r="BA239" i="66"/>
  <c r="AZ239" i="66"/>
  <c r="BH239" i="66"/>
  <c r="AY239" i="66"/>
  <c r="AL239" i="66"/>
  <c r="AS239" i="66"/>
  <c r="AV239" i="66"/>
  <c r="BE239" i="66"/>
  <c r="AJ239" i="66"/>
  <c r="AT239" i="66"/>
  <c r="AN239" i="66"/>
  <c r="AI239" i="66"/>
  <c r="AM239" i="66"/>
  <c r="AK239" i="66"/>
  <c r="BF239" i="66"/>
  <c r="BD239" i="66"/>
  <c r="AQ239" i="66"/>
  <c r="BC239" i="66"/>
  <c r="O205" i="66" l="1" a="1"/>
  <c r="O205" i="66" s="1"/>
  <c r="K205" i="66" s="1"/>
  <c r="L205" i="66" s="1"/>
  <c r="O206" i="66" a="1"/>
  <c r="O206" i="66" s="1"/>
  <c r="K206" i="66" s="1"/>
  <c r="L206" i="66" s="1"/>
  <c r="O209" i="66" a="1"/>
  <c r="O209" i="66" s="1"/>
  <c r="N209" i="66" s="1"/>
  <c r="O210" i="66" a="1"/>
  <c r="O210" i="66" s="1"/>
  <c r="K210" i="66" s="1"/>
  <c r="L210" i="66" s="1"/>
  <c r="O207" i="66" a="1"/>
  <c r="O207" i="66" s="1"/>
  <c r="K207" i="66" s="1"/>
  <c r="L207" i="66" s="1"/>
  <c r="P207" i="66"/>
  <c r="P206" i="66"/>
  <c r="P205" i="66"/>
  <c r="K208" i="66"/>
  <c r="L208" i="66" s="1"/>
  <c r="Q239" i="66"/>
  <c r="W237" i="66"/>
  <c r="AE239" i="66"/>
  <c r="AC239" i="66"/>
  <c r="Y239" i="66"/>
  <c r="X239" i="66"/>
  <c r="R240" i="66"/>
  <c r="S240" i="66"/>
  <c r="T240" i="66"/>
  <c r="U240" i="66"/>
  <c r="Z240" i="66"/>
  <c r="AA240" i="66"/>
  <c r="AB240" i="66"/>
  <c r="AM240" i="66"/>
  <c r="AN240" i="66"/>
  <c r="AZ240" i="66"/>
  <c r="BB240" i="66"/>
  <c r="BG240" i="66"/>
  <c r="BD240" i="66"/>
  <c r="AU240" i="66"/>
  <c r="AY240" i="66"/>
  <c r="AV240" i="66"/>
  <c r="BF240" i="66"/>
  <c r="BI240" i="66"/>
  <c r="AP240" i="66"/>
  <c r="AR240" i="66"/>
  <c r="AJ240" i="66"/>
  <c r="AQ240" i="66"/>
  <c r="BC240" i="66"/>
  <c r="AW240" i="66"/>
  <c r="BE240" i="66"/>
  <c r="AS240" i="66"/>
  <c r="AT240" i="66"/>
  <c r="BH240" i="66"/>
  <c r="AK240" i="66"/>
  <c r="AL240" i="66"/>
  <c r="BA240" i="66"/>
  <c r="AO240" i="66"/>
  <c r="AX240" i="66"/>
  <c r="AI240" i="66"/>
  <c r="G203" i="66" l="1"/>
  <c r="G227" i="66"/>
  <c r="H203" i="66"/>
  <c r="H227" i="66"/>
  <c r="I203" i="66"/>
  <c r="I227" i="66"/>
  <c r="K209" i="66"/>
  <c r="L209" i="66" s="1"/>
  <c r="N205" i="66"/>
  <c r="N207" i="66"/>
  <c r="N206" i="66"/>
  <c r="N210" i="66"/>
  <c r="I200" i="66"/>
  <c r="I213" i="66" s="1"/>
  <c r="H200" i="66"/>
  <c r="H204" i="66" s="1"/>
  <c r="G200" i="66"/>
  <c r="G205" i="66" s="1"/>
  <c r="Q240" i="66"/>
  <c r="W239" i="66"/>
  <c r="V239" i="66" s="1"/>
  <c r="AE240" i="66"/>
  <c r="AC240" i="66"/>
  <c r="Y240" i="66"/>
  <c r="X240" i="66"/>
  <c r="R241" i="66"/>
  <c r="S241" i="66"/>
  <c r="T241" i="66"/>
  <c r="U241" i="66"/>
  <c r="Z241" i="66"/>
  <c r="AA241" i="66"/>
  <c r="AB241" i="66"/>
  <c r="AJ241" i="66"/>
  <c r="AU241" i="66"/>
  <c r="AI241" i="66"/>
  <c r="AS241" i="66"/>
  <c r="AL241" i="66"/>
  <c r="AO241" i="66"/>
  <c r="AW241" i="66"/>
  <c r="AT241" i="66"/>
  <c r="AX241" i="66"/>
  <c r="AM241" i="66"/>
  <c r="AR241" i="66"/>
  <c r="BI241" i="66"/>
  <c r="BE241" i="66"/>
  <c r="AZ241" i="66"/>
  <c r="BA241" i="66"/>
  <c r="BC241" i="66"/>
  <c r="AK241" i="66"/>
  <c r="AQ241" i="66"/>
  <c r="AY241" i="66"/>
  <c r="AN241" i="66"/>
  <c r="BB241" i="66"/>
  <c r="AP241" i="66"/>
  <c r="BF241" i="66"/>
  <c r="BH241" i="66"/>
  <c r="AV241" i="66"/>
  <c r="BG241" i="66"/>
  <c r="BD241" i="66"/>
  <c r="I223" i="66" l="1"/>
  <c r="G217" i="66"/>
  <c r="I217" i="66"/>
  <c r="I204" i="66"/>
  <c r="I211" i="66"/>
  <c r="H218" i="66"/>
  <c r="I210" i="66"/>
  <c r="H221" i="66"/>
  <c r="H210" i="66"/>
  <c r="I205" i="66"/>
  <c r="I219" i="66"/>
  <c r="H206" i="66"/>
  <c r="H219" i="66"/>
  <c r="I212" i="66"/>
  <c r="H222" i="66"/>
  <c r="I209" i="66"/>
  <c r="H214" i="66"/>
  <c r="I222" i="66"/>
  <c r="I208" i="66"/>
  <c r="H213" i="66"/>
  <c r="H208" i="66"/>
  <c r="H207" i="66"/>
  <c r="I218" i="66"/>
  <c r="I207" i="66"/>
  <c r="H212" i="66"/>
  <c r="I221" i="66"/>
  <c r="I206" i="66"/>
  <c r="H211" i="66"/>
  <c r="I214" i="66"/>
  <c r="H223" i="66"/>
  <c r="H205" i="66"/>
  <c r="G212" i="66"/>
  <c r="H209" i="66"/>
  <c r="H217" i="66"/>
  <c r="G214" i="66"/>
  <c r="G213" i="66"/>
  <c r="G211" i="66"/>
  <c r="G210" i="66"/>
  <c r="G219" i="66"/>
  <c r="G208" i="66"/>
  <c r="G221" i="66"/>
  <c r="G207" i="66"/>
  <c r="G223" i="66"/>
  <c r="G209" i="66"/>
  <c r="G222" i="66"/>
  <c r="G204" i="66"/>
  <c r="G206" i="66"/>
  <c r="G218" i="66"/>
  <c r="Q241" i="66"/>
  <c r="W240" i="66"/>
  <c r="V240" i="66" s="1"/>
  <c r="AE241" i="66"/>
  <c r="AC241" i="66"/>
  <c r="Y241" i="66"/>
  <c r="X241" i="66"/>
  <c r="R242" i="66"/>
  <c r="S242" i="66"/>
  <c r="T242" i="66"/>
  <c r="U242" i="66"/>
  <c r="Z242" i="66"/>
  <c r="AA242" i="66"/>
  <c r="AB242" i="66"/>
  <c r="AM242" i="66"/>
  <c r="AX242" i="66"/>
  <c r="BG242" i="66"/>
  <c r="AZ242" i="66"/>
  <c r="AJ242" i="66"/>
  <c r="BD242" i="66"/>
  <c r="BI242" i="66"/>
  <c r="AP242" i="66"/>
  <c r="AT242" i="66"/>
  <c r="AR242" i="66"/>
  <c r="AO242" i="66"/>
  <c r="AY242" i="66"/>
  <c r="AV242" i="66"/>
  <c r="BB242" i="66"/>
  <c r="BA242" i="66"/>
  <c r="AI242" i="66"/>
  <c r="AQ242" i="66"/>
  <c r="AS242" i="66"/>
  <c r="AU242" i="66"/>
  <c r="BC242" i="66"/>
  <c r="AL242" i="66"/>
  <c r="AK242" i="66"/>
  <c r="BH242" i="66"/>
  <c r="BF242" i="66"/>
  <c r="AW242" i="66"/>
  <c r="AN242" i="66"/>
  <c r="BE242" i="66"/>
  <c r="W241" i="66" l="1"/>
  <c r="V241" i="66" s="1"/>
  <c r="Q242" i="66"/>
  <c r="AE242" i="66"/>
  <c r="AC242" i="66"/>
  <c r="Y242" i="66"/>
  <c r="X242" i="66"/>
  <c r="R243" i="66"/>
  <c r="S243" i="66"/>
  <c r="T243" i="66"/>
  <c r="U243" i="66"/>
  <c r="Z243" i="66"/>
  <c r="AA243" i="66"/>
  <c r="AB243" i="66"/>
  <c r="AZ243" i="66"/>
  <c r="BA243" i="66"/>
  <c r="BD243" i="66"/>
  <c r="AN243" i="66"/>
  <c r="AU243" i="66"/>
  <c r="AX243" i="66"/>
  <c r="AT243" i="66"/>
  <c r="AP243" i="66"/>
  <c r="BH243" i="66"/>
  <c r="AY243" i="66"/>
  <c r="BF243" i="66"/>
  <c r="AR243" i="66"/>
  <c r="AL243" i="66"/>
  <c r="AM243" i="66"/>
  <c r="BE243" i="66"/>
  <c r="AJ243" i="66"/>
  <c r="AQ243" i="66"/>
  <c r="AW243" i="66"/>
  <c r="BC243" i="66"/>
  <c r="AI243" i="66"/>
  <c r="BB243" i="66"/>
  <c r="BG243" i="66"/>
  <c r="AK243" i="66"/>
  <c r="BI243" i="66"/>
  <c r="AO243" i="66"/>
  <c r="AV243" i="66"/>
  <c r="AS243" i="66"/>
  <c r="W242" i="66" l="1"/>
  <c r="V242" i="66" s="1"/>
  <c r="Q243" i="66"/>
  <c r="AE243" i="66"/>
  <c r="AC243" i="66"/>
  <c r="Y243" i="66"/>
  <c r="X243" i="66"/>
  <c r="R244" i="66"/>
  <c r="S244" i="66"/>
  <c r="T244" i="66"/>
  <c r="U244" i="66"/>
  <c r="Z244" i="66"/>
  <c r="AA244" i="66"/>
  <c r="AB244" i="66"/>
  <c r="AZ244" i="66"/>
  <c r="AP244" i="66"/>
  <c r="AM244" i="66"/>
  <c r="AN244" i="66"/>
  <c r="BE244" i="66"/>
  <c r="AT244" i="66"/>
  <c r="AY244" i="66"/>
  <c r="AL244" i="66"/>
  <c r="AW244" i="66"/>
  <c r="BF244" i="66"/>
  <c r="AJ244" i="66"/>
  <c r="AV244" i="66"/>
  <c r="BD244" i="66"/>
  <c r="AU244" i="66"/>
  <c r="BH244" i="66"/>
  <c r="BA244" i="66"/>
  <c r="BG244" i="66"/>
  <c r="AQ244" i="66"/>
  <c r="BC244" i="66"/>
  <c r="AI244" i="66"/>
  <c r="AX244" i="66"/>
  <c r="AO244" i="66"/>
  <c r="BB244" i="66"/>
  <c r="AR244" i="66"/>
  <c r="AK244" i="66"/>
  <c r="AS244" i="66"/>
  <c r="BI244" i="66"/>
  <c r="W243" i="66" l="1"/>
  <c r="V243" i="66" s="1"/>
  <c r="Q244" i="66"/>
  <c r="AE244" i="66"/>
  <c r="AC244" i="66"/>
  <c r="Y244" i="66"/>
  <c r="X244" i="66"/>
  <c r="R245" i="66"/>
  <c r="S245" i="66"/>
  <c r="T245" i="66"/>
  <c r="U245" i="66"/>
  <c r="Z245" i="66"/>
  <c r="AA245" i="66"/>
  <c r="AB245" i="66"/>
  <c r="AU245" i="66"/>
  <c r="BE245" i="66"/>
  <c r="BI245" i="66"/>
  <c r="AY245" i="66"/>
  <c r="AW245" i="66"/>
  <c r="AT245" i="66"/>
  <c r="BD245" i="66"/>
  <c r="AJ245" i="66"/>
  <c r="AK245" i="66"/>
  <c r="AM245" i="66"/>
  <c r="AO245" i="66"/>
  <c r="AX245" i="66"/>
  <c r="AN245" i="66"/>
  <c r="BA245" i="66"/>
  <c r="AI245" i="66"/>
  <c r="AQ245" i="66"/>
  <c r="AS245" i="66"/>
  <c r="AL245" i="66"/>
  <c r="AV245" i="66"/>
  <c r="AP245" i="66"/>
  <c r="AZ245" i="66"/>
  <c r="BH245" i="66"/>
  <c r="BG245" i="66"/>
  <c r="BC245" i="66"/>
  <c r="BF245" i="66"/>
  <c r="BB245" i="66"/>
  <c r="AR245" i="66"/>
  <c r="W244" i="66" l="1"/>
  <c r="V244" i="66" s="1"/>
  <c r="Q245" i="66"/>
  <c r="AE245" i="66"/>
  <c r="AC245" i="66"/>
  <c r="Y245" i="66"/>
  <c r="X245" i="66"/>
  <c r="R246" i="66"/>
  <c r="S246" i="66"/>
  <c r="T246" i="66"/>
  <c r="U246" i="66"/>
  <c r="Z246" i="66"/>
  <c r="AA246" i="66"/>
  <c r="AB246" i="66"/>
  <c r="AN246" i="66"/>
  <c r="AQ246" i="66"/>
  <c r="BH246" i="66"/>
  <c r="AS246" i="66"/>
  <c r="AK246" i="66"/>
  <c r="AO246" i="66"/>
  <c r="BE246" i="66"/>
  <c r="AJ246" i="66"/>
  <c r="AU246" i="66"/>
  <c r="AV246" i="66"/>
  <c r="BD246" i="66"/>
  <c r="AY246" i="66"/>
  <c r="AX246" i="66"/>
  <c r="AZ246" i="66"/>
  <c r="AT246" i="66"/>
  <c r="AM246" i="66"/>
  <c r="AR246" i="66"/>
  <c r="BB246" i="66"/>
  <c r="BI246" i="66"/>
  <c r="AW246" i="66"/>
  <c r="AL246" i="66"/>
  <c r="BG246" i="66"/>
  <c r="AI246" i="66"/>
  <c r="BC246" i="66"/>
  <c r="AP246" i="66"/>
  <c r="BA246" i="66"/>
  <c r="BF246" i="66"/>
  <c r="W245" i="66" l="1"/>
  <c r="V245" i="66" s="1"/>
  <c r="Q246" i="66"/>
  <c r="AE246" i="66"/>
  <c r="AC246" i="66"/>
  <c r="Y246" i="66"/>
  <c r="X246" i="66"/>
  <c r="R247" i="66"/>
  <c r="S247" i="66"/>
  <c r="T247" i="66"/>
  <c r="U247" i="66"/>
  <c r="Z247" i="66"/>
  <c r="AA247" i="66"/>
  <c r="AB247" i="66"/>
  <c r="AS247" i="66"/>
  <c r="AJ247" i="66"/>
  <c r="AV247" i="66"/>
  <c r="BB247" i="66"/>
  <c r="AI247" i="66"/>
  <c r="AW247" i="66"/>
  <c r="BF247" i="66"/>
  <c r="AZ247" i="66"/>
  <c r="BE247" i="66"/>
  <c r="AO247" i="66"/>
  <c r="AR247" i="66"/>
  <c r="BD247" i="66"/>
  <c r="AU247" i="66"/>
  <c r="AX247" i="66"/>
  <c r="BI247" i="66"/>
  <c r="BG247" i="66"/>
  <c r="BA247" i="66"/>
  <c r="AL247" i="66"/>
  <c r="AN247" i="66"/>
  <c r="BH247" i="66"/>
  <c r="AY247" i="66"/>
  <c r="AM247" i="66"/>
  <c r="AP247" i="66"/>
  <c r="AQ247" i="66"/>
  <c r="AT247" i="66"/>
  <c r="BC247" i="66"/>
  <c r="AK247" i="66"/>
  <c r="W246" i="66" l="1"/>
  <c r="V246" i="66" s="1"/>
  <c r="Q247" i="66"/>
  <c r="AE247" i="66"/>
  <c r="AC247" i="66"/>
  <c r="Y247" i="66"/>
  <c r="X247" i="66"/>
  <c r="R248" i="66"/>
  <c r="S248" i="66"/>
  <c r="T248" i="66"/>
  <c r="U248" i="66"/>
  <c r="Z248" i="66"/>
  <c r="AA248" i="66"/>
  <c r="AB248" i="66"/>
  <c r="AT248" i="66"/>
  <c r="AM248" i="66"/>
  <c r="AI248" i="66"/>
  <c r="AJ248" i="66"/>
  <c r="AQ248" i="66"/>
  <c r="BF248" i="66"/>
  <c r="AW248" i="66"/>
  <c r="AK248" i="66"/>
  <c r="AX248" i="66"/>
  <c r="AL248" i="66"/>
  <c r="BE248" i="66"/>
  <c r="BB248" i="66"/>
  <c r="AS248" i="66"/>
  <c r="AR248" i="66"/>
  <c r="BC248" i="66"/>
  <c r="AV248" i="66"/>
  <c r="BI248" i="66"/>
  <c r="AN248" i="66"/>
  <c r="AU248" i="66"/>
  <c r="AZ248" i="66"/>
  <c r="AP248" i="66"/>
  <c r="AO248" i="66"/>
  <c r="BG248" i="66"/>
  <c r="BA248" i="66"/>
  <c r="BH248" i="66"/>
  <c r="AY248" i="66"/>
  <c r="BD248" i="66"/>
  <c r="W247" i="66" l="1"/>
  <c r="V247" i="66" s="1"/>
  <c r="Q248" i="66"/>
  <c r="AE248" i="66"/>
  <c r="AC248" i="66"/>
  <c r="Y248" i="66"/>
  <c r="X248" i="66"/>
  <c r="W248" i="66" l="1"/>
  <c r="V248" i="66" s="1"/>
  <c r="D252" i="66" l="1"/>
  <c r="D253" i="66"/>
  <c r="AI268" i="66"/>
  <c r="AJ268" i="66"/>
  <c r="AK268" i="66"/>
  <c r="AL268" i="66"/>
  <c r="AM268" i="66"/>
  <c r="AN268" i="66"/>
  <c r="AO268" i="66"/>
  <c r="AP268" i="66"/>
  <c r="AQ268" i="66"/>
  <c r="AR268" i="66"/>
  <c r="AS268" i="66"/>
  <c r="AT268" i="66"/>
  <c r="AU268" i="66"/>
  <c r="AV268" i="66"/>
  <c r="AW268" i="66"/>
  <c r="Y269" i="66"/>
  <c r="AE269" i="66"/>
  <c r="AI269" i="66"/>
  <c r="AV269" i="66"/>
  <c r="AM269" i="66"/>
  <c r="AT269" i="66"/>
  <c r="BG269" i="66"/>
  <c r="BB269" i="66"/>
  <c r="BF269" i="66"/>
  <c r="BH269" i="66"/>
  <c r="AX269" i="66"/>
  <c r="AJ269" i="66"/>
  <c r="AS269" i="66"/>
  <c r="AY269" i="66"/>
  <c r="BE269" i="66"/>
  <c r="AP269" i="66"/>
  <c r="AR269" i="66"/>
  <c r="AU269" i="66"/>
  <c r="AK269" i="66"/>
  <c r="AO269" i="66"/>
  <c r="AN269" i="66"/>
  <c r="AW269" i="66"/>
  <c r="BA269" i="66"/>
  <c r="BI269" i="66"/>
  <c r="BD269" i="66"/>
  <c r="AZ269" i="66"/>
  <c r="BC269" i="66"/>
  <c r="AL269" i="66"/>
  <c r="AQ269" i="66"/>
  <c r="O241" i="66" l="1" a="1"/>
  <c r="O241" i="66" s="1"/>
  <c r="K241" i="66" s="1"/>
  <c r="L241" i="66" s="1"/>
  <c r="AC269" i="66"/>
  <c r="AB269" i="66"/>
  <c r="AA269" i="66"/>
  <c r="Z269" i="66"/>
  <c r="X269" i="66"/>
  <c r="R271" i="66"/>
  <c r="S271" i="66"/>
  <c r="T271" i="66"/>
  <c r="U271" i="66"/>
  <c r="Z271" i="66"/>
  <c r="AA271" i="66"/>
  <c r="AB271" i="66"/>
  <c r="BF271" i="66"/>
  <c r="BC271" i="66"/>
  <c r="AY271" i="66"/>
  <c r="AQ271" i="66"/>
  <c r="BG271" i="66"/>
  <c r="AS271" i="66"/>
  <c r="BA271" i="66"/>
  <c r="BB271" i="66"/>
  <c r="AN271" i="66"/>
  <c r="AP271" i="66"/>
  <c r="AT271" i="66"/>
  <c r="AM271" i="66"/>
  <c r="AZ271" i="66"/>
  <c r="AI271" i="66"/>
  <c r="BD271" i="66"/>
  <c r="AL271" i="66"/>
  <c r="BE271" i="66"/>
  <c r="AK271" i="66"/>
  <c r="AX271" i="66"/>
  <c r="AR271" i="66"/>
  <c r="AW271" i="66"/>
  <c r="BH271" i="66"/>
  <c r="AV271" i="66"/>
  <c r="AU271" i="66"/>
  <c r="AO271" i="66"/>
  <c r="BI271" i="66"/>
  <c r="AJ271" i="66"/>
  <c r="O242" i="66" l="1" a="1"/>
  <c r="O242" i="66" s="1"/>
  <c r="K242" i="66" s="1"/>
  <c r="L242" i="66" s="1"/>
  <c r="O239" i="66" a="1"/>
  <c r="O239" i="66" s="1"/>
  <c r="K239" i="66" s="1"/>
  <c r="L239" i="66" s="1"/>
  <c r="P240" i="66"/>
  <c r="H261" i="66" s="1"/>
  <c r="P241" i="66"/>
  <c r="I261" i="66" s="1"/>
  <c r="P239" i="66"/>
  <c r="O243" i="66" a="1"/>
  <c r="O243" i="66" s="1"/>
  <c r="K243" i="66" s="1"/>
  <c r="L243" i="66" s="1"/>
  <c r="O240" i="66" a="1"/>
  <c r="O240" i="66" s="1"/>
  <c r="K240" i="66" s="1"/>
  <c r="L240" i="66" s="1"/>
  <c r="N241" i="66"/>
  <c r="O244" i="66" a="1"/>
  <c r="O244" i="66" s="1"/>
  <c r="K244" i="66" s="1"/>
  <c r="L244" i="66" s="1"/>
  <c r="Q271" i="66"/>
  <c r="W269" i="66"/>
  <c r="AE271" i="66"/>
  <c r="AC271" i="66"/>
  <c r="Y271" i="66"/>
  <c r="X271" i="66"/>
  <c r="R272" i="66"/>
  <c r="S272" i="66"/>
  <c r="T272" i="66"/>
  <c r="U272" i="66"/>
  <c r="Z272" i="66"/>
  <c r="AA272" i="66"/>
  <c r="AB272" i="66"/>
  <c r="AJ272" i="66"/>
  <c r="BD272" i="66"/>
  <c r="AL272" i="66"/>
  <c r="AI272" i="66"/>
  <c r="AT272" i="66"/>
  <c r="BB272" i="66"/>
  <c r="BC272" i="66"/>
  <c r="AX272" i="66"/>
  <c r="BG272" i="66"/>
  <c r="AN272" i="66"/>
  <c r="AV272" i="66"/>
  <c r="BE272" i="66"/>
  <c r="BH272" i="66"/>
  <c r="AO272" i="66"/>
  <c r="AW272" i="66"/>
  <c r="AY272" i="66"/>
  <c r="AS272" i="66"/>
  <c r="AR272" i="66"/>
  <c r="AZ272" i="66"/>
  <c r="AQ272" i="66"/>
  <c r="BA272" i="66"/>
  <c r="BI272" i="66"/>
  <c r="AU272" i="66"/>
  <c r="BF272" i="66"/>
  <c r="AM272" i="66"/>
  <c r="AP272" i="66"/>
  <c r="AK272" i="66"/>
  <c r="G237" i="66" l="1"/>
  <c r="G261" i="66"/>
  <c r="I237" i="66"/>
  <c r="H237" i="66"/>
  <c r="N242" i="66"/>
  <c r="N239" i="66"/>
  <c r="H234" i="66"/>
  <c r="H248" i="66" s="1"/>
  <c r="G234" i="66"/>
  <c r="G243" i="66" s="1"/>
  <c r="I234" i="66"/>
  <c r="I244" i="66" s="1"/>
  <c r="N240" i="66"/>
  <c r="N243" i="66"/>
  <c r="N244" i="66"/>
  <c r="Q272" i="66"/>
  <c r="W271" i="66"/>
  <c r="V271" i="66" s="1"/>
  <c r="AE272" i="66"/>
  <c r="AC272" i="66"/>
  <c r="Y272" i="66"/>
  <c r="X272" i="66"/>
  <c r="R273" i="66"/>
  <c r="S273" i="66"/>
  <c r="T273" i="66"/>
  <c r="U273" i="66"/>
  <c r="Z273" i="66"/>
  <c r="AA273" i="66"/>
  <c r="AB273" i="66"/>
  <c r="AI273" i="66"/>
  <c r="AP273" i="66"/>
  <c r="AJ273" i="66"/>
  <c r="AN273" i="66"/>
  <c r="AZ273" i="66"/>
  <c r="BB273" i="66"/>
  <c r="AM273" i="66"/>
  <c r="AU273" i="66"/>
  <c r="AX273" i="66"/>
  <c r="AR273" i="66"/>
  <c r="BI273" i="66"/>
  <c r="AS273" i="66"/>
  <c r="BC273" i="66"/>
  <c r="BA273" i="66"/>
  <c r="AY273" i="66"/>
  <c r="AO273" i="66"/>
  <c r="AT273" i="66"/>
  <c r="BF273" i="66"/>
  <c r="AW273" i="66"/>
  <c r="BD273" i="66"/>
  <c r="AL273" i="66"/>
  <c r="BE273" i="66"/>
  <c r="AQ273" i="66"/>
  <c r="BH273" i="66"/>
  <c r="BG273" i="66"/>
  <c r="AK273" i="66"/>
  <c r="AV273" i="66"/>
  <c r="H244" i="66" l="1"/>
  <c r="H243" i="66"/>
  <c r="H247" i="66"/>
  <c r="H245" i="66"/>
  <c r="H252" i="66"/>
  <c r="H253" i="66"/>
  <c r="H242" i="66"/>
  <c r="H240" i="66"/>
  <c r="G238" i="66"/>
  <c r="G239" i="66"/>
  <c r="H246" i="66"/>
  <c r="H257" i="66"/>
  <c r="H241" i="66"/>
  <c r="H256" i="66"/>
  <c r="H238" i="66"/>
  <c r="H255" i="66"/>
  <c r="H239" i="66"/>
  <c r="H251" i="66"/>
  <c r="G241" i="66"/>
  <c r="G240" i="66"/>
  <c r="I253" i="66"/>
  <c r="I248" i="66"/>
  <c r="I247" i="66"/>
  <c r="G256" i="66"/>
  <c r="G255" i="66"/>
  <c r="G253" i="66"/>
  <c r="I246" i="66"/>
  <c r="G252" i="66"/>
  <c r="G251" i="66"/>
  <c r="I245" i="66"/>
  <c r="G257" i="66"/>
  <c r="G242" i="66"/>
  <c r="I243" i="66"/>
  <c r="G248" i="66"/>
  <c r="I242" i="66"/>
  <c r="I251" i="66"/>
  <c r="I241" i="66"/>
  <c r="G246" i="66"/>
  <c r="I256" i="66"/>
  <c r="G247" i="66"/>
  <c r="I255" i="66"/>
  <c r="I238" i="66"/>
  <c r="G244" i="66"/>
  <c r="I252" i="66"/>
  <c r="I240" i="66"/>
  <c r="G245" i="66"/>
  <c r="I257" i="66"/>
  <c r="I239" i="66"/>
  <c r="Q273" i="66"/>
  <c r="W272" i="66"/>
  <c r="V272" i="66" s="1"/>
  <c r="AE273" i="66"/>
  <c r="AC273" i="66"/>
  <c r="Y273" i="66"/>
  <c r="X273" i="66"/>
  <c r="R274" i="66"/>
  <c r="S274" i="66"/>
  <c r="T274" i="66"/>
  <c r="U274" i="66"/>
  <c r="Z274" i="66"/>
  <c r="AA274" i="66"/>
  <c r="AB274" i="66"/>
  <c r="AT274" i="66"/>
  <c r="AX274" i="66"/>
  <c r="AZ274" i="66"/>
  <c r="AR274" i="66"/>
  <c r="BC274" i="66"/>
  <c r="AK274" i="66"/>
  <c r="BI274" i="66"/>
  <c r="AQ274" i="66"/>
  <c r="AY274" i="66"/>
  <c r="AI274" i="66"/>
  <c r="BD274" i="66"/>
  <c r="AL274" i="66"/>
  <c r="AP274" i="66"/>
  <c r="AM274" i="66"/>
  <c r="BA274" i="66"/>
  <c r="BH274" i="66"/>
  <c r="AO274" i="66"/>
  <c r="AV274" i="66"/>
  <c r="BG274" i="66"/>
  <c r="AN274" i="66"/>
  <c r="BB274" i="66"/>
  <c r="BE274" i="66"/>
  <c r="BF274" i="66"/>
  <c r="AW274" i="66"/>
  <c r="AU274" i="66"/>
  <c r="AS274" i="66"/>
  <c r="AJ274" i="66"/>
  <c r="W273" i="66" l="1"/>
  <c r="V273" i="66" s="1"/>
  <c r="Q274" i="66"/>
  <c r="AE274" i="66"/>
  <c r="AC274" i="66"/>
  <c r="Y274" i="66"/>
  <c r="X274" i="66"/>
  <c r="R275" i="66"/>
  <c r="S275" i="66"/>
  <c r="T275" i="66"/>
  <c r="U275" i="66"/>
  <c r="Z275" i="66"/>
  <c r="AA275" i="66"/>
  <c r="AB275" i="66"/>
  <c r="AO275" i="66"/>
  <c r="AY275" i="66"/>
  <c r="AT275" i="66"/>
  <c r="AQ275" i="66"/>
  <c r="BF275" i="66"/>
  <c r="AP275" i="66"/>
  <c r="BI275" i="66"/>
  <c r="AX275" i="66"/>
  <c r="AV275" i="66"/>
  <c r="BH275" i="66"/>
  <c r="BC275" i="66"/>
  <c r="BB275" i="66"/>
  <c r="AR275" i="66"/>
  <c r="BG275" i="66"/>
  <c r="AM275" i="66"/>
  <c r="AW275" i="66"/>
  <c r="BE275" i="66"/>
  <c r="AZ275" i="66"/>
  <c r="AN275" i="66"/>
  <c r="AK275" i="66"/>
  <c r="AI275" i="66"/>
  <c r="BA275" i="66"/>
  <c r="BD275" i="66"/>
  <c r="AL275" i="66"/>
  <c r="AU275" i="66"/>
  <c r="AS275" i="66"/>
  <c r="AJ275" i="66"/>
  <c r="W274" i="66" l="1"/>
  <c r="V274" i="66" s="1"/>
  <c r="Q275" i="66"/>
  <c r="AE275" i="66"/>
  <c r="AC275" i="66"/>
  <c r="Y275" i="66"/>
  <c r="X275" i="66"/>
  <c r="R276" i="66"/>
  <c r="S276" i="66"/>
  <c r="T276" i="66"/>
  <c r="U276" i="66"/>
  <c r="Z276" i="66"/>
  <c r="AA276" i="66"/>
  <c r="AB276" i="66"/>
  <c r="AT276" i="66"/>
  <c r="AY276" i="66"/>
  <c r="BF276" i="66"/>
  <c r="BG276" i="66"/>
  <c r="AO276" i="66"/>
  <c r="AW276" i="66"/>
  <c r="AQ276" i="66"/>
  <c r="BE276" i="66"/>
  <c r="BC276" i="66"/>
  <c r="BA276" i="66"/>
  <c r="AS276" i="66"/>
  <c r="AR276" i="66"/>
  <c r="AX276" i="66"/>
  <c r="AZ276" i="66"/>
  <c r="BB276" i="66"/>
  <c r="AU276" i="66"/>
  <c r="BH276" i="66"/>
  <c r="AI276" i="66"/>
  <c r="AJ276" i="66"/>
  <c r="AM276" i="66"/>
  <c r="AV276" i="66"/>
  <c r="AN276" i="66"/>
  <c r="BI276" i="66"/>
  <c r="AL276" i="66"/>
  <c r="AK276" i="66"/>
  <c r="AP276" i="66"/>
  <c r="BD276" i="66"/>
  <c r="W275" i="66" l="1"/>
  <c r="V275" i="66" s="1"/>
  <c r="Q276" i="66"/>
  <c r="AE276" i="66"/>
  <c r="AC276" i="66"/>
  <c r="Y276" i="66"/>
  <c r="X276" i="66"/>
  <c r="R277" i="66"/>
  <c r="S277" i="66"/>
  <c r="T277" i="66"/>
  <c r="U277" i="66"/>
  <c r="Z277" i="66"/>
  <c r="AA277" i="66"/>
  <c r="AB277" i="66"/>
  <c r="AL277" i="66"/>
  <c r="AI277" i="66"/>
  <c r="BD277" i="66"/>
  <c r="BC277" i="66"/>
  <c r="AV277" i="66"/>
  <c r="BG277" i="66"/>
  <c r="AN277" i="66"/>
  <c r="AT277" i="66"/>
  <c r="AJ277" i="66"/>
  <c r="AR277" i="66"/>
  <c r="BF277" i="66"/>
  <c r="AS277" i="66"/>
  <c r="AX277" i="66"/>
  <c r="AO277" i="66"/>
  <c r="AM277" i="66"/>
  <c r="BA277" i="66"/>
  <c r="BE277" i="66"/>
  <c r="AW277" i="66"/>
  <c r="AK277" i="66"/>
  <c r="BH277" i="66"/>
  <c r="BI277" i="66"/>
  <c r="AY277" i="66"/>
  <c r="AZ277" i="66"/>
  <c r="AU277" i="66"/>
  <c r="AP277" i="66"/>
  <c r="AQ277" i="66"/>
  <c r="BB277" i="66"/>
  <c r="Q277" i="66" l="1"/>
  <c r="W276" i="66"/>
  <c r="V276" i="66" s="1"/>
  <c r="AE277" i="66"/>
  <c r="AC277" i="66"/>
  <c r="Y277" i="66"/>
  <c r="X277" i="66"/>
  <c r="R278" i="66"/>
  <c r="S278" i="66"/>
  <c r="T278" i="66"/>
  <c r="U278" i="66"/>
  <c r="Z278" i="66"/>
  <c r="AA278" i="66"/>
  <c r="AB278" i="66"/>
  <c r="AN278" i="66"/>
  <c r="AK278" i="66"/>
  <c r="BE278" i="66"/>
  <c r="AT278" i="66"/>
  <c r="AJ278" i="66"/>
  <c r="AQ278" i="66"/>
  <c r="BA278" i="66"/>
  <c r="BG278" i="66"/>
  <c r="AZ278" i="66"/>
  <c r="AX278" i="66"/>
  <c r="AO278" i="66"/>
  <c r="BB278" i="66"/>
  <c r="BI278" i="66"/>
  <c r="AP278" i="66"/>
  <c r="AM278" i="66"/>
  <c r="AI278" i="66"/>
  <c r="BH278" i="66"/>
  <c r="BD278" i="66"/>
  <c r="AV278" i="66"/>
  <c r="BC278" i="66"/>
  <c r="AU278" i="66"/>
  <c r="AW278" i="66"/>
  <c r="BF278" i="66"/>
  <c r="AY278" i="66"/>
  <c r="AR278" i="66"/>
  <c r="AL278" i="66"/>
  <c r="AS278" i="66"/>
  <c r="Q278" i="66" l="1"/>
  <c r="AE278" i="66"/>
  <c r="AC278" i="66"/>
  <c r="Y278" i="66"/>
  <c r="X278" i="66"/>
  <c r="W277" i="66"/>
  <c r="V277" i="66" s="1"/>
  <c r="R279" i="66"/>
  <c r="S279" i="66"/>
  <c r="T279" i="66"/>
  <c r="U279" i="66"/>
  <c r="Z279" i="66"/>
  <c r="AA279" i="66"/>
  <c r="AB279" i="66"/>
  <c r="AI279" i="66"/>
  <c r="AX279" i="66"/>
  <c r="BH279" i="66"/>
  <c r="AT279" i="66"/>
  <c r="AO279" i="66"/>
  <c r="AQ279" i="66"/>
  <c r="BB279" i="66"/>
  <c r="AU279" i="66"/>
  <c r="AR279" i="66"/>
  <c r="BF279" i="66"/>
  <c r="AK279" i="66"/>
  <c r="BI279" i="66"/>
  <c r="BA279" i="66"/>
  <c r="AY279" i="66"/>
  <c r="AP279" i="66"/>
  <c r="AZ279" i="66"/>
  <c r="BD279" i="66"/>
  <c r="BE279" i="66"/>
  <c r="AS279" i="66"/>
  <c r="AJ279" i="66"/>
  <c r="AL279" i="66"/>
  <c r="BC279" i="66"/>
  <c r="AM279" i="66"/>
  <c r="BG279" i="66"/>
  <c r="AN279" i="66"/>
  <c r="AW279" i="66"/>
  <c r="AV279" i="66"/>
  <c r="W278" i="66" l="1"/>
  <c r="V278" i="66" s="1"/>
  <c r="Q279" i="66"/>
  <c r="AE279" i="66"/>
  <c r="AC279" i="66"/>
  <c r="Y279" i="66"/>
  <c r="X279" i="66"/>
  <c r="R280" i="66"/>
  <c r="S280" i="66"/>
  <c r="T280" i="66"/>
  <c r="U280" i="66"/>
  <c r="Z280" i="66"/>
  <c r="AA280" i="66"/>
  <c r="AB280" i="66"/>
  <c r="AQ280" i="66"/>
  <c r="AS280" i="66"/>
  <c r="AP280" i="66"/>
  <c r="BG280" i="66"/>
  <c r="AN280" i="66"/>
  <c r="BF280" i="66"/>
  <c r="AK280" i="66"/>
  <c r="BH280" i="66"/>
  <c r="AY280" i="66"/>
  <c r="AT280" i="66"/>
  <c r="BA280" i="66"/>
  <c r="AO280" i="66"/>
  <c r="AZ280" i="66"/>
  <c r="BB280" i="66"/>
  <c r="BE280" i="66"/>
  <c r="BC280" i="66"/>
  <c r="AU280" i="66"/>
  <c r="AI280" i="66"/>
  <c r="AV280" i="66"/>
  <c r="BI280" i="66"/>
  <c r="AX280" i="66"/>
  <c r="AJ280" i="66"/>
  <c r="BD280" i="66"/>
  <c r="AL280" i="66"/>
  <c r="AR280" i="66"/>
  <c r="AW280" i="66"/>
  <c r="AM280" i="66"/>
  <c r="W279" i="66" l="1"/>
  <c r="V279" i="66" s="1"/>
  <c r="Q280" i="66"/>
  <c r="AE280" i="66"/>
  <c r="AC280" i="66"/>
  <c r="Y280" i="66"/>
  <c r="X280" i="66"/>
  <c r="W280" i="66" l="1"/>
  <c r="V280" i="66" s="1"/>
  <c r="D284" i="66" l="1"/>
  <c r="D285" i="66"/>
  <c r="AI299" i="66"/>
  <c r="AJ299" i="66"/>
  <c r="AK299" i="66"/>
  <c r="AL299" i="66"/>
  <c r="AM299" i="66"/>
  <c r="AN299" i="66"/>
  <c r="AO299" i="66"/>
  <c r="AP299" i="66"/>
  <c r="AQ299" i="66"/>
  <c r="AR299" i="66"/>
  <c r="AS299" i="66"/>
  <c r="AT299" i="66"/>
  <c r="AU299" i="66"/>
  <c r="AV299" i="66"/>
  <c r="AW299" i="66"/>
  <c r="Y300" i="66"/>
  <c r="AE300" i="66"/>
  <c r="AV300" i="66"/>
  <c r="AI300" i="66"/>
  <c r="AK300" i="66"/>
  <c r="BC300" i="66"/>
  <c r="AR300" i="66"/>
  <c r="BA300" i="66"/>
  <c r="AU300" i="66"/>
  <c r="BI300" i="66"/>
  <c r="AM300" i="66"/>
  <c r="BE300" i="66"/>
  <c r="BH300" i="66"/>
  <c r="AJ300" i="66"/>
  <c r="AL300" i="66"/>
  <c r="AO300" i="66"/>
  <c r="AT300" i="66"/>
  <c r="AS300" i="66"/>
  <c r="AQ300" i="66"/>
  <c r="BB300" i="66"/>
  <c r="BF300" i="66"/>
  <c r="AP300" i="66"/>
  <c r="AY300" i="66"/>
  <c r="BD300" i="66"/>
  <c r="BG300" i="66"/>
  <c r="AZ300" i="66"/>
  <c r="AN300" i="66"/>
  <c r="AW300" i="66"/>
  <c r="AX300" i="66"/>
  <c r="O274" i="66" l="1" a="1"/>
  <c r="O274" i="66" s="1"/>
  <c r="AC300" i="66"/>
  <c r="AB300" i="66"/>
  <c r="AA300" i="66"/>
  <c r="Z300" i="66"/>
  <c r="X300" i="66"/>
  <c r="R302" i="66"/>
  <c r="S302" i="66"/>
  <c r="T302" i="66"/>
  <c r="U302" i="66"/>
  <c r="Z302" i="66"/>
  <c r="AA302" i="66"/>
  <c r="AB302" i="66"/>
  <c r="AP302" i="66"/>
  <c r="AZ302" i="66"/>
  <c r="AS302" i="66"/>
  <c r="BA302" i="66"/>
  <c r="AT302" i="66"/>
  <c r="BI302" i="66"/>
  <c r="AV302" i="66"/>
  <c r="AO302" i="66"/>
  <c r="BD302" i="66"/>
  <c r="AI302" i="66"/>
  <c r="BE302" i="66"/>
  <c r="AL302" i="66"/>
  <c r="AQ302" i="66"/>
  <c r="BB302" i="66"/>
  <c r="BG302" i="66"/>
  <c r="AM302" i="66"/>
  <c r="AK302" i="66"/>
  <c r="AR302" i="66"/>
  <c r="AU302" i="66"/>
  <c r="AN302" i="66"/>
  <c r="BH302" i="66"/>
  <c r="AW302" i="66"/>
  <c r="AX302" i="66"/>
  <c r="AY302" i="66"/>
  <c r="BF302" i="66"/>
  <c r="BC302" i="66"/>
  <c r="AJ302" i="66"/>
  <c r="O275" i="66" l="1" a="1"/>
  <c r="O275" i="66" s="1"/>
  <c r="K275" i="66" s="1"/>
  <c r="L275" i="66" s="1"/>
  <c r="O276" i="66" a="1"/>
  <c r="O276" i="66" s="1"/>
  <c r="K276" i="66" s="1"/>
  <c r="L276" i="66" s="1"/>
  <c r="P273" i="66"/>
  <c r="I293" i="66" s="1"/>
  <c r="O271" i="66" a="1"/>
  <c r="O271" i="66" s="1"/>
  <c r="K271" i="66" s="1"/>
  <c r="L271" i="66" s="1"/>
  <c r="P272" i="66"/>
  <c r="H293" i="66" s="1"/>
  <c r="P271" i="66"/>
  <c r="O272" i="66" a="1"/>
  <c r="O272" i="66" s="1"/>
  <c r="N272" i="66" s="1"/>
  <c r="O273" i="66" a="1"/>
  <c r="O273" i="66" s="1"/>
  <c r="K273" i="66" s="1"/>
  <c r="L273" i="66" s="1"/>
  <c r="Q302" i="66"/>
  <c r="AE302" i="66"/>
  <c r="AC302" i="66"/>
  <c r="Y302" i="66"/>
  <c r="X302" i="66"/>
  <c r="N274" i="66"/>
  <c r="K274" i="66"/>
  <c r="L274" i="66" s="1"/>
  <c r="W300" i="66"/>
  <c r="R303" i="66"/>
  <c r="S303" i="66"/>
  <c r="T303" i="66"/>
  <c r="U303" i="66"/>
  <c r="Z303" i="66"/>
  <c r="AA303" i="66"/>
  <c r="AB303" i="66"/>
  <c r="BE303" i="66"/>
  <c r="BB303" i="66"/>
  <c r="AP303" i="66"/>
  <c r="AU303" i="66"/>
  <c r="AR303" i="66"/>
  <c r="BC303" i="66"/>
  <c r="AT303" i="66"/>
  <c r="BF303" i="66"/>
  <c r="AM303" i="66"/>
  <c r="BG303" i="66"/>
  <c r="AV303" i="66"/>
  <c r="AY303" i="66"/>
  <c r="AS303" i="66"/>
  <c r="AL303" i="66"/>
  <c r="BI303" i="66"/>
  <c r="BH303" i="66"/>
  <c r="AK303" i="66"/>
  <c r="BA303" i="66"/>
  <c r="AX303" i="66"/>
  <c r="AJ303" i="66"/>
  <c r="AZ303" i="66"/>
  <c r="AQ303" i="66"/>
  <c r="AI303" i="66"/>
  <c r="AW303" i="66"/>
  <c r="AO303" i="66"/>
  <c r="AN303" i="66"/>
  <c r="BD303" i="66"/>
  <c r="G269" i="66" l="1"/>
  <c r="G293" i="66"/>
  <c r="H269" i="66"/>
  <c r="I266" i="66"/>
  <c r="I276" i="66" s="1"/>
  <c r="I269" i="66"/>
  <c r="N275" i="66"/>
  <c r="K272" i="66"/>
  <c r="L272" i="66" s="1"/>
  <c r="H266" i="66"/>
  <c r="H270" i="66" s="1"/>
  <c r="N271" i="66"/>
  <c r="N276" i="66"/>
  <c r="G266" i="66"/>
  <c r="G271" i="66" s="1"/>
  <c r="N273" i="66"/>
  <c r="Q303" i="66"/>
  <c r="AE303" i="66"/>
  <c r="AC303" i="66"/>
  <c r="Y303" i="66"/>
  <c r="X303" i="66"/>
  <c r="W302" i="66"/>
  <c r="V302" i="66" s="1"/>
  <c r="R304" i="66"/>
  <c r="S304" i="66"/>
  <c r="T304" i="66"/>
  <c r="U304" i="66"/>
  <c r="Z304" i="66"/>
  <c r="AA304" i="66"/>
  <c r="AB304" i="66"/>
  <c r="AU304" i="66"/>
  <c r="AZ304" i="66"/>
  <c r="AW304" i="66"/>
  <c r="AS304" i="66"/>
  <c r="AK304" i="66"/>
  <c r="AX304" i="66"/>
  <c r="AO304" i="66"/>
  <c r="AN304" i="66"/>
  <c r="AR304" i="66"/>
  <c r="AT304" i="66"/>
  <c r="AQ304" i="66"/>
  <c r="AI304" i="66"/>
  <c r="AM304" i="66"/>
  <c r="BG304" i="66"/>
  <c r="AL304" i="66"/>
  <c r="BI304" i="66"/>
  <c r="BB304" i="66"/>
  <c r="BC304" i="66"/>
  <c r="BE304" i="66"/>
  <c r="AV304" i="66"/>
  <c r="BF304" i="66"/>
  <c r="BA304" i="66"/>
  <c r="AJ304" i="66"/>
  <c r="AY304" i="66"/>
  <c r="BD304" i="66"/>
  <c r="AP304" i="66"/>
  <c r="BH304" i="66"/>
  <c r="I275" i="66" l="1"/>
  <c r="I274" i="66"/>
  <c r="I273" i="66"/>
  <c r="I272" i="66"/>
  <c r="I271" i="66"/>
  <c r="I285" i="66"/>
  <c r="I283" i="66"/>
  <c r="I270" i="66"/>
  <c r="I287" i="66"/>
  <c r="I284" i="66"/>
  <c r="I280" i="66"/>
  <c r="I289" i="66"/>
  <c r="I288" i="66"/>
  <c r="I278" i="66"/>
  <c r="I279" i="66"/>
  <c r="I277" i="66"/>
  <c r="G270" i="66"/>
  <c r="H271" i="66"/>
  <c r="H288" i="66"/>
  <c r="H274" i="66"/>
  <c r="H285" i="66"/>
  <c r="G284" i="66"/>
  <c r="H278" i="66"/>
  <c r="G274" i="66"/>
  <c r="H287" i="66"/>
  <c r="H276" i="66"/>
  <c r="H280" i="66"/>
  <c r="H272" i="66"/>
  <c r="H284" i="66"/>
  <c r="H283" i="66"/>
  <c r="H277" i="66"/>
  <c r="H273" i="66"/>
  <c r="H289" i="66"/>
  <c r="H279" i="66"/>
  <c r="H275" i="66"/>
  <c r="G289" i="66"/>
  <c r="G278" i="66"/>
  <c r="G288" i="66"/>
  <c r="G276" i="66"/>
  <c r="G280" i="66"/>
  <c r="G272" i="66"/>
  <c r="G283" i="66"/>
  <c r="G285" i="66"/>
  <c r="G277" i="66"/>
  <c r="G273" i="66"/>
  <c r="G287" i="66"/>
  <c r="G279" i="66"/>
  <c r="G275" i="66"/>
  <c r="Q304" i="66"/>
  <c r="W303" i="66"/>
  <c r="V303" i="66" s="1"/>
  <c r="AE304" i="66"/>
  <c r="AC304" i="66"/>
  <c r="Y304" i="66"/>
  <c r="X304" i="66"/>
  <c r="R305" i="66"/>
  <c r="S305" i="66"/>
  <c r="T305" i="66"/>
  <c r="U305" i="66"/>
  <c r="Z305" i="66"/>
  <c r="AA305" i="66"/>
  <c r="AB305" i="66"/>
  <c r="AP305" i="66"/>
  <c r="AV305" i="66"/>
  <c r="AT305" i="66"/>
  <c r="AU305" i="66"/>
  <c r="AM305" i="66"/>
  <c r="BE305" i="66"/>
  <c r="AW305" i="66"/>
  <c r="AL305" i="66"/>
  <c r="AX305" i="66"/>
  <c r="AO305" i="66"/>
  <c r="BH305" i="66"/>
  <c r="AK305" i="66"/>
  <c r="BI305" i="66"/>
  <c r="AI305" i="66"/>
  <c r="AQ305" i="66"/>
  <c r="AJ305" i="66"/>
  <c r="BF305" i="66"/>
  <c r="AR305" i="66"/>
  <c r="AN305" i="66"/>
  <c r="BB305" i="66"/>
  <c r="BG305" i="66"/>
  <c r="AY305" i="66"/>
  <c r="BC305" i="66"/>
  <c r="BA305" i="66"/>
  <c r="AS305" i="66"/>
  <c r="BD305" i="66"/>
  <c r="AZ305" i="66"/>
  <c r="W304" i="66" l="1"/>
  <c r="V304" i="66" s="1"/>
  <c r="Q305" i="66"/>
  <c r="AE305" i="66"/>
  <c r="AC305" i="66"/>
  <c r="Y305" i="66"/>
  <c r="X305" i="66"/>
  <c r="R306" i="66"/>
  <c r="S306" i="66"/>
  <c r="T306" i="66"/>
  <c r="U306" i="66"/>
  <c r="Z306" i="66"/>
  <c r="AA306" i="66"/>
  <c r="AB306" i="66"/>
  <c r="BC306" i="66"/>
  <c r="AV306" i="66"/>
  <c r="AJ306" i="66"/>
  <c r="AZ306" i="66"/>
  <c r="AR306" i="66"/>
  <c r="AW306" i="66"/>
  <c r="AY306" i="66"/>
  <c r="BF306" i="66"/>
  <c r="AO306" i="66"/>
  <c r="AP306" i="66"/>
  <c r="AN306" i="66"/>
  <c r="BI306" i="66"/>
  <c r="BB306" i="66"/>
  <c r="BH306" i="66"/>
  <c r="AK306" i="66"/>
  <c r="BG306" i="66"/>
  <c r="AT306" i="66"/>
  <c r="AX306" i="66"/>
  <c r="BD306" i="66"/>
  <c r="AS306" i="66"/>
  <c r="BA306" i="66"/>
  <c r="BE306" i="66"/>
  <c r="AL306" i="66"/>
  <c r="AU306" i="66"/>
  <c r="AQ306" i="66"/>
  <c r="AM306" i="66"/>
  <c r="AI306" i="66"/>
  <c r="W305" i="66" l="1"/>
  <c r="V305" i="66" s="1"/>
  <c r="Q306" i="66"/>
  <c r="AE306" i="66"/>
  <c r="AC306" i="66"/>
  <c r="Y306" i="66"/>
  <c r="X306" i="66"/>
  <c r="R307" i="66"/>
  <c r="S307" i="66"/>
  <c r="T307" i="66"/>
  <c r="U307" i="66"/>
  <c r="Z307" i="66"/>
  <c r="AA307" i="66"/>
  <c r="AB307" i="66"/>
  <c r="AZ307" i="66"/>
  <c r="AQ307" i="66"/>
  <c r="BI307" i="66"/>
  <c r="BE307" i="66"/>
  <c r="BF307" i="66"/>
  <c r="AJ307" i="66"/>
  <c r="BH307" i="66"/>
  <c r="AI307" i="66"/>
  <c r="AO307" i="66"/>
  <c r="AS307" i="66"/>
  <c r="BD307" i="66"/>
  <c r="AL307" i="66"/>
  <c r="AU307" i="66"/>
  <c r="AY307" i="66"/>
  <c r="AW307" i="66"/>
  <c r="BC307" i="66"/>
  <c r="AP307" i="66"/>
  <c r="BA307" i="66"/>
  <c r="AT307" i="66"/>
  <c r="AX307" i="66"/>
  <c r="AK307" i="66"/>
  <c r="AN307" i="66"/>
  <c r="BG307" i="66"/>
  <c r="AM307" i="66"/>
  <c r="AR307" i="66"/>
  <c r="AV307" i="66"/>
  <c r="BB307" i="66"/>
  <c r="W306" i="66" l="1"/>
  <c r="V306" i="66" s="1"/>
  <c r="Q307" i="66"/>
  <c r="AE307" i="66"/>
  <c r="AC307" i="66"/>
  <c r="Y307" i="66"/>
  <c r="X307" i="66"/>
  <c r="R308" i="66"/>
  <c r="S308" i="66"/>
  <c r="T308" i="66"/>
  <c r="U308" i="66"/>
  <c r="Z308" i="66"/>
  <c r="AA308" i="66"/>
  <c r="AB308" i="66"/>
  <c r="BG308" i="66"/>
  <c r="AU308" i="66"/>
  <c r="BC308" i="66"/>
  <c r="BB308" i="66"/>
  <c r="AY308" i="66"/>
  <c r="AK308" i="66"/>
  <c r="AI308" i="66"/>
  <c r="AX308" i="66"/>
  <c r="AL308" i="66"/>
  <c r="BA308" i="66"/>
  <c r="AS308" i="66"/>
  <c r="BD308" i="66"/>
  <c r="BI308" i="66"/>
  <c r="AO308" i="66"/>
  <c r="AQ308" i="66"/>
  <c r="AN308" i="66"/>
  <c r="AZ308" i="66"/>
  <c r="BH308" i="66"/>
  <c r="AJ308" i="66"/>
  <c r="AV308" i="66"/>
  <c r="AW308" i="66"/>
  <c r="AM308" i="66"/>
  <c r="AT308" i="66"/>
  <c r="AR308" i="66"/>
  <c r="BE308" i="66"/>
  <c r="BF308" i="66"/>
  <c r="AP308" i="66"/>
  <c r="W307" i="66" l="1"/>
  <c r="V307" i="66" s="1"/>
  <c r="Q308" i="66"/>
  <c r="AE308" i="66"/>
  <c r="AC308" i="66"/>
  <c r="Y308" i="66"/>
  <c r="X308" i="66"/>
  <c r="R309" i="66"/>
  <c r="S309" i="66"/>
  <c r="T309" i="66"/>
  <c r="U309" i="66"/>
  <c r="Z309" i="66"/>
  <c r="AA309" i="66"/>
  <c r="AB309" i="66"/>
  <c r="BE309" i="66"/>
  <c r="AN309" i="66"/>
  <c r="BC309" i="66"/>
  <c r="AK309" i="66"/>
  <c r="AT309" i="66"/>
  <c r="BB309" i="66"/>
  <c r="AY309" i="66"/>
  <c r="AP309" i="66"/>
  <c r="AV309" i="66"/>
  <c r="AW309" i="66"/>
  <c r="AR309" i="66"/>
  <c r="AX309" i="66"/>
  <c r="AJ309" i="66"/>
  <c r="AU309" i="66"/>
  <c r="BG309" i="66"/>
  <c r="AI309" i="66"/>
  <c r="BD309" i="66"/>
  <c r="AO309" i="66"/>
  <c r="BF309" i="66"/>
  <c r="BA309" i="66"/>
  <c r="AL309" i="66"/>
  <c r="AZ309" i="66"/>
  <c r="BI309" i="66"/>
  <c r="BH309" i="66"/>
  <c r="AS309" i="66"/>
  <c r="AM309" i="66"/>
  <c r="AQ309" i="66"/>
  <c r="Q309" i="66" l="1"/>
  <c r="AE309" i="66"/>
  <c r="AC309" i="66"/>
  <c r="Y309" i="66"/>
  <c r="X309" i="66"/>
  <c r="W308" i="66"/>
  <c r="V308" i="66" s="1"/>
  <c r="R310" i="66"/>
  <c r="S310" i="66"/>
  <c r="T310" i="66"/>
  <c r="U310" i="66"/>
  <c r="Z310" i="66"/>
  <c r="AA310" i="66"/>
  <c r="AB310" i="66"/>
  <c r="AZ310" i="66"/>
  <c r="AO310" i="66"/>
  <c r="BA310" i="66"/>
  <c r="AJ310" i="66"/>
  <c r="AW310" i="66"/>
  <c r="AP310" i="66"/>
  <c r="AY310" i="66"/>
  <c r="AQ310" i="66"/>
  <c r="BF310" i="66"/>
  <c r="AT310" i="66"/>
  <c r="AL310" i="66"/>
  <c r="BC310" i="66"/>
  <c r="AX310" i="66"/>
  <c r="AM310" i="66"/>
  <c r="BB310" i="66"/>
  <c r="AN310" i="66"/>
  <c r="BG310" i="66"/>
  <c r="BE310" i="66"/>
  <c r="BH310" i="66"/>
  <c r="AI310" i="66"/>
  <c r="AV310" i="66"/>
  <c r="AK310" i="66"/>
  <c r="BD310" i="66"/>
  <c r="AS310" i="66"/>
  <c r="AR310" i="66"/>
  <c r="BI310" i="66"/>
  <c r="AU310" i="66"/>
  <c r="W309" i="66" l="1"/>
  <c r="V309" i="66" s="1"/>
  <c r="Q310" i="66"/>
  <c r="AE310" i="66"/>
  <c r="AC310" i="66"/>
  <c r="Y310" i="66"/>
  <c r="X310" i="66"/>
  <c r="R311" i="66"/>
  <c r="S311" i="66"/>
  <c r="T311" i="66"/>
  <c r="U311" i="66"/>
  <c r="Z311" i="66"/>
  <c r="AA311" i="66"/>
  <c r="AB311" i="66"/>
  <c r="BH311" i="66"/>
  <c r="AZ311" i="66"/>
  <c r="AT311" i="66"/>
  <c r="BG311" i="66"/>
  <c r="AN311" i="66"/>
  <c r="BF311" i="66"/>
  <c r="AI311" i="66"/>
  <c r="AV311" i="66"/>
  <c r="BA311" i="66"/>
  <c r="AK311" i="66"/>
  <c r="BD311" i="66"/>
  <c r="BI311" i="66"/>
  <c r="AL311" i="66"/>
  <c r="AO311" i="66"/>
  <c r="AS311" i="66"/>
  <c r="AW311" i="66"/>
  <c r="BC311" i="66"/>
  <c r="AY311" i="66"/>
  <c r="BE311" i="66"/>
  <c r="AP311" i="66"/>
  <c r="AJ311" i="66"/>
  <c r="AR311" i="66"/>
  <c r="AQ311" i="66"/>
  <c r="AX311" i="66"/>
  <c r="AM311" i="66"/>
  <c r="AU311" i="66"/>
  <c r="BB311" i="66"/>
  <c r="W310" i="66" l="1"/>
  <c r="V310" i="66" s="1"/>
  <c r="Q311" i="66"/>
  <c r="AE311" i="66"/>
  <c r="AC311" i="66"/>
  <c r="Y311" i="66"/>
  <c r="X311" i="66"/>
  <c r="W311" i="66" l="1"/>
  <c r="V311" i="66" s="1"/>
  <c r="D315" i="66" l="1"/>
  <c r="D316" i="66"/>
  <c r="P302" i="66" l="1"/>
  <c r="P304" i="66"/>
  <c r="P303" i="66"/>
  <c r="O307" i="66" a="1"/>
  <c r="O307" i="66" s="1"/>
  <c r="O305" i="66" a="1"/>
  <c r="O305" i="66" s="1"/>
  <c r="O306" i="66" a="1"/>
  <c r="O306" i="66" s="1"/>
  <c r="O303" i="66" a="1"/>
  <c r="O303" i="66" s="1"/>
  <c r="O304" i="66" a="1"/>
  <c r="O304" i="66" s="1"/>
  <c r="O302" i="66" a="1"/>
  <c r="O302" i="66" s="1"/>
  <c r="H300" i="66" l="1"/>
  <c r="H324" i="66"/>
  <c r="I300" i="66"/>
  <c r="I324" i="66"/>
  <c r="G300" i="66"/>
  <c r="G324" i="66"/>
  <c r="N306" i="66"/>
  <c r="K306" i="66"/>
  <c r="L306" i="66" s="1"/>
  <c r="N303" i="66"/>
  <c r="K303" i="66"/>
  <c r="L303" i="66" s="1"/>
  <c r="N302" i="66"/>
  <c r="K302" i="66"/>
  <c r="L302" i="66" s="1"/>
  <c r="H297" i="66"/>
  <c r="K307" i="66"/>
  <c r="L307" i="66" s="1"/>
  <c r="N307" i="66"/>
  <c r="I297" i="66"/>
  <c r="N304" i="66"/>
  <c r="K304" i="66"/>
  <c r="L304" i="66" s="1"/>
  <c r="N305" i="66"/>
  <c r="K305" i="66"/>
  <c r="L305" i="66" s="1"/>
  <c r="G297" i="66"/>
  <c r="H301" i="66" l="1"/>
  <c r="H302" i="66"/>
  <c r="H303" i="66"/>
  <c r="H304" i="66"/>
  <c r="H305" i="66"/>
  <c r="H306" i="66"/>
  <c r="H307" i="66"/>
  <c r="H308" i="66"/>
  <c r="H309" i="66"/>
  <c r="H310" i="66"/>
  <c r="H311" i="66"/>
  <c r="H318" i="66"/>
  <c r="H315" i="66"/>
  <c r="H319" i="66"/>
  <c r="H314" i="66"/>
  <c r="H316" i="66"/>
  <c r="H320" i="66"/>
  <c r="I301" i="66"/>
  <c r="I302" i="66"/>
  <c r="I303" i="66"/>
  <c r="I304" i="66"/>
  <c r="I305" i="66"/>
  <c r="I306" i="66"/>
  <c r="I307" i="66"/>
  <c r="I308" i="66"/>
  <c r="I309" i="66"/>
  <c r="I310" i="66"/>
  <c r="I311" i="66"/>
  <c r="I314" i="66"/>
  <c r="I318" i="66"/>
  <c r="I315" i="66"/>
  <c r="I319" i="66"/>
  <c r="I316" i="66"/>
  <c r="I320" i="66"/>
  <c r="G301" i="66"/>
  <c r="G302" i="66"/>
  <c r="G303" i="66"/>
  <c r="G304" i="66"/>
  <c r="G305" i="66"/>
  <c r="G306" i="66"/>
  <c r="G307" i="66"/>
  <c r="G308" i="66"/>
  <c r="G309" i="66"/>
  <c r="G310" i="66"/>
  <c r="G311" i="66"/>
  <c r="G315" i="66"/>
  <c r="G319" i="66"/>
  <c r="G318" i="66"/>
  <c r="G316" i="66"/>
  <c r="G320" i="66"/>
  <c r="G314" i="66"/>
  <c r="AI106" i="66" l="1"/>
  <c r="AJ106" i="66"/>
  <c r="AK106" i="66"/>
  <c r="AL106" i="66"/>
  <c r="AM106" i="66"/>
  <c r="AN106" i="66"/>
  <c r="AO106" i="66"/>
  <c r="AP106" i="66"/>
  <c r="AQ106" i="66"/>
  <c r="AR106" i="66"/>
  <c r="AS106" i="66"/>
  <c r="AT106" i="66"/>
  <c r="AU106" i="66"/>
  <c r="AV106" i="66"/>
  <c r="AW106" i="66"/>
  <c r="Y107" i="66"/>
  <c r="AE107" i="66"/>
  <c r="R109" i="66"/>
  <c r="S109" i="66"/>
  <c r="T109" i="66"/>
  <c r="U109" i="66"/>
  <c r="Z109" i="66"/>
  <c r="AA109" i="66"/>
  <c r="AB109" i="66"/>
  <c r="R110" i="66"/>
  <c r="S110" i="66"/>
  <c r="T110" i="66"/>
  <c r="U110" i="66"/>
  <c r="Z110" i="66"/>
  <c r="AA110" i="66"/>
  <c r="AB110" i="66"/>
  <c r="R111" i="66"/>
  <c r="S111" i="66"/>
  <c r="T111" i="66"/>
  <c r="U111" i="66"/>
  <c r="Z111" i="66"/>
  <c r="AA111" i="66"/>
  <c r="AB111" i="66"/>
  <c r="R112" i="66"/>
  <c r="S112" i="66"/>
  <c r="T112" i="66"/>
  <c r="U112" i="66"/>
  <c r="Z112" i="66"/>
  <c r="AA112" i="66"/>
  <c r="AB112" i="66"/>
  <c r="R113" i="66"/>
  <c r="S113" i="66"/>
  <c r="T113" i="66"/>
  <c r="U113" i="66"/>
  <c r="Z113" i="66"/>
  <c r="AA113" i="66"/>
  <c r="AB113" i="66"/>
  <c r="R114" i="66"/>
  <c r="S114" i="66"/>
  <c r="T114" i="66"/>
  <c r="U114" i="66"/>
  <c r="Z114" i="66"/>
  <c r="AA114" i="66"/>
  <c r="AB114" i="66"/>
  <c r="R115" i="66"/>
  <c r="S115" i="66"/>
  <c r="T115" i="66"/>
  <c r="U115" i="66"/>
  <c r="Z115" i="66"/>
  <c r="AA115" i="66"/>
  <c r="AB115" i="66"/>
  <c r="R116" i="66"/>
  <c r="S116" i="66"/>
  <c r="T116" i="66"/>
  <c r="U116" i="66"/>
  <c r="Z116" i="66"/>
  <c r="AA116" i="66"/>
  <c r="AB116" i="66"/>
  <c r="R117" i="66"/>
  <c r="S117" i="66"/>
  <c r="T117" i="66"/>
  <c r="U117" i="66"/>
  <c r="Z117" i="66"/>
  <c r="AA117" i="66"/>
  <c r="AB117" i="66"/>
  <c r="R118" i="66"/>
  <c r="S118" i="66"/>
  <c r="T118" i="66"/>
  <c r="U118" i="66"/>
  <c r="Z118" i="66"/>
  <c r="AA118" i="66"/>
  <c r="AB118" i="66"/>
  <c r="D122" i="66"/>
  <c r="D123" i="66"/>
  <c r="AI137" i="66"/>
  <c r="AJ137" i="66"/>
  <c r="AK137" i="66"/>
  <c r="AL137" i="66"/>
  <c r="AM137" i="66"/>
  <c r="AN137" i="66"/>
  <c r="AO137" i="66"/>
  <c r="AP137" i="66"/>
  <c r="AQ137" i="66"/>
  <c r="AR137" i="66"/>
  <c r="AS137" i="66"/>
  <c r="AT137" i="66"/>
  <c r="AU137" i="66"/>
  <c r="AV137" i="66"/>
  <c r="AW137" i="66"/>
  <c r="Y138" i="66"/>
  <c r="AE138" i="66"/>
  <c r="AT118" i="66"/>
  <c r="AR118" i="66"/>
  <c r="BE111" i="66"/>
  <c r="AX111" i="66"/>
  <c r="AP111" i="66"/>
  <c r="AO115" i="66"/>
  <c r="AP117" i="66"/>
  <c r="AV117" i="66"/>
  <c r="AR115" i="66"/>
  <c r="AJ115" i="66"/>
  <c r="BE115" i="66"/>
  <c r="BI113" i="66"/>
  <c r="BC111" i="66"/>
  <c r="BA112" i="66"/>
  <c r="BB112" i="66"/>
  <c r="AQ112" i="66"/>
  <c r="AL117" i="66"/>
  <c r="AL111" i="66"/>
  <c r="BF117" i="66"/>
  <c r="BF118" i="66"/>
  <c r="AJ117" i="66"/>
  <c r="AO109" i="66"/>
  <c r="BI138" i="66"/>
  <c r="AY113" i="66"/>
  <c r="AW138" i="66"/>
  <c r="AY110" i="66"/>
  <c r="AK118" i="66"/>
  <c r="AT111" i="66"/>
  <c r="AV111" i="66"/>
  <c r="AZ118" i="66"/>
  <c r="AI109" i="66"/>
  <c r="BB117" i="66"/>
  <c r="AN112" i="66"/>
  <c r="BG115" i="66"/>
  <c r="AZ107" i="66"/>
  <c r="AV138" i="66"/>
  <c r="AX112" i="66"/>
  <c r="AN114" i="66"/>
  <c r="AW115" i="66"/>
  <c r="BD114" i="66"/>
  <c r="BB110" i="66"/>
  <c r="AS115" i="66"/>
  <c r="AW113" i="66"/>
  <c r="BC114" i="66"/>
  <c r="AN111" i="66"/>
  <c r="AQ109" i="66"/>
  <c r="BC138" i="66"/>
  <c r="BG110" i="66"/>
  <c r="AN118" i="66"/>
  <c r="BD138" i="66"/>
  <c r="AR117" i="66"/>
  <c r="BD118" i="66"/>
  <c r="AQ117" i="66"/>
  <c r="AJ113" i="66"/>
  <c r="BG107" i="66"/>
  <c r="BB138" i="66"/>
  <c r="AI138" i="66"/>
  <c r="AV112" i="66"/>
  <c r="BA110" i="66"/>
  <c r="BG112" i="66"/>
  <c r="BF113" i="66"/>
  <c r="BD111" i="66"/>
  <c r="AR112" i="66"/>
  <c r="AO138" i="66"/>
  <c r="AO116" i="66"/>
  <c r="AN115" i="66"/>
  <c r="AQ110" i="66"/>
  <c r="AZ109" i="66"/>
  <c r="AJ112" i="66"/>
  <c r="AJ116" i="66"/>
  <c r="AZ114" i="66"/>
  <c r="AY109" i="66"/>
  <c r="AW112" i="66"/>
  <c r="BB115" i="66"/>
  <c r="BH107" i="66"/>
  <c r="AY138" i="66"/>
  <c r="AT138" i="66"/>
  <c r="AJ109" i="66"/>
  <c r="BE112" i="66"/>
  <c r="BH110" i="66"/>
  <c r="BD110" i="66"/>
  <c r="AS116" i="66"/>
  <c r="BC107" i="66"/>
  <c r="AO113" i="66"/>
  <c r="BD112" i="66"/>
  <c r="BF110" i="66"/>
  <c r="BH112" i="66"/>
  <c r="AI107" i="66"/>
  <c r="BB109" i="66"/>
  <c r="BC115" i="66"/>
  <c r="AL138" i="66"/>
  <c r="BI116" i="66"/>
  <c r="AJ107" i="66"/>
  <c r="AT115" i="66"/>
  <c r="AY114" i="66"/>
  <c r="BI112" i="66"/>
  <c r="BD115" i="66"/>
  <c r="BI109" i="66"/>
  <c r="BC116" i="66"/>
  <c r="AL118" i="66"/>
  <c r="AT109" i="66"/>
  <c r="BE107" i="66"/>
  <c r="AQ118" i="66"/>
  <c r="AM112" i="66"/>
  <c r="AX110" i="66"/>
  <c r="AW117" i="66"/>
  <c r="BI115" i="66"/>
  <c r="AR116" i="66"/>
  <c r="BI114" i="66"/>
  <c r="AP118" i="66"/>
  <c r="BH109" i="66"/>
  <c r="BH111" i="66"/>
  <c r="AV116" i="66"/>
  <c r="BH116" i="66"/>
  <c r="BC109" i="66"/>
  <c r="BC118" i="66"/>
  <c r="AR114" i="66"/>
  <c r="AK110" i="66"/>
  <c r="AN107" i="66"/>
  <c r="AX114" i="66"/>
  <c r="AM138" i="66"/>
  <c r="BF138" i="66"/>
  <c r="BI110" i="66"/>
  <c r="AQ114" i="66"/>
  <c r="BH138" i="66"/>
  <c r="BA111" i="66"/>
  <c r="BB118" i="66"/>
  <c r="AZ117" i="66"/>
  <c r="AK115" i="66"/>
  <c r="BG118" i="66"/>
  <c r="BB111" i="66"/>
  <c r="BD107" i="66"/>
  <c r="AX116" i="66"/>
  <c r="BD113" i="66"/>
  <c r="AU138" i="66"/>
  <c r="AN138" i="66"/>
  <c r="BA114" i="66"/>
  <c r="AR109" i="66"/>
  <c r="BG138" i="66"/>
  <c r="BD116" i="66"/>
  <c r="AJ118" i="66"/>
  <c r="AJ138" i="66"/>
  <c r="BI117" i="66"/>
  <c r="AZ110" i="66"/>
  <c r="BH114" i="66"/>
  <c r="AQ116" i="66"/>
  <c r="AK117" i="66"/>
  <c r="BC112" i="66"/>
  <c r="AO118" i="66"/>
  <c r="BG116" i="66"/>
  <c r="AT116" i="66"/>
  <c r="AX113" i="66"/>
  <c r="BF116" i="66"/>
  <c r="BI107" i="66"/>
  <c r="AX107" i="66"/>
  <c r="BF112" i="66"/>
  <c r="AS138" i="66"/>
  <c r="BF111" i="66"/>
  <c r="AR113" i="66"/>
  <c r="AK138" i="66"/>
  <c r="AK114" i="66"/>
  <c r="AN113" i="66"/>
  <c r="AV107" i="66"/>
  <c r="AJ110" i="66"/>
  <c r="BG109" i="66"/>
  <c r="AX115" i="66"/>
  <c r="BG111" i="66"/>
  <c r="AQ111" i="66"/>
  <c r="AK112" i="66"/>
  <c r="AK107" i="66"/>
  <c r="AV115" i="66"/>
  <c r="AK116" i="66"/>
  <c r="AO117" i="66"/>
  <c r="AV110" i="66"/>
  <c r="BD117" i="66"/>
  <c r="AY112" i="66"/>
  <c r="BA117" i="66"/>
  <c r="AZ111" i="66"/>
  <c r="AW118" i="66"/>
  <c r="AI113" i="66"/>
  <c r="BH118" i="66"/>
  <c r="BF115" i="66"/>
  <c r="BH115" i="66"/>
  <c r="AX109" i="66"/>
  <c r="BA113" i="66"/>
  <c r="BC113" i="66"/>
  <c r="AK113" i="66"/>
  <c r="AV113" i="66"/>
  <c r="AT113" i="66"/>
  <c r="AY115" i="66"/>
  <c r="BG114" i="66"/>
  <c r="BG113" i="66"/>
  <c r="AU118" i="66"/>
  <c r="BE138" i="66"/>
  <c r="BF109" i="66"/>
  <c r="BH113" i="66"/>
  <c r="BE110" i="66"/>
  <c r="BB107" i="66"/>
  <c r="AR111" i="66"/>
  <c r="AQ113" i="66"/>
  <c r="AT110" i="66"/>
  <c r="AX138" i="66"/>
  <c r="BC117" i="66"/>
  <c r="AW107" i="66"/>
  <c r="AN110" i="66"/>
  <c r="AR138" i="66"/>
  <c r="BA138" i="66"/>
  <c r="AZ112" i="66"/>
  <c r="AZ138" i="66"/>
  <c r="AR110" i="66"/>
  <c r="BE116" i="66"/>
  <c r="AN109" i="66"/>
  <c r="AR107" i="66"/>
  <c r="AL107" i="66"/>
  <c r="BB113" i="66"/>
  <c r="AV118" i="66"/>
  <c r="BA116" i="66"/>
  <c r="AQ138" i="66"/>
  <c r="BE114" i="66"/>
  <c r="BD109" i="66"/>
  <c r="BC110" i="66"/>
  <c r="AP138" i="66"/>
  <c r="BF114" i="66"/>
  <c r="AW110" i="66"/>
  <c r="AT114" i="66"/>
  <c r="AN116" i="66"/>
  <c r="AP109" i="66"/>
  <c r="AV109" i="66"/>
  <c r="AX118" i="66"/>
  <c r="BA107" i="66"/>
  <c r="AV114" i="66"/>
  <c r="AX117" i="66"/>
  <c r="BA115" i="66"/>
  <c r="AT112" i="66"/>
  <c r="BH117" i="66"/>
  <c r="BB114" i="66"/>
  <c r="AT107" i="66"/>
  <c r="AQ107" i="66"/>
  <c r="BA118" i="66"/>
  <c r="AM118" i="66"/>
  <c r="BE113" i="66"/>
  <c r="AW114" i="66"/>
  <c r="AJ114" i="66"/>
  <c r="AZ115" i="66"/>
  <c r="BI118" i="66"/>
  <c r="BE118" i="66"/>
  <c r="AY107" i="66"/>
  <c r="AN117" i="66"/>
  <c r="BI111" i="66"/>
  <c r="BA109" i="66"/>
  <c r="AJ111" i="66"/>
  <c r="AY116" i="66"/>
  <c r="BG117" i="66"/>
  <c r="AY111" i="66"/>
  <c r="AZ113" i="66"/>
  <c r="BE109" i="66"/>
  <c r="AY117" i="66"/>
  <c r="AZ116" i="66"/>
  <c r="AO112" i="66"/>
  <c r="BF107" i="66"/>
  <c r="AT117" i="66"/>
  <c r="AY118" i="66"/>
  <c r="AW116" i="66"/>
  <c r="BE117" i="66"/>
  <c r="BB116" i="66"/>
  <c r="AO114" i="66"/>
  <c r="AQ115" i="66"/>
  <c r="Q110" i="66" l="1"/>
  <c r="Q113" i="66"/>
  <c r="Q116" i="66"/>
  <c r="Q114" i="66"/>
  <c r="Q112" i="66"/>
  <c r="Q109" i="66"/>
  <c r="Q117" i="66"/>
  <c r="Q115" i="66"/>
  <c r="Q118" i="66"/>
  <c r="Q111" i="66"/>
  <c r="AC138" i="66"/>
  <c r="AB138" i="66"/>
  <c r="AA138" i="66"/>
  <c r="Z138" i="66"/>
  <c r="X138" i="66"/>
  <c r="AE109" i="66"/>
  <c r="Y115" i="66"/>
  <c r="AE118" i="66"/>
  <c r="AC118" i="66"/>
  <c r="Y116" i="66"/>
  <c r="X113" i="66"/>
  <c r="X107" i="66"/>
  <c r="AC111" i="66"/>
  <c r="Y117" i="66"/>
  <c r="Y112" i="66"/>
  <c r="X109" i="66"/>
  <c r="AC117" i="66"/>
  <c r="AE114" i="66"/>
  <c r="Y118" i="66"/>
  <c r="AC114" i="66"/>
  <c r="Y109" i="66"/>
  <c r="AE115" i="66"/>
  <c r="Y111" i="66"/>
  <c r="AC110" i="66"/>
  <c r="AC115" i="66"/>
  <c r="AE113" i="66"/>
  <c r="AC113" i="66"/>
  <c r="AC107" i="66"/>
  <c r="AC116" i="66"/>
  <c r="Y114" i="66"/>
  <c r="AE116" i="66"/>
  <c r="AE117" i="66"/>
  <c r="AE112" i="66"/>
  <c r="Y110" i="66"/>
  <c r="AC109" i="66"/>
  <c r="AA107" i="66"/>
  <c r="AC112" i="66"/>
  <c r="Z107" i="66"/>
  <c r="Y113" i="66"/>
  <c r="R140" i="66"/>
  <c r="S140" i="66"/>
  <c r="T140" i="66"/>
  <c r="U140" i="66"/>
  <c r="Z140" i="66"/>
  <c r="AA140" i="66"/>
  <c r="AB140" i="66"/>
  <c r="AT140" i="66"/>
  <c r="AM140" i="66"/>
  <c r="AP116" i="66"/>
  <c r="AM113" i="66"/>
  <c r="AU116" i="66"/>
  <c r="AO107" i="66"/>
  <c r="AP107" i="66"/>
  <c r="AP112" i="66"/>
  <c r="AS110" i="66"/>
  <c r="AP115" i="66"/>
  <c r="AU114" i="66"/>
  <c r="AU110" i="66"/>
  <c r="AL109" i="66"/>
  <c r="AK140" i="66"/>
  <c r="BD140" i="66"/>
  <c r="AK109" i="66"/>
  <c r="AU111" i="66"/>
  <c r="AU117" i="66"/>
  <c r="AY140" i="66"/>
  <c r="AP114" i="66"/>
  <c r="AP110" i="66"/>
  <c r="AX140" i="66"/>
  <c r="AL112" i="66"/>
  <c r="AU113" i="66"/>
  <c r="AR140" i="66"/>
  <c r="AS140" i="66"/>
  <c r="BI140" i="66"/>
  <c r="AW109" i="66"/>
  <c r="AM117" i="66"/>
  <c r="AZ140" i="66"/>
  <c r="AJ140" i="66"/>
  <c r="AS114" i="66"/>
  <c r="AK111" i="66"/>
  <c r="AW140" i="66"/>
  <c r="AI110" i="66"/>
  <c r="AO111" i="66"/>
  <c r="AM114" i="66"/>
  <c r="AI117" i="66"/>
  <c r="AS117" i="66"/>
  <c r="AU140" i="66"/>
  <c r="AI115" i="66"/>
  <c r="BA140" i="66"/>
  <c r="AU115" i="66"/>
  <c r="BE140" i="66"/>
  <c r="AI112" i="66"/>
  <c r="AN140" i="66"/>
  <c r="AS112" i="66"/>
  <c r="AL115" i="66"/>
  <c r="AM111" i="66"/>
  <c r="AL114" i="66"/>
  <c r="AL113" i="66"/>
  <c r="AI118" i="66"/>
  <c r="AP140" i="66"/>
  <c r="AI116" i="66"/>
  <c r="AU112" i="66"/>
  <c r="BB140" i="66"/>
  <c r="AO110" i="66"/>
  <c r="AM110" i="66"/>
  <c r="AS107" i="66"/>
  <c r="BF140" i="66"/>
  <c r="AQ140" i="66"/>
  <c r="AI114" i="66"/>
  <c r="AS118" i="66"/>
  <c r="AM116" i="66"/>
  <c r="BH140" i="66"/>
  <c r="AS109" i="66"/>
  <c r="AU107" i="66"/>
  <c r="BG140" i="66"/>
  <c r="AL116" i="66"/>
  <c r="BC140" i="66"/>
  <c r="AL140" i="66"/>
  <c r="AS111" i="66"/>
  <c r="AM115" i="66"/>
  <c r="AW111" i="66"/>
  <c r="AV140" i="66"/>
  <c r="AU109" i="66"/>
  <c r="AM107" i="66"/>
  <c r="AL110" i="66"/>
  <c r="AS113" i="66"/>
  <c r="AI140" i="66"/>
  <c r="AO140" i="66"/>
  <c r="AM109" i="66"/>
  <c r="AI111" i="66"/>
  <c r="AP113" i="66"/>
  <c r="X115" i="66" l="1"/>
  <c r="X110" i="66"/>
  <c r="X117" i="66"/>
  <c r="W117" i="66" s="1"/>
  <c r="V117" i="66" s="1"/>
  <c r="X114" i="66"/>
  <c r="X111" i="66"/>
  <c r="X116" i="66"/>
  <c r="X112" i="66"/>
  <c r="X118" i="66"/>
  <c r="W118" i="66" s="1"/>
  <c r="V118" i="66" s="1"/>
  <c r="Q140" i="66"/>
  <c r="W138" i="66"/>
  <c r="AE140" i="66"/>
  <c r="AC140" i="66"/>
  <c r="Y140" i="66"/>
  <c r="X140" i="66"/>
  <c r="W113" i="66"/>
  <c r="V113" i="66" s="1"/>
  <c r="AE111" i="66"/>
  <c r="AB107" i="66"/>
  <c r="W107" i="66" s="1"/>
  <c r="AE110" i="66"/>
  <c r="W109" i="66"/>
  <c r="V109" i="66" s="1"/>
  <c r="R141" i="66"/>
  <c r="S141" i="66"/>
  <c r="T141" i="66"/>
  <c r="U141" i="66"/>
  <c r="Z141" i="66"/>
  <c r="AA141" i="66"/>
  <c r="AB141" i="66"/>
  <c r="AW141" i="66"/>
  <c r="BG141" i="66"/>
  <c r="AO141" i="66"/>
  <c r="AL141" i="66"/>
  <c r="BB141" i="66"/>
  <c r="AV141" i="66"/>
  <c r="BH141" i="66"/>
  <c r="AI141" i="66"/>
  <c r="AP141" i="66"/>
  <c r="BF141" i="66"/>
  <c r="AM141" i="66"/>
  <c r="AK141" i="66"/>
  <c r="AS141" i="66"/>
  <c r="AN141" i="66"/>
  <c r="BA141" i="66"/>
  <c r="AR141" i="66"/>
  <c r="AT141" i="66"/>
  <c r="BE141" i="66"/>
  <c r="BI141" i="66"/>
  <c r="AY141" i="66"/>
  <c r="AU141" i="66"/>
  <c r="BC141" i="66"/>
  <c r="AQ141" i="66"/>
  <c r="BD141" i="66"/>
  <c r="AZ141" i="66"/>
  <c r="AX141" i="66"/>
  <c r="AJ141" i="66"/>
  <c r="W114" i="66" l="1"/>
  <c r="V114" i="66" s="1"/>
  <c r="W115" i="66"/>
  <c r="V115" i="66" s="1"/>
  <c r="W112" i="66"/>
  <c r="V112" i="66" s="1"/>
  <c r="W111" i="66"/>
  <c r="V111" i="66" s="1"/>
  <c r="W116" i="66"/>
  <c r="V116" i="66" s="1"/>
  <c r="Q141" i="66"/>
  <c r="W110" i="66"/>
  <c r="V110" i="66" s="1"/>
  <c r="W140" i="66"/>
  <c r="V140" i="66" s="1"/>
  <c r="AE141" i="66"/>
  <c r="AC141" i="66"/>
  <c r="Y141" i="66"/>
  <c r="X141" i="66"/>
  <c r="R142" i="66"/>
  <c r="S142" i="66"/>
  <c r="T142" i="66"/>
  <c r="U142" i="66"/>
  <c r="Z142" i="66"/>
  <c r="AA142" i="66"/>
  <c r="AB142" i="66"/>
  <c r="BG142" i="66"/>
  <c r="BH142" i="66"/>
  <c r="BD142" i="66"/>
  <c r="AY142" i="66"/>
  <c r="BA142" i="66"/>
  <c r="AJ142" i="66"/>
  <c r="AM142" i="66"/>
  <c r="BC142" i="66"/>
  <c r="AZ142" i="66"/>
  <c r="AW142" i="66"/>
  <c r="AS142" i="66"/>
  <c r="AT142" i="66"/>
  <c r="AN142" i="66"/>
  <c r="AX142" i="66"/>
  <c r="AV142" i="66"/>
  <c r="AP142" i="66"/>
  <c r="AK142" i="66"/>
  <c r="BE142" i="66"/>
  <c r="AL142" i="66"/>
  <c r="AR142" i="66"/>
  <c r="AU142" i="66"/>
  <c r="BB142" i="66"/>
  <c r="BF142" i="66"/>
  <c r="AI142" i="66"/>
  <c r="AO142" i="66"/>
  <c r="AQ142" i="66"/>
  <c r="BI142" i="66"/>
  <c r="P111" i="66" l="1"/>
  <c r="Q142" i="66"/>
  <c r="O114" i="66" a="1"/>
  <c r="O114" i="66" s="1"/>
  <c r="K114" i="66" s="1"/>
  <c r="L114" i="66" s="1"/>
  <c r="O112" i="66" a="1"/>
  <c r="O112" i="66" s="1"/>
  <c r="N112" i="66" s="1"/>
  <c r="O110" i="66" a="1"/>
  <c r="O110" i="66" s="1"/>
  <c r="K110" i="66" s="1"/>
  <c r="L110" i="66" s="1"/>
  <c r="O113" i="66" a="1"/>
  <c r="O113" i="66" s="1"/>
  <c r="K113" i="66" s="1"/>
  <c r="L113" i="66" s="1"/>
  <c r="O111" i="66" a="1"/>
  <c r="O111" i="66" s="1"/>
  <c r="N111" i="66" s="1"/>
  <c r="P110" i="66"/>
  <c r="W141" i="66"/>
  <c r="V141" i="66" s="1"/>
  <c r="O109" i="66" a="1"/>
  <c r="O109" i="66" s="1"/>
  <c r="N109" i="66" s="1"/>
  <c r="P109" i="66"/>
  <c r="AE142" i="66"/>
  <c r="AC142" i="66"/>
  <c r="Y142" i="66"/>
  <c r="X142" i="66"/>
  <c r="R143" i="66"/>
  <c r="S143" i="66"/>
  <c r="T143" i="66"/>
  <c r="U143" i="66"/>
  <c r="Z143" i="66"/>
  <c r="AA143" i="66"/>
  <c r="AB143" i="66"/>
  <c r="BG143" i="66"/>
  <c r="AM143" i="66"/>
  <c r="AJ143" i="66"/>
  <c r="BD143" i="66"/>
  <c r="AZ143" i="66"/>
  <c r="AL143" i="66"/>
  <c r="BH143" i="66"/>
  <c r="BE143" i="66"/>
  <c r="AU143" i="66"/>
  <c r="AI143" i="66"/>
  <c r="AT143" i="66"/>
  <c r="AY143" i="66"/>
  <c r="AO143" i="66"/>
  <c r="AN143" i="66"/>
  <c r="BA143" i="66"/>
  <c r="AP143" i="66"/>
  <c r="BB143" i="66"/>
  <c r="AV143" i="66"/>
  <c r="BI143" i="66"/>
  <c r="BF143" i="66"/>
  <c r="AQ143" i="66"/>
  <c r="AS143" i="66"/>
  <c r="AX143" i="66"/>
  <c r="BC143" i="66"/>
  <c r="AK143" i="66"/>
  <c r="AW143" i="66"/>
  <c r="AR143" i="66"/>
  <c r="I107" i="66" l="1"/>
  <c r="I131" i="66"/>
  <c r="G107" i="66"/>
  <c r="G131" i="66"/>
  <c r="H107" i="66"/>
  <c r="H131" i="66"/>
  <c r="I104" i="66"/>
  <c r="I123" i="66" s="1"/>
  <c r="W142" i="66"/>
  <c r="V142" i="66" s="1"/>
  <c r="K112" i="66"/>
  <c r="L112" i="66" s="1"/>
  <c r="Q143" i="66"/>
  <c r="N114" i="66"/>
  <c r="H104" i="66"/>
  <c r="H118" i="66" s="1"/>
  <c r="N110" i="66"/>
  <c r="K111" i="66"/>
  <c r="L111" i="66" s="1"/>
  <c r="N113" i="66"/>
  <c r="G104" i="66"/>
  <c r="G122" i="66" s="1"/>
  <c r="K109" i="66"/>
  <c r="L109" i="66" s="1"/>
  <c r="AE143" i="66"/>
  <c r="AC143" i="66"/>
  <c r="Y143" i="66"/>
  <c r="X143" i="66"/>
  <c r="R144" i="66"/>
  <c r="S144" i="66"/>
  <c r="T144" i="66"/>
  <c r="U144" i="66"/>
  <c r="Z144" i="66"/>
  <c r="AA144" i="66"/>
  <c r="AB144" i="66"/>
  <c r="AN144" i="66"/>
  <c r="BC144" i="66"/>
  <c r="AP144" i="66"/>
  <c r="BI144" i="66"/>
  <c r="BH144" i="66"/>
  <c r="AU144" i="66"/>
  <c r="AJ144" i="66"/>
  <c r="AI144" i="66"/>
  <c r="AQ144" i="66"/>
  <c r="AO144" i="66"/>
  <c r="AK144" i="66"/>
  <c r="BD144" i="66"/>
  <c r="BF144" i="66"/>
  <c r="AX144" i="66"/>
  <c r="AT144" i="66"/>
  <c r="BE144" i="66"/>
  <c r="BG144" i="66"/>
  <c r="AS144" i="66"/>
  <c r="BB144" i="66"/>
  <c r="BA144" i="66"/>
  <c r="AZ144" i="66"/>
  <c r="AW144" i="66"/>
  <c r="AL144" i="66"/>
  <c r="AR144" i="66"/>
  <c r="AY144" i="66"/>
  <c r="AM144" i="66"/>
  <c r="AV144" i="66"/>
  <c r="I116" i="66" l="1"/>
  <c r="I118" i="66"/>
  <c r="I113" i="66"/>
  <c r="I112" i="66"/>
  <c r="I108" i="66"/>
  <c r="I115" i="66"/>
  <c r="I126" i="66"/>
  <c r="I122" i="66"/>
  <c r="I117" i="66"/>
  <c r="I125" i="66"/>
  <c r="I114" i="66"/>
  <c r="I121" i="66"/>
  <c r="I127" i="66"/>
  <c r="I109" i="66"/>
  <c r="I110" i="66"/>
  <c r="I111" i="66"/>
  <c r="H117" i="66"/>
  <c r="H110" i="66"/>
  <c r="H114" i="66"/>
  <c r="H113" i="66"/>
  <c r="H121" i="66"/>
  <c r="H109" i="66"/>
  <c r="H125" i="66"/>
  <c r="H126" i="66"/>
  <c r="H116" i="66"/>
  <c r="H127" i="66"/>
  <c r="H123" i="66"/>
  <c r="H115" i="66"/>
  <c r="H111" i="66"/>
  <c r="H122" i="66"/>
  <c r="H112" i="66"/>
  <c r="G110" i="66"/>
  <c r="G125" i="66"/>
  <c r="H108" i="66"/>
  <c r="G113" i="66"/>
  <c r="G117" i="66"/>
  <c r="G118" i="66"/>
  <c r="G109" i="66"/>
  <c r="G112" i="66"/>
  <c r="G115" i="66"/>
  <c r="G111" i="66"/>
  <c r="G121" i="66"/>
  <c r="G127" i="66"/>
  <c r="G116" i="66"/>
  <c r="G126" i="66"/>
  <c r="G114" i="66"/>
  <c r="G123" i="66"/>
  <c r="G108" i="66"/>
  <c r="Q144" i="66"/>
  <c r="W143" i="66"/>
  <c r="V143" i="66" s="1"/>
  <c r="AE144" i="66"/>
  <c r="AC144" i="66"/>
  <c r="Y144" i="66"/>
  <c r="X144" i="66"/>
  <c r="R145" i="66"/>
  <c r="S145" i="66"/>
  <c r="T145" i="66"/>
  <c r="U145" i="66"/>
  <c r="Z145" i="66"/>
  <c r="AA145" i="66"/>
  <c r="AB145" i="66"/>
  <c r="BE145" i="66"/>
  <c r="BF145" i="66"/>
  <c r="AQ145" i="66"/>
  <c r="BH145" i="66"/>
  <c r="AT145" i="66"/>
  <c r="AZ145" i="66"/>
  <c r="AM145" i="66"/>
  <c r="AO145" i="66"/>
  <c r="AU145" i="66"/>
  <c r="BC145" i="66"/>
  <c r="AP145" i="66"/>
  <c r="AX145" i="66"/>
  <c r="AJ145" i="66"/>
  <c r="AL145" i="66"/>
  <c r="AK145" i="66"/>
  <c r="BG145" i="66"/>
  <c r="BI145" i="66"/>
  <c r="AN145" i="66"/>
  <c r="AV145" i="66"/>
  <c r="AS145" i="66"/>
  <c r="BD145" i="66"/>
  <c r="AI145" i="66"/>
  <c r="AR145" i="66"/>
  <c r="AW145" i="66"/>
  <c r="BA145" i="66"/>
  <c r="AY145" i="66"/>
  <c r="BB145" i="66"/>
  <c r="Q145" i="66" l="1"/>
  <c r="W144" i="66"/>
  <c r="V144" i="66" s="1"/>
  <c r="AE145" i="66"/>
  <c r="AC145" i="66"/>
  <c r="Y145" i="66"/>
  <c r="X145" i="66"/>
  <c r="R146" i="66"/>
  <c r="S146" i="66"/>
  <c r="T146" i="66"/>
  <c r="U146" i="66"/>
  <c r="Z146" i="66"/>
  <c r="AA146" i="66"/>
  <c r="AB146" i="66"/>
  <c r="AK146" i="66"/>
  <c r="AW146" i="66"/>
  <c r="BH146" i="66"/>
  <c r="AM146" i="66"/>
  <c r="BI146" i="66"/>
  <c r="AN146" i="66"/>
  <c r="AY146" i="66"/>
  <c r="AI146" i="66"/>
  <c r="BF146" i="66"/>
  <c r="BA146" i="66"/>
  <c r="AR146" i="66"/>
  <c r="BG146" i="66"/>
  <c r="BB146" i="66"/>
  <c r="AP146" i="66"/>
  <c r="AU146" i="66"/>
  <c r="AQ146" i="66"/>
  <c r="AX146" i="66"/>
  <c r="AJ146" i="66"/>
  <c r="AZ146" i="66"/>
  <c r="AV146" i="66"/>
  <c r="AS146" i="66"/>
  <c r="BE146" i="66"/>
  <c r="BD146" i="66"/>
  <c r="BC146" i="66"/>
  <c r="AT146" i="66"/>
  <c r="AO146" i="66"/>
  <c r="AL146" i="66"/>
  <c r="W145" i="66" l="1"/>
  <c r="V145" i="66" s="1"/>
  <c r="Q146" i="66"/>
  <c r="AE146" i="66"/>
  <c r="AC146" i="66"/>
  <c r="Y146" i="66"/>
  <c r="X146" i="66"/>
  <c r="R147" i="66"/>
  <c r="S147" i="66"/>
  <c r="T147" i="66"/>
  <c r="U147" i="66"/>
  <c r="Z147" i="66"/>
  <c r="AA147" i="66"/>
  <c r="AB147" i="66"/>
  <c r="BB147" i="66"/>
  <c r="AU147" i="66"/>
  <c r="AS147" i="66"/>
  <c r="BD147" i="66"/>
  <c r="BA147" i="66"/>
  <c r="BI147" i="66"/>
  <c r="AL147" i="66"/>
  <c r="BE147" i="66"/>
  <c r="AJ147" i="66"/>
  <c r="AT147" i="66"/>
  <c r="AP147" i="66"/>
  <c r="AV147" i="66"/>
  <c r="AY147" i="66"/>
  <c r="BG147" i="66"/>
  <c r="AN147" i="66"/>
  <c r="AZ147" i="66"/>
  <c r="AK147" i="66"/>
  <c r="AQ147" i="66"/>
  <c r="AI147" i="66"/>
  <c r="AO147" i="66"/>
  <c r="BH147" i="66"/>
  <c r="AM147" i="66"/>
  <c r="BF147" i="66"/>
  <c r="AW147" i="66"/>
  <c r="AR147" i="66"/>
  <c r="AX147" i="66"/>
  <c r="BC147" i="66"/>
  <c r="Q147" i="66" l="1"/>
  <c r="W146" i="66"/>
  <c r="V146" i="66" s="1"/>
  <c r="AE147" i="66"/>
  <c r="AC147" i="66"/>
  <c r="Y147" i="66"/>
  <c r="X147" i="66"/>
  <c r="R148" i="66"/>
  <c r="S148" i="66"/>
  <c r="T148" i="66"/>
  <c r="U148" i="66"/>
  <c r="Z148" i="66"/>
  <c r="AA148" i="66"/>
  <c r="AB148" i="66"/>
  <c r="BF148" i="66"/>
  <c r="AS148" i="66"/>
  <c r="AQ148" i="66"/>
  <c r="BI148" i="66"/>
  <c r="AV148" i="66"/>
  <c r="AU148" i="66"/>
  <c r="AN148" i="66"/>
  <c r="AI148" i="66"/>
  <c r="BG148" i="66"/>
  <c r="AT148" i="66"/>
  <c r="AJ148" i="66"/>
  <c r="AX148" i="66"/>
  <c r="AK148" i="66"/>
  <c r="BC148" i="66"/>
  <c r="AO148" i="66"/>
  <c r="AP148" i="66"/>
  <c r="BA148" i="66"/>
  <c r="AY148" i="66"/>
  <c r="AM148" i="66"/>
  <c r="BE148" i="66"/>
  <c r="AZ148" i="66"/>
  <c r="BB148" i="66"/>
  <c r="AW148" i="66"/>
  <c r="AR148" i="66"/>
  <c r="BH148" i="66"/>
  <c r="BD148" i="66"/>
  <c r="AL148" i="66"/>
  <c r="W147" i="66" l="1"/>
  <c r="V147" i="66" s="1"/>
  <c r="Q148" i="66"/>
  <c r="AE148" i="66"/>
  <c r="AC148" i="66"/>
  <c r="Y148" i="66"/>
  <c r="X148" i="66"/>
  <c r="R149" i="66"/>
  <c r="S149" i="66"/>
  <c r="T149" i="66"/>
  <c r="U149" i="66"/>
  <c r="Z149" i="66"/>
  <c r="AA149" i="66"/>
  <c r="AB149" i="66"/>
  <c r="BB149" i="66"/>
  <c r="AO149" i="66"/>
  <c r="AL149" i="66"/>
  <c r="BH149" i="66"/>
  <c r="BI149" i="66"/>
  <c r="AN149" i="66"/>
  <c r="BF149" i="66"/>
  <c r="AI149" i="66"/>
  <c r="AR149" i="66"/>
  <c r="BG149" i="66"/>
  <c r="BC149" i="66"/>
  <c r="AX149" i="66"/>
  <c r="AJ149" i="66"/>
  <c r="BA149" i="66"/>
  <c r="AU149" i="66"/>
  <c r="BE149" i="66"/>
  <c r="AY149" i="66"/>
  <c r="BD149" i="66"/>
  <c r="AP149" i="66"/>
  <c r="AQ149" i="66"/>
  <c r="AV149" i="66"/>
  <c r="AK149" i="66"/>
  <c r="AM149" i="66"/>
  <c r="AT149" i="66"/>
  <c r="AZ149" i="66"/>
  <c r="AS149" i="66"/>
  <c r="AW149" i="66"/>
  <c r="Q149" i="66" l="1"/>
  <c r="AE149" i="66"/>
  <c r="AC149" i="66"/>
  <c r="Y149" i="66"/>
  <c r="X149" i="66"/>
  <c r="W148" i="66"/>
  <c r="V148" i="66" s="1"/>
  <c r="W149" i="66" l="1"/>
  <c r="V149" i="66" s="1"/>
  <c r="D153" i="66" l="1"/>
  <c r="D154" i="66"/>
  <c r="AI171" i="66"/>
  <c r="AJ171" i="66"/>
  <c r="AK171" i="66"/>
  <c r="AL171" i="66"/>
  <c r="AM171" i="66"/>
  <c r="AN171" i="66"/>
  <c r="AO171" i="66"/>
  <c r="AP171" i="66"/>
  <c r="AQ171" i="66"/>
  <c r="AR171" i="66"/>
  <c r="AS171" i="66"/>
  <c r="AT171" i="66"/>
  <c r="AU171" i="66"/>
  <c r="AV171" i="66"/>
  <c r="AW171" i="66"/>
  <c r="Y172" i="66"/>
  <c r="AE172" i="66"/>
  <c r="AL172" i="66"/>
  <c r="AZ172" i="66"/>
  <c r="BI172" i="66"/>
  <c r="AJ172" i="66"/>
  <c r="AS172" i="66"/>
  <c r="AP172" i="66"/>
  <c r="AW172" i="66"/>
  <c r="BF172" i="66"/>
  <c r="AR172" i="66"/>
  <c r="AI172" i="66"/>
  <c r="AK172" i="66"/>
  <c r="BE172" i="66"/>
  <c r="AU172" i="66"/>
  <c r="AX172" i="66"/>
  <c r="AV172" i="66"/>
  <c r="AT172" i="66"/>
  <c r="AM172" i="66"/>
  <c r="BH172" i="66"/>
  <c r="AQ172" i="66"/>
  <c r="BD172" i="66"/>
  <c r="AY172" i="66"/>
  <c r="BA172" i="66"/>
  <c r="AO172" i="66"/>
  <c r="AN172" i="66"/>
  <c r="BG172" i="66"/>
  <c r="BB172" i="66"/>
  <c r="BC172" i="66"/>
  <c r="O143" i="66" l="1" a="1"/>
  <c r="O143" i="66" s="1"/>
  <c r="K143" i="66" s="1"/>
  <c r="L143" i="66" s="1"/>
  <c r="AC172" i="66"/>
  <c r="AB172" i="66"/>
  <c r="AA172" i="66"/>
  <c r="Z172" i="66"/>
  <c r="X172" i="66"/>
  <c r="R174" i="66"/>
  <c r="S174" i="66"/>
  <c r="T174" i="66"/>
  <c r="U174" i="66"/>
  <c r="Z174" i="66"/>
  <c r="AA174" i="66"/>
  <c r="AB174" i="66"/>
  <c r="AT174" i="66"/>
  <c r="AW174" i="66"/>
  <c r="AK174" i="66"/>
  <c r="BD174" i="66"/>
  <c r="BE174" i="66"/>
  <c r="AQ174" i="66"/>
  <c r="BA174" i="66"/>
  <c r="BH174" i="66"/>
  <c r="AI174" i="66"/>
  <c r="BI174" i="66"/>
  <c r="AX174" i="66"/>
  <c r="AP174" i="66"/>
  <c r="AV174" i="66"/>
  <c r="AU174" i="66"/>
  <c r="AY174" i="66"/>
  <c r="BB174" i="66"/>
  <c r="AZ174" i="66"/>
  <c r="BF174" i="66"/>
  <c r="BC174" i="66"/>
  <c r="AJ174" i="66"/>
  <c r="AM174" i="66"/>
  <c r="AO174" i="66"/>
  <c r="AL174" i="66"/>
  <c r="AN174" i="66"/>
  <c r="AR174" i="66"/>
  <c r="AS174" i="66"/>
  <c r="BG174" i="66"/>
  <c r="O141" i="66" l="1" a="1"/>
  <c r="O141" i="66" s="1"/>
  <c r="N141" i="66" s="1"/>
  <c r="O140" i="66" a="1"/>
  <c r="O140" i="66" s="1"/>
  <c r="N140" i="66" s="1"/>
  <c r="O144" i="66" a="1"/>
  <c r="O144" i="66" s="1"/>
  <c r="N144" i="66" s="1"/>
  <c r="O145" i="66" a="1"/>
  <c r="O145" i="66" s="1"/>
  <c r="K145" i="66" s="1"/>
  <c r="L145" i="66" s="1"/>
  <c r="N143" i="66"/>
  <c r="O142" i="66" a="1"/>
  <c r="O142" i="66" s="1"/>
  <c r="K142" i="66" s="1"/>
  <c r="L142" i="66" s="1"/>
  <c r="P142" i="66"/>
  <c r="P141" i="66"/>
  <c r="H162" i="66" s="1"/>
  <c r="P140" i="66"/>
  <c r="Q174" i="66"/>
  <c r="W172" i="66"/>
  <c r="AE174" i="66"/>
  <c r="AC174" i="66"/>
  <c r="Y174" i="66"/>
  <c r="X174" i="66"/>
  <c r="R175" i="66"/>
  <c r="S175" i="66"/>
  <c r="T175" i="66"/>
  <c r="U175" i="66"/>
  <c r="Z175" i="66"/>
  <c r="AA175" i="66"/>
  <c r="AB175" i="66"/>
  <c r="AI175" i="66"/>
  <c r="AX175" i="66"/>
  <c r="AS175" i="66"/>
  <c r="AU175" i="66"/>
  <c r="AW175" i="66"/>
  <c r="AY175" i="66"/>
  <c r="AO175" i="66"/>
  <c r="AK175" i="66"/>
  <c r="BC175" i="66"/>
  <c r="BA175" i="66"/>
  <c r="AN175" i="66"/>
  <c r="AP175" i="66"/>
  <c r="AT175" i="66"/>
  <c r="AQ175" i="66"/>
  <c r="BF175" i="66"/>
  <c r="BD175" i="66"/>
  <c r="AJ175" i="66"/>
  <c r="BB175" i="66"/>
  <c r="BI175" i="66"/>
  <c r="BH175" i="66"/>
  <c r="AL175" i="66"/>
  <c r="AM175" i="66"/>
  <c r="AZ175" i="66"/>
  <c r="BE175" i="66"/>
  <c r="AV175" i="66"/>
  <c r="BG175" i="66"/>
  <c r="AR175" i="66"/>
  <c r="G138" i="66" l="1"/>
  <c r="G162" i="66"/>
  <c r="I138" i="66"/>
  <c r="I162" i="66"/>
  <c r="H135" i="66"/>
  <c r="H153" i="66" s="1"/>
  <c r="H138" i="66"/>
  <c r="K141" i="66"/>
  <c r="L141" i="66" s="1"/>
  <c r="K140" i="66"/>
  <c r="L140" i="66" s="1"/>
  <c r="K144" i="66"/>
  <c r="L144" i="66" s="1"/>
  <c r="I135" i="66"/>
  <c r="I144" i="66" s="1"/>
  <c r="N142" i="66"/>
  <c r="N145" i="66"/>
  <c r="G135" i="66"/>
  <c r="G142" i="66" s="1"/>
  <c r="Q175" i="66"/>
  <c r="W174" i="66"/>
  <c r="V174" i="66" s="1"/>
  <c r="AE175" i="66"/>
  <c r="AC175" i="66"/>
  <c r="Y175" i="66"/>
  <c r="X175" i="66"/>
  <c r="R176" i="66"/>
  <c r="S176" i="66"/>
  <c r="T176" i="66"/>
  <c r="U176" i="66"/>
  <c r="Z176" i="66"/>
  <c r="AA176" i="66"/>
  <c r="AB176" i="66"/>
  <c r="AN176" i="66"/>
  <c r="BI176" i="66"/>
  <c r="AV176" i="66"/>
  <c r="AO176" i="66"/>
  <c r="AY176" i="66"/>
  <c r="AQ176" i="66"/>
  <c r="AM176" i="66"/>
  <c r="AJ176" i="66"/>
  <c r="BC176" i="66"/>
  <c r="AU176" i="66"/>
  <c r="AW176" i="66"/>
  <c r="BG176" i="66"/>
  <c r="BF176" i="66"/>
  <c r="BH176" i="66"/>
  <c r="AK176" i="66"/>
  <c r="AI176" i="66"/>
  <c r="AZ176" i="66"/>
  <c r="AP176" i="66"/>
  <c r="BB176" i="66"/>
  <c r="AS176" i="66"/>
  <c r="AX176" i="66"/>
  <c r="BD176" i="66"/>
  <c r="BE176" i="66"/>
  <c r="AR176" i="66"/>
  <c r="AL176" i="66"/>
  <c r="BA176" i="66"/>
  <c r="AT176" i="66"/>
  <c r="H147" i="66" l="1"/>
  <c r="H142" i="66"/>
  <c r="H141" i="66"/>
  <c r="H158" i="66"/>
  <c r="H157" i="66"/>
  <c r="H149" i="66"/>
  <c r="H148" i="66"/>
  <c r="H139" i="66"/>
  <c r="H146" i="66"/>
  <c r="H140" i="66"/>
  <c r="H145" i="66"/>
  <c r="H152" i="66"/>
  <c r="H144" i="66"/>
  <c r="H154" i="66"/>
  <c r="H156" i="66"/>
  <c r="H143" i="66"/>
  <c r="G139" i="66"/>
  <c r="G140" i="66"/>
  <c r="G144" i="66"/>
  <c r="G156" i="66"/>
  <c r="G154" i="66"/>
  <c r="G158" i="66"/>
  <c r="G145" i="66"/>
  <c r="G157" i="66"/>
  <c r="I153" i="66"/>
  <c r="G141" i="66"/>
  <c r="I147" i="66"/>
  <c r="G149" i="66"/>
  <c r="G153" i="66"/>
  <c r="I143" i="66"/>
  <c r="G148" i="66"/>
  <c r="I148" i="66"/>
  <c r="G146" i="66"/>
  <c r="G143" i="66"/>
  <c r="I141" i="66"/>
  <c r="I139" i="66"/>
  <c r="I152" i="66"/>
  <c r="I140" i="66"/>
  <c r="I154" i="66"/>
  <c r="I142" i="66"/>
  <c r="I158" i="66"/>
  <c r="I157" i="66"/>
  <c r="I156" i="66"/>
  <c r="I149" i="66"/>
  <c r="G147" i="66"/>
  <c r="I146" i="66"/>
  <c r="I145" i="66"/>
  <c r="G152" i="66"/>
  <c r="Q176" i="66"/>
  <c r="W175" i="66"/>
  <c r="V175" i="66" s="1"/>
  <c r="AE176" i="66"/>
  <c r="AC176" i="66"/>
  <c r="Y176" i="66"/>
  <c r="X176" i="66"/>
  <c r="R177" i="66"/>
  <c r="S177" i="66"/>
  <c r="T177" i="66"/>
  <c r="U177" i="66"/>
  <c r="Z177" i="66"/>
  <c r="AA177" i="66"/>
  <c r="AB177" i="66"/>
  <c r="AP177" i="66"/>
  <c r="BA177" i="66"/>
  <c r="AS177" i="66"/>
  <c r="AQ177" i="66"/>
  <c r="BC177" i="66"/>
  <c r="AK177" i="66"/>
  <c r="AZ177" i="66"/>
  <c r="AY177" i="66"/>
  <c r="AU177" i="66"/>
  <c r="BB177" i="66"/>
  <c r="BF177" i="66"/>
  <c r="AV177" i="66"/>
  <c r="AM177" i="66"/>
  <c r="AN177" i="66"/>
  <c r="AX177" i="66"/>
  <c r="AL177" i="66"/>
  <c r="AJ177" i="66"/>
  <c r="AO177" i="66"/>
  <c r="BD177" i="66"/>
  <c r="AW177" i="66"/>
  <c r="BG177" i="66"/>
  <c r="AR177" i="66"/>
  <c r="AT177" i="66"/>
  <c r="AI177" i="66"/>
  <c r="BI177" i="66"/>
  <c r="BH177" i="66"/>
  <c r="BE177" i="66"/>
  <c r="Q177" i="66" l="1"/>
  <c r="W176" i="66"/>
  <c r="V176" i="66" s="1"/>
  <c r="AE177" i="66"/>
  <c r="AC177" i="66"/>
  <c r="Y177" i="66"/>
  <c r="X177" i="66"/>
  <c r="R178" i="66"/>
  <c r="S178" i="66"/>
  <c r="T178" i="66"/>
  <c r="U178" i="66"/>
  <c r="Z178" i="66"/>
  <c r="AA178" i="66"/>
  <c r="AB178" i="66"/>
  <c r="AJ178" i="66"/>
  <c r="AU178" i="66"/>
  <c r="BE178" i="66"/>
  <c r="AS178" i="66"/>
  <c r="AX178" i="66"/>
  <c r="AM178" i="66"/>
  <c r="BF178" i="66"/>
  <c r="AW178" i="66"/>
  <c r="BI178" i="66"/>
  <c r="AK178" i="66"/>
  <c r="AQ178" i="66"/>
  <c r="AT178" i="66"/>
  <c r="BC178" i="66"/>
  <c r="AO178" i="66"/>
  <c r="AN178" i="66"/>
  <c r="AY178" i="66"/>
  <c r="AL178" i="66"/>
  <c r="BH178" i="66"/>
  <c r="BA178" i="66"/>
  <c r="BD178" i="66"/>
  <c r="BG178" i="66"/>
  <c r="BB178" i="66"/>
  <c r="AV178" i="66"/>
  <c r="AZ178" i="66"/>
  <c r="AI178" i="66"/>
  <c r="AP178" i="66"/>
  <c r="AR178" i="66"/>
  <c r="Q178" i="66" l="1"/>
  <c r="W177" i="66"/>
  <c r="V177" i="66" s="1"/>
  <c r="AE178" i="66"/>
  <c r="AC178" i="66"/>
  <c r="Y178" i="66"/>
  <c r="X178" i="66"/>
  <c r="R179" i="66"/>
  <c r="S179" i="66"/>
  <c r="T179" i="66"/>
  <c r="U179" i="66"/>
  <c r="Z179" i="66"/>
  <c r="AA179" i="66"/>
  <c r="AB179" i="66"/>
  <c r="AR179" i="66"/>
  <c r="AX179" i="66"/>
  <c r="BE179" i="66"/>
  <c r="BA179" i="66"/>
  <c r="AN179" i="66"/>
  <c r="AZ179" i="66"/>
  <c r="AT179" i="66"/>
  <c r="AI179" i="66"/>
  <c r="AY179" i="66"/>
  <c r="AJ179" i="66"/>
  <c r="AM179" i="66"/>
  <c r="BB179" i="66"/>
  <c r="AW179" i="66"/>
  <c r="AS179" i="66"/>
  <c r="BF179" i="66"/>
  <c r="AV179" i="66"/>
  <c r="BD179" i="66"/>
  <c r="AU179" i="66"/>
  <c r="BC179" i="66"/>
  <c r="AK179" i="66"/>
  <c r="AP179" i="66"/>
  <c r="AL179" i="66"/>
  <c r="BH179" i="66"/>
  <c r="BG179" i="66"/>
  <c r="AQ179" i="66"/>
  <c r="AO179" i="66"/>
  <c r="BI179" i="66"/>
  <c r="Q179" i="66" l="1"/>
  <c r="W178" i="66"/>
  <c r="V178" i="66" s="1"/>
  <c r="AE179" i="66"/>
  <c r="AC179" i="66"/>
  <c r="Y179" i="66"/>
  <c r="X179" i="66"/>
  <c r="R180" i="66"/>
  <c r="S180" i="66"/>
  <c r="T180" i="66"/>
  <c r="U180" i="66"/>
  <c r="Z180" i="66"/>
  <c r="AA180" i="66"/>
  <c r="AB180" i="66"/>
  <c r="AU180" i="66"/>
  <c r="AP180" i="66"/>
  <c r="BF180" i="66"/>
  <c r="AV180" i="66"/>
  <c r="BC180" i="66"/>
  <c r="BA180" i="66"/>
  <c r="AR180" i="66"/>
  <c r="AY180" i="66"/>
  <c r="AN180" i="66"/>
  <c r="BE180" i="66"/>
  <c r="AK180" i="66"/>
  <c r="AJ180" i="66"/>
  <c r="AS180" i="66"/>
  <c r="AL180" i="66"/>
  <c r="AX180" i="66"/>
  <c r="AO180" i="66"/>
  <c r="BG180" i="66"/>
  <c r="AZ180" i="66"/>
  <c r="BH180" i="66"/>
  <c r="AT180" i="66"/>
  <c r="AI180" i="66"/>
  <c r="BI180" i="66"/>
  <c r="AW180" i="66"/>
  <c r="BD180" i="66"/>
  <c r="BB180" i="66"/>
  <c r="AQ180" i="66"/>
  <c r="AM180" i="66"/>
  <c r="Q180" i="66" l="1"/>
  <c r="W179" i="66"/>
  <c r="V179" i="66" s="1"/>
  <c r="AE180" i="66"/>
  <c r="AC180" i="66"/>
  <c r="Y180" i="66"/>
  <c r="X180" i="66"/>
  <c r="R181" i="66"/>
  <c r="S181" i="66"/>
  <c r="T181" i="66"/>
  <c r="U181" i="66"/>
  <c r="Z181" i="66"/>
  <c r="AA181" i="66"/>
  <c r="AB181" i="66"/>
  <c r="AN181" i="66"/>
  <c r="BH181" i="66"/>
  <c r="AV181" i="66"/>
  <c r="BI181" i="66"/>
  <c r="AS181" i="66"/>
  <c r="AT181" i="66"/>
  <c r="AI181" i="66"/>
  <c r="BE181" i="66"/>
  <c r="AK181" i="66"/>
  <c r="BA181" i="66"/>
  <c r="AZ181" i="66"/>
  <c r="AO181" i="66"/>
  <c r="AY181" i="66"/>
  <c r="AW181" i="66"/>
  <c r="BC181" i="66"/>
  <c r="AQ181" i="66"/>
  <c r="AP181" i="66"/>
  <c r="AR181" i="66"/>
  <c r="AX181" i="66"/>
  <c r="AJ181" i="66"/>
  <c r="BD181" i="66"/>
  <c r="BB181" i="66"/>
  <c r="AL181" i="66"/>
  <c r="BF181" i="66"/>
  <c r="AM181" i="66"/>
  <c r="BG181" i="66"/>
  <c r="AU181" i="66"/>
  <c r="W180" i="66" l="1"/>
  <c r="V180" i="66" s="1"/>
  <c r="Q181" i="66"/>
  <c r="AE181" i="66"/>
  <c r="AC181" i="66"/>
  <c r="Y181" i="66"/>
  <c r="X181" i="66"/>
  <c r="R182" i="66"/>
  <c r="S182" i="66"/>
  <c r="T182" i="66"/>
  <c r="U182" i="66"/>
  <c r="Z182" i="66"/>
  <c r="AA182" i="66"/>
  <c r="AB182" i="66"/>
  <c r="AZ182" i="66"/>
  <c r="AR182" i="66"/>
  <c r="BF182" i="66"/>
  <c r="BD182" i="66"/>
  <c r="BE182" i="66"/>
  <c r="AN182" i="66"/>
  <c r="AW182" i="66"/>
  <c r="AP182" i="66"/>
  <c r="AX182" i="66"/>
  <c r="BG182" i="66"/>
  <c r="AJ182" i="66"/>
  <c r="AO182" i="66"/>
  <c r="AQ182" i="66"/>
  <c r="AV182" i="66"/>
  <c r="AS182" i="66"/>
  <c r="AK182" i="66"/>
  <c r="AI182" i="66"/>
  <c r="AY182" i="66"/>
  <c r="AM182" i="66"/>
  <c r="BI182" i="66"/>
  <c r="AT182" i="66"/>
  <c r="BB182" i="66"/>
  <c r="AL182" i="66"/>
  <c r="BH182" i="66"/>
  <c r="BA182" i="66"/>
  <c r="AU182" i="66"/>
  <c r="BC182" i="66"/>
  <c r="W181" i="66" l="1"/>
  <c r="V181" i="66" s="1"/>
  <c r="Q182" i="66"/>
  <c r="AE182" i="66"/>
  <c r="AC182" i="66"/>
  <c r="Y182" i="66"/>
  <c r="X182" i="66"/>
  <c r="R183" i="66"/>
  <c r="S183" i="66"/>
  <c r="T183" i="66"/>
  <c r="U183" i="66"/>
  <c r="Z183" i="66"/>
  <c r="AA183" i="66"/>
  <c r="AB183" i="66"/>
  <c r="AJ183" i="66"/>
  <c r="BE183" i="66"/>
  <c r="BA183" i="66"/>
  <c r="AZ183" i="66"/>
  <c r="AR183" i="66"/>
  <c r="AK183" i="66"/>
  <c r="AX183" i="66"/>
  <c r="BH183" i="66"/>
  <c r="BC183" i="66"/>
  <c r="BF183" i="66"/>
  <c r="AI183" i="66"/>
  <c r="AY183" i="66"/>
  <c r="AN183" i="66"/>
  <c r="AW183" i="66"/>
  <c r="AQ183" i="66"/>
  <c r="AT183" i="66"/>
  <c r="AV183" i="66"/>
  <c r="AP183" i="66"/>
  <c r="AL183" i="66"/>
  <c r="BI183" i="66"/>
  <c r="AO183" i="66"/>
  <c r="AM183" i="66"/>
  <c r="BB183" i="66"/>
  <c r="BG183" i="66"/>
  <c r="AU183" i="66"/>
  <c r="BD183" i="66"/>
  <c r="AS183" i="66"/>
  <c r="W182" i="66" l="1"/>
  <c r="V182" i="66" s="1"/>
  <c r="Q183" i="66"/>
  <c r="AE183" i="66"/>
  <c r="AC183" i="66"/>
  <c r="Y183" i="66"/>
  <c r="X183" i="66"/>
  <c r="W183" i="66" l="1"/>
  <c r="V183" i="66" s="1"/>
  <c r="D187" i="66" l="1"/>
  <c r="D188" i="66"/>
  <c r="AI74" i="66"/>
  <c r="AJ74" i="66"/>
  <c r="AK74" i="66"/>
  <c r="AL74" i="66"/>
  <c r="AM74" i="66"/>
  <c r="AN74" i="66"/>
  <c r="AO74" i="66"/>
  <c r="AP74" i="66"/>
  <c r="AQ74" i="66"/>
  <c r="AR74" i="66"/>
  <c r="AS74" i="66"/>
  <c r="AT74" i="66"/>
  <c r="AU74" i="66"/>
  <c r="AV74" i="66"/>
  <c r="AW74" i="66"/>
  <c r="Y75" i="66"/>
  <c r="AE75" i="66"/>
  <c r="R77" i="66"/>
  <c r="S77" i="66"/>
  <c r="T77" i="66"/>
  <c r="U77" i="66"/>
  <c r="Z77" i="66"/>
  <c r="AA77" i="66"/>
  <c r="AB77" i="66"/>
  <c r="R78" i="66"/>
  <c r="S78" i="66"/>
  <c r="T78" i="66"/>
  <c r="U78" i="66"/>
  <c r="Z78" i="66"/>
  <c r="AA78" i="66"/>
  <c r="AB78" i="66"/>
  <c r="R79" i="66"/>
  <c r="S79" i="66"/>
  <c r="T79" i="66"/>
  <c r="U79" i="66"/>
  <c r="Z79" i="66"/>
  <c r="AA79" i="66"/>
  <c r="AB79" i="66"/>
  <c r="R80" i="66"/>
  <c r="S80" i="66"/>
  <c r="T80" i="66"/>
  <c r="U80" i="66"/>
  <c r="Z80" i="66"/>
  <c r="AA80" i="66"/>
  <c r="AB80" i="66"/>
  <c r="R81" i="66"/>
  <c r="S81" i="66"/>
  <c r="T81" i="66"/>
  <c r="U81" i="66"/>
  <c r="Z81" i="66"/>
  <c r="AA81" i="66"/>
  <c r="AB81" i="66"/>
  <c r="R82" i="66"/>
  <c r="S82" i="66"/>
  <c r="T82" i="66"/>
  <c r="U82" i="66"/>
  <c r="Z82" i="66"/>
  <c r="AA82" i="66"/>
  <c r="AB82" i="66"/>
  <c r="R83" i="66"/>
  <c r="S83" i="66"/>
  <c r="T83" i="66"/>
  <c r="U83" i="66"/>
  <c r="Z83" i="66"/>
  <c r="AA83" i="66"/>
  <c r="AB83" i="66"/>
  <c r="R84" i="66"/>
  <c r="S84" i="66"/>
  <c r="T84" i="66"/>
  <c r="U84" i="66"/>
  <c r="Z84" i="66"/>
  <c r="AA84" i="66"/>
  <c r="AB84" i="66"/>
  <c r="R85" i="66"/>
  <c r="S85" i="66"/>
  <c r="T85" i="66"/>
  <c r="U85" i="66"/>
  <c r="Z85" i="66"/>
  <c r="AA85" i="66"/>
  <c r="AB85" i="66"/>
  <c r="R86" i="66"/>
  <c r="S86" i="66"/>
  <c r="T86" i="66"/>
  <c r="U86" i="66"/>
  <c r="Z86" i="66"/>
  <c r="AA86" i="66"/>
  <c r="AB86" i="66"/>
  <c r="D90" i="66"/>
  <c r="D91" i="66"/>
  <c r="AI40" i="66"/>
  <c r="AJ40" i="66"/>
  <c r="AK40" i="66"/>
  <c r="AL40" i="66"/>
  <c r="AM40" i="66"/>
  <c r="AN40" i="66"/>
  <c r="AO40" i="66"/>
  <c r="AP40" i="66"/>
  <c r="AQ40" i="66"/>
  <c r="AR40" i="66"/>
  <c r="AS40" i="66"/>
  <c r="AT40" i="66"/>
  <c r="AU40" i="66"/>
  <c r="AV40" i="66"/>
  <c r="AW40" i="66"/>
  <c r="Y41" i="66"/>
  <c r="AE41" i="66"/>
  <c r="R43" i="66"/>
  <c r="S43" i="66"/>
  <c r="T43" i="66"/>
  <c r="U43" i="66"/>
  <c r="Z43" i="66"/>
  <c r="AA43" i="66"/>
  <c r="AB43" i="66"/>
  <c r="R44" i="66"/>
  <c r="S44" i="66"/>
  <c r="T44" i="66"/>
  <c r="U44" i="66"/>
  <c r="Z44" i="66"/>
  <c r="AA44" i="66"/>
  <c r="AB44" i="66"/>
  <c r="R45" i="66"/>
  <c r="S45" i="66"/>
  <c r="T45" i="66"/>
  <c r="U45" i="66"/>
  <c r="Z45" i="66"/>
  <c r="AA45" i="66"/>
  <c r="AB45" i="66"/>
  <c r="R46" i="66"/>
  <c r="S46" i="66"/>
  <c r="T46" i="66"/>
  <c r="U46" i="66"/>
  <c r="Z46" i="66"/>
  <c r="AA46" i="66"/>
  <c r="AB46" i="66"/>
  <c r="R47" i="66"/>
  <c r="S47" i="66"/>
  <c r="T47" i="66"/>
  <c r="U47" i="66"/>
  <c r="Z47" i="66"/>
  <c r="AA47" i="66"/>
  <c r="AB47" i="66"/>
  <c r="R48" i="66"/>
  <c r="S48" i="66"/>
  <c r="T48" i="66"/>
  <c r="U48" i="66"/>
  <c r="Z48" i="66"/>
  <c r="AA48" i="66"/>
  <c r="AB48" i="66"/>
  <c r="R49" i="66"/>
  <c r="S49" i="66"/>
  <c r="T49" i="66"/>
  <c r="U49" i="66"/>
  <c r="Z49" i="66"/>
  <c r="AA49" i="66"/>
  <c r="AB49" i="66"/>
  <c r="R50" i="66"/>
  <c r="S50" i="66"/>
  <c r="T50" i="66"/>
  <c r="U50" i="66"/>
  <c r="Z50" i="66"/>
  <c r="AA50" i="66"/>
  <c r="AB50" i="66"/>
  <c r="R51" i="66"/>
  <c r="S51" i="66"/>
  <c r="T51" i="66"/>
  <c r="U51" i="66"/>
  <c r="Z51" i="66"/>
  <c r="AA51" i="66"/>
  <c r="AB51" i="66"/>
  <c r="R52" i="66"/>
  <c r="S52" i="66"/>
  <c r="T52" i="66"/>
  <c r="U52" i="66"/>
  <c r="Z52" i="66"/>
  <c r="AA52" i="66"/>
  <c r="AB52" i="66"/>
  <c r="D56" i="66"/>
  <c r="D57" i="66"/>
  <c r="AN224" i="65"/>
  <c r="AO224" i="65"/>
  <c r="AP224" i="65"/>
  <c r="AQ224" i="65"/>
  <c r="AR224" i="65"/>
  <c r="AS224" i="65"/>
  <c r="AT224" i="65"/>
  <c r="AU224" i="65"/>
  <c r="AV224" i="65"/>
  <c r="AW224" i="65"/>
  <c r="AX224" i="65"/>
  <c r="AZ224" i="65"/>
  <c r="BA224" i="65"/>
  <c r="BB224" i="65"/>
  <c r="AC225" i="65"/>
  <c r="AI225" i="65"/>
  <c r="Q45" i="66" l="1"/>
  <c r="Q85" i="66"/>
  <c r="Q80" i="66"/>
  <c r="Q81" i="66"/>
  <c r="Q78" i="66"/>
  <c r="Q84" i="66"/>
  <c r="Q82" i="66"/>
  <c r="Q77" i="66"/>
  <c r="Q43" i="66"/>
  <c r="Q86" i="66"/>
  <c r="Q48" i="66"/>
  <c r="Q83" i="66"/>
  <c r="Q79" i="66"/>
  <c r="Q46" i="66"/>
  <c r="Q49" i="66"/>
  <c r="Q51" i="66"/>
  <c r="Q44" i="66"/>
  <c r="Q47" i="66"/>
  <c r="Q52" i="66"/>
  <c r="Q50" i="66"/>
  <c r="R227" i="65"/>
  <c r="S227" i="65"/>
  <c r="T227" i="65"/>
  <c r="U227" i="65"/>
  <c r="V227" i="65"/>
  <c r="W227" i="65"/>
  <c r="X227" i="65"/>
  <c r="Y227" i="65"/>
  <c r="AG227" i="65"/>
  <c r="AI227" i="65"/>
  <c r="R228" i="65"/>
  <c r="S228" i="65"/>
  <c r="T228" i="65"/>
  <c r="U228" i="65"/>
  <c r="V228" i="65"/>
  <c r="W228" i="65"/>
  <c r="X228" i="65"/>
  <c r="Y228" i="65"/>
  <c r="AG228" i="65"/>
  <c r="AI228" i="65"/>
  <c r="R229" i="65"/>
  <c r="S229" i="65"/>
  <c r="T229" i="65"/>
  <c r="U229" i="65"/>
  <c r="V229" i="65"/>
  <c r="W229" i="65"/>
  <c r="X229" i="65"/>
  <c r="Y229" i="65"/>
  <c r="AG229" i="65"/>
  <c r="AI229" i="65"/>
  <c r="R230" i="65"/>
  <c r="S230" i="65"/>
  <c r="T230" i="65"/>
  <c r="U230" i="65"/>
  <c r="V230" i="65"/>
  <c r="W230" i="65"/>
  <c r="X230" i="65"/>
  <c r="Y230" i="65"/>
  <c r="AG230" i="65"/>
  <c r="AI230" i="65"/>
  <c r="R231" i="65"/>
  <c r="S231" i="65"/>
  <c r="T231" i="65"/>
  <c r="U231" i="65"/>
  <c r="V231" i="65"/>
  <c r="W231" i="65"/>
  <c r="X231" i="65"/>
  <c r="Y231" i="65"/>
  <c r="AG231" i="65"/>
  <c r="AI231" i="65"/>
  <c r="R232" i="65"/>
  <c r="S232" i="65"/>
  <c r="T232" i="65"/>
  <c r="U232" i="65"/>
  <c r="V232" i="65"/>
  <c r="W232" i="65"/>
  <c r="X232" i="65"/>
  <c r="Y232" i="65"/>
  <c r="AG232" i="65"/>
  <c r="AI232" i="65"/>
  <c r="R233" i="65"/>
  <c r="S233" i="65"/>
  <c r="T233" i="65"/>
  <c r="U233" i="65"/>
  <c r="V233" i="65"/>
  <c r="W233" i="65"/>
  <c r="X233" i="65"/>
  <c r="Y233" i="65"/>
  <c r="AG233" i="65"/>
  <c r="AI233" i="65"/>
  <c r="R234" i="65"/>
  <c r="S234" i="65"/>
  <c r="T234" i="65"/>
  <c r="U234" i="65"/>
  <c r="V234" i="65"/>
  <c r="W234" i="65"/>
  <c r="X234" i="65"/>
  <c r="Y234" i="65"/>
  <c r="AG234" i="65"/>
  <c r="AI234" i="65"/>
  <c r="R235" i="65"/>
  <c r="S235" i="65"/>
  <c r="T235" i="65"/>
  <c r="U235" i="65"/>
  <c r="V235" i="65"/>
  <c r="W235" i="65"/>
  <c r="X235" i="65"/>
  <c r="Y235" i="65"/>
  <c r="AG235" i="65"/>
  <c r="AI235" i="65"/>
  <c r="R236" i="65"/>
  <c r="S236" i="65"/>
  <c r="T236" i="65"/>
  <c r="U236" i="65"/>
  <c r="V236" i="65"/>
  <c r="W236" i="65"/>
  <c r="X236" i="65"/>
  <c r="Y236" i="65"/>
  <c r="AG236" i="65"/>
  <c r="AI236" i="65"/>
  <c r="R237" i="65"/>
  <c r="S237" i="65"/>
  <c r="T237" i="65"/>
  <c r="U237" i="65"/>
  <c r="V237" i="65"/>
  <c r="W237" i="65"/>
  <c r="X237" i="65"/>
  <c r="Y237" i="65"/>
  <c r="AG237" i="65"/>
  <c r="AI237" i="65"/>
  <c r="R238" i="65"/>
  <c r="S238" i="65"/>
  <c r="T238" i="65"/>
  <c r="U238" i="65"/>
  <c r="V238" i="65"/>
  <c r="W238" i="65"/>
  <c r="X238" i="65"/>
  <c r="Y238" i="65"/>
  <c r="AG238" i="65"/>
  <c r="AI238" i="65"/>
  <c r="D239" i="65"/>
  <c r="R239" i="65"/>
  <c r="S239" i="65"/>
  <c r="T239" i="65"/>
  <c r="U239" i="65"/>
  <c r="V239" i="65"/>
  <c r="W239" i="65"/>
  <c r="X239" i="65"/>
  <c r="Y239" i="65"/>
  <c r="AG239" i="65"/>
  <c r="AI239" i="65"/>
  <c r="D240" i="65"/>
  <c r="R240" i="65"/>
  <c r="S240" i="65"/>
  <c r="T240" i="65"/>
  <c r="U240" i="65"/>
  <c r="V240" i="65"/>
  <c r="W240" i="65"/>
  <c r="X240" i="65"/>
  <c r="Y240" i="65"/>
  <c r="AG240" i="65"/>
  <c r="AI240" i="65"/>
  <c r="R241" i="65"/>
  <c r="S241" i="65"/>
  <c r="T241" i="65"/>
  <c r="U241" i="65"/>
  <c r="V241" i="65"/>
  <c r="W241" i="65"/>
  <c r="X241" i="65"/>
  <c r="Y241" i="65"/>
  <c r="AG241" i="65"/>
  <c r="AI241" i="65"/>
  <c r="D242" i="65"/>
  <c r="R242" i="65"/>
  <c r="S242" i="65"/>
  <c r="T242" i="65"/>
  <c r="U242" i="65"/>
  <c r="V242" i="65"/>
  <c r="W242" i="65"/>
  <c r="X242" i="65"/>
  <c r="Y242" i="65"/>
  <c r="AG242" i="65"/>
  <c r="AI242" i="65"/>
  <c r="D243" i="65"/>
  <c r="R243" i="65"/>
  <c r="S243" i="65"/>
  <c r="T243" i="65"/>
  <c r="U243" i="65"/>
  <c r="V243" i="65"/>
  <c r="W243" i="65"/>
  <c r="X243" i="65"/>
  <c r="Y243" i="65"/>
  <c r="AG243" i="65"/>
  <c r="AI243" i="65"/>
  <c r="R244" i="65"/>
  <c r="S244" i="65"/>
  <c r="T244" i="65"/>
  <c r="U244" i="65"/>
  <c r="V244" i="65"/>
  <c r="W244" i="65"/>
  <c r="X244" i="65"/>
  <c r="Y244" i="65"/>
  <c r="AG244" i="65"/>
  <c r="AI244" i="65"/>
  <c r="D245" i="65"/>
  <c r="R245" i="65"/>
  <c r="S245" i="65"/>
  <c r="T245" i="65"/>
  <c r="U245" i="65"/>
  <c r="V245" i="65"/>
  <c r="W245" i="65"/>
  <c r="X245" i="65"/>
  <c r="Y245" i="65"/>
  <c r="AG245" i="65"/>
  <c r="AI245" i="65"/>
  <c r="D246" i="65"/>
  <c r="R246" i="65"/>
  <c r="S246" i="65"/>
  <c r="T246" i="65"/>
  <c r="U246" i="65"/>
  <c r="V246" i="65"/>
  <c r="W246" i="65"/>
  <c r="X246" i="65"/>
  <c r="Y246" i="65"/>
  <c r="AG246" i="65"/>
  <c r="AI246" i="65"/>
  <c r="D248" i="65"/>
  <c r="D249" i="65"/>
  <c r="D251" i="65"/>
  <c r="D252" i="65"/>
  <c r="AN267" i="65"/>
  <c r="AO267" i="65"/>
  <c r="AP267" i="65"/>
  <c r="AQ267" i="65"/>
  <c r="AR267" i="65"/>
  <c r="AS267" i="65"/>
  <c r="AT267" i="65"/>
  <c r="AU267" i="65"/>
  <c r="AV267" i="65"/>
  <c r="AW267" i="65"/>
  <c r="AX267" i="65"/>
  <c r="AZ267" i="65"/>
  <c r="BA267" i="65"/>
  <c r="BB267" i="65"/>
  <c r="AC268" i="65"/>
  <c r="AI268" i="65"/>
  <c r="Q244" i="65" l="1"/>
  <c r="Q245" i="65"/>
  <c r="P175" i="66"/>
  <c r="P174" i="66"/>
  <c r="P176" i="66"/>
  <c r="O175" i="66" a="1"/>
  <c r="O175" i="66" s="1"/>
  <c r="O174" i="66" a="1"/>
  <c r="O174" i="66" s="1"/>
  <c r="O179" i="66" a="1"/>
  <c r="O179" i="66" s="1"/>
  <c r="O176" i="66" a="1"/>
  <c r="O176" i="66" s="1"/>
  <c r="O178" i="66" a="1"/>
  <c r="O178" i="66" s="1"/>
  <c r="O177" i="66" a="1"/>
  <c r="O177" i="66" s="1"/>
  <c r="Q236" i="65"/>
  <c r="Q238" i="65"/>
  <c r="Q227" i="65"/>
  <c r="Q229" i="65"/>
  <c r="Q243" i="65"/>
  <c r="Q239" i="65"/>
  <c r="Q228" i="65"/>
  <c r="Q234" i="65"/>
  <c r="Q233" i="65"/>
  <c r="Q232" i="65"/>
  <c r="Q231" i="65"/>
  <c r="Q237" i="65"/>
  <c r="Q235" i="65"/>
  <c r="Q242" i="65"/>
  <c r="Q230" i="65"/>
  <c r="Q241" i="65"/>
  <c r="Q246" i="65"/>
  <c r="Q240" i="65"/>
  <c r="R270" i="65"/>
  <c r="S270" i="65"/>
  <c r="T270" i="65"/>
  <c r="U270" i="65"/>
  <c r="V270" i="65"/>
  <c r="W270" i="65"/>
  <c r="X270" i="65"/>
  <c r="Y270" i="65"/>
  <c r="AG270" i="65"/>
  <c r="AI270" i="65"/>
  <c r="I172" i="66" l="1"/>
  <c r="I196" i="66"/>
  <c r="G172" i="66"/>
  <c r="G196" i="66"/>
  <c r="H172" i="66"/>
  <c r="H196" i="66"/>
  <c r="K177" i="66"/>
  <c r="L177" i="66" s="1"/>
  <c r="N177" i="66"/>
  <c r="N178" i="66"/>
  <c r="K178" i="66"/>
  <c r="L178" i="66" s="1"/>
  <c r="K176" i="66"/>
  <c r="L176" i="66" s="1"/>
  <c r="N176" i="66"/>
  <c r="K179" i="66"/>
  <c r="L179" i="66" s="1"/>
  <c r="N179" i="66"/>
  <c r="N174" i="66"/>
  <c r="K174" i="66"/>
  <c r="L174" i="66" s="1"/>
  <c r="K175" i="66"/>
  <c r="L175" i="66" s="1"/>
  <c r="N175" i="66"/>
  <c r="I169" i="66"/>
  <c r="G169" i="66"/>
  <c r="H169" i="66"/>
  <c r="Q270" i="65"/>
  <c r="R271" i="65"/>
  <c r="S271" i="65"/>
  <c r="T271" i="65"/>
  <c r="U271" i="65"/>
  <c r="V271" i="65"/>
  <c r="W271" i="65"/>
  <c r="X271" i="65"/>
  <c r="Y271" i="65"/>
  <c r="AG271" i="65"/>
  <c r="AI271" i="65"/>
  <c r="G174" i="66" l="1"/>
  <c r="G173" i="66"/>
  <c r="G175" i="66"/>
  <c r="G176" i="66"/>
  <c r="G177" i="66"/>
  <c r="G178" i="66"/>
  <c r="G179" i="66"/>
  <c r="G180" i="66"/>
  <c r="G181" i="66"/>
  <c r="G182" i="66"/>
  <c r="G183" i="66"/>
  <c r="G186" i="66"/>
  <c r="G190" i="66"/>
  <c r="G187" i="66"/>
  <c r="G191" i="66"/>
  <c r="G188" i="66"/>
  <c r="G192" i="66"/>
  <c r="I173" i="66"/>
  <c r="I174" i="66"/>
  <c r="I175" i="66"/>
  <c r="I176" i="66"/>
  <c r="I177" i="66"/>
  <c r="I178" i="66"/>
  <c r="I179" i="66"/>
  <c r="I180" i="66"/>
  <c r="I181" i="66"/>
  <c r="I182" i="66"/>
  <c r="I183" i="66"/>
  <c r="I188" i="66"/>
  <c r="I192" i="66"/>
  <c r="I186" i="66"/>
  <c r="I190" i="66"/>
  <c r="I187" i="66"/>
  <c r="I191" i="66"/>
  <c r="H173" i="66"/>
  <c r="H174" i="66"/>
  <c r="H175" i="66"/>
  <c r="H176" i="66"/>
  <c r="H177" i="66"/>
  <c r="H178" i="66"/>
  <c r="H179" i="66"/>
  <c r="H180" i="66"/>
  <c r="H181" i="66"/>
  <c r="H182" i="66"/>
  <c r="H183" i="66"/>
  <c r="H190" i="66"/>
  <c r="H187" i="66"/>
  <c r="H191" i="66"/>
  <c r="H188" i="66"/>
  <c r="H192" i="66"/>
  <c r="H186" i="66"/>
  <c r="Q271" i="65"/>
  <c r="R272" i="65"/>
  <c r="S272" i="65"/>
  <c r="T272" i="65"/>
  <c r="U272" i="65"/>
  <c r="V272" i="65"/>
  <c r="W272" i="65"/>
  <c r="X272" i="65"/>
  <c r="Y272" i="65"/>
  <c r="AG272" i="65"/>
  <c r="AI272" i="65"/>
  <c r="Q272" i="65" l="1"/>
  <c r="R273" i="65"/>
  <c r="S273" i="65"/>
  <c r="T273" i="65"/>
  <c r="U273" i="65"/>
  <c r="V273" i="65"/>
  <c r="W273" i="65"/>
  <c r="X273" i="65"/>
  <c r="Y273" i="65"/>
  <c r="AG273" i="65"/>
  <c r="AI273" i="65"/>
  <c r="X45" i="66" l="1"/>
  <c r="Y81" i="66"/>
  <c r="AH225" i="65"/>
  <c r="Z75" i="66"/>
  <c r="X86" i="66"/>
  <c r="AC84" i="66"/>
  <c r="Y49" i="66"/>
  <c r="AE45" i="66"/>
  <c r="X47" i="66"/>
  <c r="X82" i="66"/>
  <c r="AC86" i="66"/>
  <c r="X81" i="66"/>
  <c r="AF225" i="65"/>
  <c r="AE86" i="66"/>
  <c r="X51" i="66"/>
  <c r="Y78" i="66"/>
  <c r="X83" i="66"/>
  <c r="AC81" i="66"/>
  <c r="AE51" i="66"/>
  <c r="X84" i="66"/>
  <c r="X52" i="66"/>
  <c r="Y52" i="66"/>
  <c r="Y86" i="66"/>
  <c r="AE80" i="66"/>
  <c r="Y51" i="66"/>
  <c r="AE50" i="66"/>
  <c r="AE85" i="66"/>
  <c r="Y83" i="66"/>
  <c r="X44" i="66"/>
  <c r="X77" i="66"/>
  <c r="AC79" i="66"/>
  <c r="X80" i="66"/>
  <c r="Y85" i="66"/>
  <c r="AC75" i="66"/>
  <c r="X41" i="66"/>
  <c r="AE49" i="66"/>
  <c r="AE77" i="66"/>
  <c r="X49" i="66"/>
  <c r="Y48" i="66"/>
  <c r="X50" i="66"/>
  <c r="AB41" i="66"/>
  <c r="AE83" i="66"/>
  <c r="AC85" i="66"/>
  <c r="Y47" i="66"/>
  <c r="AE84" i="66"/>
  <c r="AC78" i="66"/>
  <c r="AC52" i="66"/>
  <c r="X85" i="66"/>
  <c r="X48" i="66"/>
  <c r="AE47" i="66"/>
  <c r="Y77" i="66"/>
  <c r="X79" i="66"/>
  <c r="AE43" i="66"/>
  <c r="AB225" i="65"/>
  <c r="AC83" i="66"/>
  <c r="AA75" i="66"/>
  <c r="AE81" i="66"/>
  <c r="AD225" i="65"/>
  <c r="AC77" i="66"/>
  <c r="AA41" i="66"/>
  <c r="Y50" i="66"/>
  <c r="Y84" i="66"/>
  <c r="Z41" i="66"/>
  <c r="AE82" i="66"/>
  <c r="Y44" i="66"/>
  <c r="AC82" i="66"/>
  <c r="Y45" i="66"/>
  <c r="Y43" i="66"/>
  <c r="Y46" i="66"/>
  <c r="AE225" i="65"/>
  <c r="X78" i="66"/>
  <c r="X75" i="66"/>
  <c r="AE78" i="66"/>
  <c r="Y80" i="66"/>
  <c r="AE52" i="66"/>
  <c r="AG225" i="65"/>
  <c r="AE46" i="66"/>
  <c r="AC80" i="66"/>
  <c r="Y82" i="66"/>
  <c r="AC46" i="66"/>
  <c r="Q273" i="65"/>
  <c r="R274" i="65"/>
  <c r="S274" i="65"/>
  <c r="T274" i="65"/>
  <c r="U274" i="65"/>
  <c r="V274" i="65"/>
  <c r="W274" i="65"/>
  <c r="X274" i="65"/>
  <c r="Y274" i="65"/>
  <c r="AG274" i="65"/>
  <c r="AI274" i="65"/>
  <c r="BI84" i="66"/>
  <c r="BD41" i="66"/>
  <c r="BA51" i="66"/>
  <c r="BE86" i="66"/>
  <c r="AT41" i="66"/>
  <c r="AW84" i="66"/>
  <c r="AM44" i="66"/>
  <c r="AV81" i="66"/>
  <c r="AJ75" i="66"/>
  <c r="AY77" i="66"/>
  <c r="AI45" i="66"/>
  <c r="BE75" i="66"/>
  <c r="AM45" i="66"/>
  <c r="BA78" i="66"/>
  <c r="AU50" i="66"/>
  <c r="AT43" i="66"/>
  <c r="BF51" i="66"/>
  <c r="AT52" i="66"/>
  <c r="BG46" i="66"/>
  <c r="AO52" i="66"/>
  <c r="AV43" i="66"/>
  <c r="BL225" i="65"/>
  <c r="AL84" i="66"/>
  <c r="BI44" i="66"/>
  <c r="BG85" i="66"/>
  <c r="AJ85" i="66"/>
  <c r="BK225" i="65"/>
  <c r="AJ83" i="66"/>
  <c r="BD83" i="66"/>
  <c r="BI51" i="66"/>
  <c r="AT50" i="66"/>
  <c r="BG75" i="66"/>
  <c r="BA50" i="66"/>
  <c r="BH84" i="66"/>
  <c r="AR47" i="66"/>
  <c r="AI82" i="66"/>
  <c r="AU81" i="66"/>
  <c r="BR225" i="65"/>
  <c r="AI80" i="66"/>
  <c r="AK86" i="66"/>
  <c r="AL83" i="66"/>
  <c r="BI77" i="66"/>
  <c r="AX75" i="66"/>
  <c r="BB80" i="66"/>
  <c r="AU79" i="66"/>
  <c r="AX50" i="66"/>
  <c r="AI50" i="66"/>
  <c r="AT77" i="66"/>
  <c r="AT78" i="66"/>
  <c r="AS78" i="66"/>
  <c r="BE44" i="66"/>
  <c r="AK52" i="66"/>
  <c r="AO86" i="66"/>
  <c r="AR45" i="66"/>
  <c r="AR82" i="66"/>
  <c r="BH48" i="66"/>
  <c r="AZ48" i="66"/>
  <c r="BC51" i="66"/>
  <c r="BB225" i="65"/>
  <c r="AX77" i="66"/>
  <c r="AT83" i="66"/>
  <c r="AV86" i="66"/>
  <c r="AJ86" i="66"/>
  <c r="AJ51" i="66"/>
  <c r="AX81" i="66"/>
  <c r="BH46" i="66"/>
  <c r="BC225" i="65"/>
  <c r="BF83" i="66"/>
  <c r="BA41" i="66"/>
  <c r="BG43" i="66"/>
  <c r="AW225" i="65"/>
  <c r="BH86" i="66"/>
  <c r="AZ47" i="66"/>
  <c r="AX43" i="66"/>
  <c r="AN46" i="66"/>
  <c r="AX80" i="66"/>
  <c r="AR81" i="66"/>
  <c r="AU51" i="66"/>
  <c r="BG80" i="66"/>
  <c r="AN79" i="66"/>
  <c r="BG48" i="66"/>
  <c r="BI81" i="66"/>
  <c r="AR84" i="66"/>
  <c r="AM80" i="66"/>
  <c r="AZ77" i="66"/>
  <c r="BI48" i="66"/>
  <c r="AW46" i="66"/>
  <c r="BH78" i="66"/>
  <c r="AS79" i="66"/>
  <c r="AU48" i="66"/>
  <c r="BD43" i="66"/>
  <c r="BB85" i="66"/>
  <c r="BE52" i="66"/>
  <c r="AL48" i="66"/>
  <c r="BC77" i="66"/>
  <c r="BB75" i="66"/>
  <c r="AZ75" i="66"/>
  <c r="AP41" i="66"/>
  <c r="AK44" i="66"/>
  <c r="AV45" i="66"/>
  <c r="AM49" i="66"/>
  <c r="BA85" i="66"/>
  <c r="BD49" i="66"/>
  <c r="BI86" i="66"/>
  <c r="AZ51" i="66"/>
  <c r="AV80" i="66"/>
  <c r="AY75" i="66"/>
  <c r="AV48" i="66"/>
  <c r="BA225" i="65"/>
  <c r="AZ52" i="66"/>
  <c r="AO84" i="66"/>
  <c r="BH225" i="65"/>
  <c r="BF45" i="66"/>
  <c r="AK43" i="66"/>
  <c r="AU41" i="66"/>
  <c r="AV52" i="66"/>
  <c r="AY49" i="66"/>
  <c r="AW50" i="66"/>
  <c r="BE51" i="66"/>
  <c r="BH44" i="66"/>
  <c r="AR75" i="66"/>
  <c r="AT75" i="66"/>
  <c r="AU225" i="65"/>
  <c r="AM46" i="66"/>
  <c r="AX79" i="66"/>
  <c r="BJ225" i="65"/>
  <c r="BE80" i="66"/>
  <c r="AR44" i="66"/>
  <c r="BG45" i="66"/>
  <c r="AO45" i="66"/>
  <c r="BG84" i="66"/>
  <c r="AR86" i="66"/>
  <c r="AM47" i="66"/>
  <c r="BI85" i="66"/>
  <c r="AQ82" i="66"/>
  <c r="BB78" i="66"/>
  <c r="BH75" i="66"/>
  <c r="AN84" i="66"/>
  <c r="BI50" i="66"/>
  <c r="AJ46" i="66"/>
  <c r="BA52" i="66"/>
  <c r="BC78" i="66"/>
  <c r="BI75" i="66"/>
  <c r="AS82" i="66"/>
  <c r="BH80" i="66"/>
  <c r="AP51" i="66"/>
  <c r="BI78" i="66"/>
  <c r="BI83" i="66"/>
  <c r="AT79" i="66"/>
  <c r="BB84" i="66"/>
  <c r="BA80" i="66"/>
  <c r="BQ225" i="65"/>
  <c r="AL86" i="66"/>
  <c r="BD79" i="66"/>
  <c r="BD82" i="66"/>
  <c r="BE83" i="66"/>
  <c r="AP225" i="65"/>
  <c r="AI86" i="66"/>
  <c r="AP47" i="66"/>
  <c r="BE79" i="66"/>
  <c r="BT225" i="65"/>
  <c r="BE82" i="66"/>
  <c r="AS86" i="66"/>
  <c r="AP84" i="66"/>
  <c r="AQ45" i="66"/>
  <c r="AV84" i="66"/>
  <c r="AK41" i="66"/>
  <c r="BU225" i="65"/>
  <c r="BG50" i="66"/>
  <c r="BB45" i="66"/>
  <c r="AW75" i="66"/>
  <c r="AJ78" i="66"/>
  <c r="AI49" i="66"/>
  <c r="AZ86" i="66"/>
  <c r="BD46" i="66"/>
  <c r="BA45" i="66"/>
  <c r="BB86" i="66"/>
  <c r="BG44" i="66"/>
  <c r="AX48" i="66"/>
  <c r="AR83" i="66"/>
  <c r="AZ81" i="66"/>
  <c r="AN77" i="66"/>
  <c r="AR50" i="66"/>
  <c r="BF50" i="66"/>
  <c r="AT44" i="66"/>
  <c r="AR51" i="66"/>
  <c r="AM41" i="66"/>
  <c r="AZ41" i="66"/>
  <c r="AJ44" i="66"/>
  <c r="AJ77" i="66"/>
  <c r="BF44" i="66"/>
  <c r="AN75" i="66"/>
  <c r="AQ78" i="66"/>
  <c r="AK75" i="66"/>
  <c r="BI46" i="66"/>
  <c r="BD78" i="66"/>
  <c r="AK45" i="66"/>
  <c r="BA86" i="66"/>
  <c r="AS85" i="66"/>
  <c r="BF47" i="66"/>
  <c r="AZ82" i="66"/>
  <c r="AK47" i="66"/>
  <c r="AW52" i="66"/>
  <c r="BA46" i="66"/>
  <c r="BF81" i="66"/>
  <c r="AR41" i="66"/>
  <c r="AI79" i="66"/>
  <c r="BG52" i="66"/>
  <c r="BC45" i="66"/>
  <c r="BB83" i="66"/>
  <c r="BI80" i="66"/>
  <c r="AS48" i="66"/>
  <c r="BI225" i="65"/>
  <c r="AW80" i="66"/>
  <c r="AX225" i="65"/>
  <c r="BA82" i="66"/>
  <c r="AV49" i="66"/>
  <c r="BH51" i="66"/>
  <c r="BC85" i="66"/>
  <c r="AY80" i="66"/>
  <c r="BE77" i="66"/>
  <c r="BH41" i="66"/>
  <c r="BH79" i="66"/>
  <c r="BE48" i="66"/>
  <c r="BF84" i="66"/>
  <c r="BB82" i="66"/>
  <c r="AU47" i="66"/>
  <c r="AV225" i="65"/>
  <c r="BF43" i="66"/>
  <c r="AQ46" i="66"/>
  <c r="AX49" i="66"/>
  <c r="BC49" i="66"/>
  <c r="BS225" i="65"/>
  <c r="AS75" i="66"/>
  <c r="AS83" i="66"/>
  <c r="AU80" i="66"/>
  <c r="AT81" i="66"/>
  <c r="AX82" i="66"/>
  <c r="AL75" i="66"/>
  <c r="AW44" i="66"/>
  <c r="AZ80" i="66"/>
  <c r="AK49" i="66"/>
  <c r="AI44" i="66"/>
  <c r="AS51" i="66"/>
  <c r="AY83" i="66"/>
  <c r="BB81" i="66"/>
  <c r="AQ84" i="66"/>
  <c r="AN86" i="66"/>
  <c r="AU52" i="66"/>
  <c r="BG79" i="66"/>
  <c r="AW83" i="66"/>
  <c r="AJ41" i="66"/>
  <c r="AW47" i="66"/>
  <c r="AO80" i="66"/>
  <c r="BC79" i="66"/>
  <c r="AO43" i="66"/>
  <c r="AJ84" i="66"/>
  <c r="BP225" i="65"/>
  <c r="AX52" i="66"/>
  <c r="BI79" i="66"/>
  <c r="BD84" i="66"/>
  <c r="AK84" i="66"/>
  <c r="AL46" i="66"/>
  <c r="AO77" i="66"/>
  <c r="BA79" i="66"/>
  <c r="AW45" i="66"/>
  <c r="BC43" i="66"/>
  <c r="AJ43" i="66"/>
  <c r="AQ85" i="66"/>
  <c r="AO85" i="66"/>
  <c r="AV50" i="66"/>
  <c r="BH45" i="66"/>
  <c r="AS46" i="66"/>
  <c r="AP48" i="66"/>
  <c r="AZ79" i="66"/>
  <c r="AX46" i="66"/>
  <c r="BC80" i="66"/>
  <c r="BH83" i="66"/>
  <c r="AM86" i="66"/>
  <c r="BE84" i="66"/>
  <c r="BH50" i="66"/>
  <c r="BI41" i="66"/>
  <c r="BG49" i="66"/>
  <c r="AY52" i="66"/>
  <c r="AZ83" i="66"/>
  <c r="AY85" i="66"/>
  <c r="AZ43" i="66"/>
  <c r="AW51" i="66"/>
  <c r="BA75" i="66"/>
  <c r="AM50" i="66"/>
  <c r="BI43" i="66"/>
  <c r="BE41" i="66"/>
  <c r="BE85" i="66"/>
  <c r="AP43" i="66"/>
  <c r="AI85" i="66"/>
  <c r="AV51" i="66"/>
  <c r="AM51" i="66"/>
  <c r="AL50" i="66"/>
  <c r="BF78" i="66"/>
  <c r="BD44" i="66"/>
  <c r="AK51" i="66"/>
  <c r="BD85" i="66"/>
  <c r="AZ84" i="66"/>
  <c r="AX51" i="66"/>
  <c r="BB41" i="66"/>
  <c r="BO225" i="65"/>
  <c r="AI52" i="66"/>
  <c r="AM43" i="66"/>
  <c r="AP50" i="66"/>
  <c r="BC75" i="66"/>
  <c r="AY47" i="66"/>
  <c r="BH43" i="66"/>
  <c r="BF46" i="66"/>
  <c r="AR43" i="66"/>
  <c r="BG41" i="66"/>
  <c r="AZ49" i="66"/>
  <c r="AJ81" i="66"/>
  <c r="BF75" i="66"/>
  <c r="AJ49" i="66"/>
  <c r="BF77" i="66"/>
  <c r="BB49" i="66"/>
  <c r="AJ80" i="66"/>
  <c r="AJ48" i="66"/>
  <c r="AS81" i="66"/>
  <c r="BD225" i="65"/>
  <c r="BA77" i="66"/>
  <c r="AY48" i="66"/>
  <c r="AN225" i="65"/>
  <c r="BE49" i="66"/>
  <c r="BB48" i="66"/>
  <c r="BB43" i="66"/>
  <c r="BF79" i="66"/>
  <c r="BH52" i="66"/>
  <c r="AT46" i="66"/>
  <c r="AV77" i="66"/>
  <c r="AP49" i="66"/>
  <c r="AV46" i="66"/>
  <c r="AU82" i="66"/>
  <c r="AW81" i="66"/>
  <c r="BA83" i="66"/>
  <c r="AO47" i="66"/>
  <c r="AY86" i="66"/>
  <c r="AI51" i="66"/>
  <c r="AZ78" i="66"/>
  <c r="AY43" i="66"/>
  <c r="AP86" i="66"/>
  <c r="BF41" i="66"/>
  <c r="AI47" i="66"/>
  <c r="AP45" i="66"/>
  <c r="AS80" i="66"/>
  <c r="AI84" i="66"/>
  <c r="BH49" i="66"/>
  <c r="AO49" i="66"/>
  <c r="BI82" i="66"/>
  <c r="AY84" i="66"/>
  <c r="BF82" i="66"/>
  <c r="AX85" i="66"/>
  <c r="AV44" i="66"/>
  <c r="BB47" i="66"/>
  <c r="AL81" i="66"/>
  <c r="AK83" i="66"/>
  <c r="AI81" i="66"/>
  <c r="BB46" i="66"/>
  <c r="BC46" i="66"/>
  <c r="AY78" i="66"/>
  <c r="AV41" i="66"/>
  <c r="AL51" i="66"/>
  <c r="BD80" i="66"/>
  <c r="AU83" i="66"/>
  <c r="AU49" i="66"/>
  <c r="BC50" i="66"/>
  <c r="AT51" i="66"/>
  <c r="AN81" i="66"/>
  <c r="BH85" i="66"/>
  <c r="AX84" i="66"/>
  <c r="AX45" i="66"/>
  <c r="BH47" i="66"/>
  <c r="BN225" i="65"/>
  <c r="BI49" i="66"/>
  <c r="BC44" i="66"/>
  <c r="BE47" i="66"/>
  <c r="AS77" i="66"/>
  <c r="AX44" i="66"/>
  <c r="AL43" i="66"/>
  <c r="AJ82" i="66"/>
  <c r="BD52" i="66"/>
  <c r="AX47" i="66"/>
  <c r="AL80" i="66"/>
  <c r="BF86" i="66"/>
  <c r="BA44" i="66"/>
  <c r="AX41" i="66"/>
  <c r="AT80" i="66"/>
  <c r="AZ45" i="66"/>
  <c r="AJ47" i="66"/>
  <c r="BG78" i="66"/>
  <c r="BD75" i="66"/>
  <c r="AX83" i="66"/>
  <c r="AI75" i="66"/>
  <c r="AQ52" i="66"/>
  <c r="AQ80" i="66"/>
  <c r="AX86" i="66"/>
  <c r="AR78" i="66"/>
  <c r="AU78" i="66"/>
  <c r="BB52" i="66"/>
  <c r="AW48" i="66"/>
  <c r="BF225" i="65"/>
  <c r="BF49" i="66"/>
  <c r="BF48" i="66"/>
  <c r="AK50" i="66"/>
  <c r="BD47" i="66"/>
  <c r="AU86" i="66"/>
  <c r="AU75" i="66"/>
  <c r="AU44" i="66"/>
  <c r="AR85" i="66"/>
  <c r="AO51" i="66"/>
  <c r="AZ50" i="66"/>
  <c r="AJ50" i="66"/>
  <c r="AN82" i="66"/>
  <c r="BD51" i="66"/>
  <c r="AS45" i="66"/>
  <c r="AX78" i="66"/>
  <c r="AP44" i="66"/>
  <c r="BA43" i="66"/>
  <c r="AQ81" i="66"/>
  <c r="BC84" i="66"/>
  <c r="AO81" i="66"/>
  <c r="BD50" i="66"/>
  <c r="AW43" i="66"/>
  <c r="BC86" i="66"/>
  <c r="BC52" i="66"/>
  <c r="BC41" i="66"/>
  <c r="AY50" i="66"/>
  <c r="BG77" i="66"/>
  <c r="AI48" i="66"/>
  <c r="AZ85" i="66"/>
  <c r="AV83" i="66"/>
  <c r="BV225" i="65"/>
  <c r="AS84" i="66"/>
  <c r="BG47" i="66"/>
  <c r="AY79" i="66"/>
  <c r="BH81" i="66"/>
  <c r="AR46" i="66"/>
  <c r="BH77" i="66"/>
  <c r="AN52" i="66"/>
  <c r="AL77" i="66"/>
  <c r="BE43" i="66"/>
  <c r="AL85" i="66"/>
  <c r="BD77" i="66"/>
  <c r="AT86" i="66"/>
  <c r="AL52" i="66"/>
  <c r="AK81" i="66"/>
  <c r="BG81" i="66"/>
  <c r="AS52" i="66"/>
  <c r="AT84" i="66"/>
  <c r="BB77" i="66"/>
  <c r="AT225" i="65"/>
  <c r="AV82" i="66"/>
  <c r="AO225" i="65"/>
  <c r="AP46" i="66"/>
  <c r="BG51" i="66"/>
  <c r="AQ50" i="66"/>
  <c r="BC48" i="66"/>
  <c r="AN83" i="66"/>
  <c r="BC83" i="66"/>
  <c r="AY225" i="65"/>
  <c r="BB51" i="66"/>
  <c r="AY44" i="66"/>
  <c r="AT45" i="66"/>
  <c r="AW85" i="66"/>
  <c r="AZ44" i="66"/>
  <c r="AL45" i="66"/>
  <c r="AI77" i="66"/>
  <c r="BI45" i="66"/>
  <c r="AV85" i="66"/>
  <c r="AI41" i="66"/>
  <c r="BE81" i="66"/>
  <c r="BF80" i="66"/>
  <c r="AL79" i="66"/>
  <c r="AZ225" i="65"/>
  <c r="BI47" i="66"/>
  <c r="AL82" i="66"/>
  <c r="AY82" i="66"/>
  <c r="AT49" i="66"/>
  <c r="BD81" i="66"/>
  <c r="AY81" i="66"/>
  <c r="AQ51" i="66"/>
  <c r="AR49" i="66"/>
  <c r="AP79" i="66"/>
  <c r="BB50" i="66"/>
  <c r="AQ225" i="65"/>
  <c r="AJ52" i="66"/>
  <c r="AM48" i="66"/>
  <c r="AL41" i="66"/>
  <c r="BG225" i="65"/>
  <c r="AT82" i="66"/>
  <c r="AP85" i="66"/>
  <c r="AR48" i="66"/>
  <c r="AV47" i="66"/>
  <c r="BE45" i="66"/>
  <c r="BD45" i="66"/>
  <c r="AO83" i="66"/>
  <c r="BH82" i="66"/>
  <c r="BA48" i="66"/>
  <c r="BD48" i="66"/>
  <c r="AZ46" i="66"/>
  <c r="BE50" i="66"/>
  <c r="AR225" i="65"/>
  <c r="AY46" i="66"/>
  <c r="AR80" i="66"/>
  <c r="AP52" i="66"/>
  <c r="AS225" i="65"/>
  <c r="AW49" i="66"/>
  <c r="AW41" i="66"/>
  <c r="BE225" i="65"/>
  <c r="AJ45" i="66"/>
  <c r="AL47" i="66"/>
  <c r="BA81" i="66"/>
  <c r="AO46" i="66"/>
  <c r="BC81" i="66"/>
  <c r="AV75" i="66"/>
  <c r="AT48" i="66"/>
  <c r="AK48" i="66"/>
  <c r="AK85" i="66"/>
  <c r="BC47" i="66"/>
  <c r="BZ225" i="65"/>
  <c r="BF52" i="66"/>
  <c r="AR79" i="66"/>
  <c r="AU45" i="66"/>
  <c r="AV78" i="66"/>
  <c r="BI52" i="66"/>
  <c r="AP83" i="66"/>
  <c r="BY225" i="65"/>
  <c r="BD86" i="66"/>
  <c r="BG82" i="66"/>
  <c r="AO82" i="66"/>
  <c r="AY51" i="66"/>
  <c r="AU84" i="66"/>
  <c r="BB79" i="66"/>
  <c r="BF85" i="66"/>
  <c r="BC82" i="66"/>
  <c r="AI78" i="66"/>
  <c r="AN78" i="66"/>
  <c r="AM52" i="66"/>
  <c r="AL44" i="66"/>
  <c r="BA49" i="66"/>
  <c r="AY45" i="66"/>
  <c r="AO50" i="66"/>
  <c r="BG86" i="66"/>
  <c r="AN85" i="66"/>
  <c r="AK46" i="66"/>
  <c r="BE46" i="66"/>
  <c r="AU85" i="66"/>
  <c r="AQ86" i="66"/>
  <c r="AN80" i="66"/>
  <c r="BB44" i="66"/>
  <c r="AQ77" i="66"/>
  <c r="AS44" i="66"/>
  <c r="BG83" i="66"/>
  <c r="AL49" i="66"/>
  <c r="AQ75" i="66"/>
  <c r="AT47" i="66"/>
  <c r="AQ79" i="66"/>
  <c r="AW86" i="66"/>
  <c r="AQ83" i="66"/>
  <c r="AR77" i="66"/>
  <c r="AR52" i="66"/>
  <c r="AI83" i="66"/>
  <c r="BE78" i="66"/>
  <c r="AP78" i="66"/>
  <c r="BA47" i="66"/>
  <c r="BA84" i="66"/>
  <c r="AU77" i="66"/>
  <c r="AY41" i="66"/>
  <c r="AT85" i="66"/>
  <c r="AL78" i="66"/>
  <c r="AO78" i="66"/>
  <c r="AK80" i="66"/>
  <c r="W86" i="66" l="1"/>
  <c r="V86" i="66" s="1"/>
  <c r="AA225" i="65"/>
  <c r="W85" i="66"/>
  <c r="V85" i="66" s="1"/>
  <c r="W52" i="66"/>
  <c r="V52" i="66" s="1"/>
  <c r="W84" i="66"/>
  <c r="V84" i="66" s="1"/>
  <c r="W78" i="66"/>
  <c r="V78" i="66" s="1"/>
  <c r="W83" i="66"/>
  <c r="V83" i="66" s="1"/>
  <c r="Q274" i="65"/>
  <c r="R275" i="65"/>
  <c r="S275" i="65"/>
  <c r="T275" i="65"/>
  <c r="U275" i="65"/>
  <c r="V275" i="65"/>
  <c r="W275" i="65"/>
  <c r="X275" i="65"/>
  <c r="Y275" i="65"/>
  <c r="AG275" i="65"/>
  <c r="AI275" i="65"/>
  <c r="Q275" i="65" l="1"/>
  <c r="R276" i="65"/>
  <c r="S276" i="65"/>
  <c r="T276" i="65"/>
  <c r="U276" i="65"/>
  <c r="V276" i="65"/>
  <c r="W276" i="65"/>
  <c r="X276" i="65"/>
  <c r="Y276" i="65"/>
  <c r="AG276" i="65"/>
  <c r="AI276" i="65"/>
  <c r="Q276" i="65" l="1"/>
  <c r="R277" i="65"/>
  <c r="S277" i="65"/>
  <c r="T277" i="65"/>
  <c r="U277" i="65"/>
  <c r="V277" i="65"/>
  <c r="W277" i="65"/>
  <c r="X277" i="65"/>
  <c r="Y277" i="65"/>
  <c r="AG277" i="65"/>
  <c r="AI277" i="65"/>
  <c r="Q277" i="65" l="1"/>
  <c r="R278" i="65"/>
  <c r="S278" i="65"/>
  <c r="T278" i="65"/>
  <c r="U278" i="65"/>
  <c r="V278" i="65"/>
  <c r="W278" i="65"/>
  <c r="X278" i="65"/>
  <c r="Y278" i="65"/>
  <c r="AG278" i="65"/>
  <c r="AI278" i="65"/>
  <c r="Q278" i="65" l="1"/>
  <c r="R279" i="65"/>
  <c r="S279" i="65"/>
  <c r="T279" i="65"/>
  <c r="U279" i="65"/>
  <c r="V279" i="65"/>
  <c r="W279" i="65"/>
  <c r="X279" i="65"/>
  <c r="Y279" i="65"/>
  <c r="AG279" i="65"/>
  <c r="AI279" i="65"/>
  <c r="AF272" i="65" l="1"/>
  <c r="AD276" i="65"/>
  <c r="AE272" i="65"/>
  <c r="AC241" i="65"/>
  <c r="AE245" i="65"/>
  <c r="AE271" i="65"/>
  <c r="AD272" i="65"/>
  <c r="AF242" i="65"/>
  <c r="AF276" i="65"/>
  <c r="AC47" i="66"/>
  <c r="W47" i="66" s="1"/>
  <c r="V47" i="66" s="1"/>
  <c r="W82" i="66"/>
  <c r="V82" i="66" s="1"/>
  <c r="AE278" i="65"/>
  <c r="AC274" i="65"/>
  <c r="AF236" i="65"/>
  <c r="AF235" i="65"/>
  <c r="AE242" i="65"/>
  <c r="AC278" i="65"/>
  <c r="AC231" i="65"/>
  <c r="W81" i="66"/>
  <c r="V81" i="66" s="1"/>
  <c r="AE79" i="66"/>
  <c r="AC242" i="65"/>
  <c r="AE243" i="65"/>
  <c r="AC234" i="65"/>
  <c r="AF232" i="65"/>
  <c r="AD233" i="65"/>
  <c r="AF234" i="65"/>
  <c r="AF246" i="65"/>
  <c r="AD278" i="65"/>
  <c r="AD232" i="65"/>
  <c r="AE229" i="65"/>
  <c r="AG268" i="65"/>
  <c r="AD274" i="65"/>
  <c r="AD270" i="65"/>
  <c r="AD271" i="65"/>
  <c r="AC45" i="66"/>
  <c r="W45" i="66" s="1"/>
  <c r="V45" i="66" s="1"/>
  <c r="AF244" i="65"/>
  <c r="AC228" i="65"/>
  <c r="AE231" i="65"/>
  <c r="Y79" i="66"/>
  <c r="AB268" i="65"/>
  <c r="AF268" i="65"/>
  <c r="AD245" i="65"/>
  <c r="AE227" i="65"/>
  <c r="AD240" i="65"/>
  <c r="AD268" i="65"/>
  <c r="AE246" i="65"/>
  <c r="AC240" i="65"/>
  <c r="AE233" i="65"/>
  <c r="AF271" i="65"/>
  <c r="AC275" i="65"/>
  <c r="AD243" i="65"/>
  <c r="AC238" i="65"/>
  <c r="AF239" i="65"/>
  <c r="AD242" i="65"/>
  <c r="AD227" i="65"/>
  <c r="AF230" i="65"/>
  <c r="AD244" i="65"/>
  <c r="AD237" i="65"/>
  <c r="AF243" i="65"/>
  <c r="W80" i="66"/>
  <c r="V80" i="66" s="1"/>
  <c r="AC236" i="65"/>
  <c r="AE230" i="65"/>
  <c r="X43" i="66"/>
  <c r="AF270" i="65"/>
  <c r="W77" i="66"/>
  <c r="V77" i="66" s="1"/>
  <c r="AE237" i="65"/>
  <c r="AC232" i="65"/>
  <c r="AD231" i="65"/>
  <c r="AB75" i="66"/>
  <c r="W75" i="66" s="1"/>
  <c r="AE234" i="65"/>
  <c r="AD275" i="65"/>
  <c r="AD234" i="65"/>
  <c r="AD273" i="65"/>
  <c r="AE268" i="65"/>
  <c r="AD236" i="65"/>
  <c r="AC230" i="65"/>
  <c r="AE48" i="66"/>
  <c r="AC272" i="65"/>
  <c r="AC41" i="66"/>
  <c r="W41" i="66" s="1"/>
  <c r="AC244" i="65"/>
  <c r="AC245" i="65"/>
  <c r="AD241" i="65"/>
  <c r="AD239" i="65"/>
  <c r="AC44" i="66"/>
  <c r="AF238" i="65"/>
  <c r="AE274" i="65"/>
  <c r="AF277" i="65"/>
  <c r="AF228" i="65"/>
  <c r="AF240" i="65"/>
  <c r="AD229" i="65"/>
  <c r="AF233" i="65"/>
  <c r="AF278" i="65"/>
  <c r="AC229" i="65"/>
  <c r="AE44" i="66"/>
  <c r="AE239" i="65"/>
  <c r="AE238" i="65"/>
  <c r="AC239" i="65"/>
  <c r="AE275" i="65"/>
  <c r="AE240" i="65"/>
  <c r="AD238" i="65"/>
  <c r="AF231" i="65"/>
  <c r="AF229" i="65"/>
  <c r="AE232" i="65"/>
  <c r="AE235" i="65"/>
  <c r="AC237" i="65"/>
  <c r="AE277" i="65"/>
  <c r="AC227" i="65"/>
  <c r="AC246" i="65"/>
  <c r="AC243" i="65"/>
  <c r="AE270" i="65"/>
  <c r="AE276" i="65"/>
  <c r="AD277" i="65"/>
  <c r="AC276" i="65"/>
  <c r="AC277" i="65"/>
  <c r="AE236" i="65"/>
  <c r="AC271" i="65"/>
  <c r="AC273" i="65"/>
  <c r="AE228" i="65"/>
  <c r="AC43" i="66"/>
  <c r="AF237" i="65"/>
  <c r="AF241" i="65"/>
  <c r="AD228" i="65"/>
  <c r="AE244" i="65"/>
  <c r="AC233" i="65"/>
  <c r="AE241" i="65"/>
  <c r="AD246" i="65"/>
  <c r="AD235" i="65"/>
  <c r="AC270" i="65"/>
  <c r="AH268" i="65"/>
  <c r="AE273" i="65"/>
  <c r="AF274" i="65"/>
  <c r="AC48" i="66"/>
  <c r="AD230" i="65"/>
  <c r="AC235" i="65"/>
  <c r="AF227" i="65"/>
  <c r="X46" i="66"/>
  <c r="W46" i="66" s="1"/>
  <c r="V46" i="66" s="1"/>
  <c r="AF275" i="65"/>
  <c r="AC50" i="66"/>
  <c r="W50" i="66" s="1"/>
  <c r="V50" i="66" s="1"/>
  <c r="AC51" i="66"/>
  <c r="W51" i="66" s="1"/>
  <c r="V51" i="66" s="1"/>
  <c r="AF273" i="65"/>
  <c r="AF245" i="65"/>
  <c r="AC49" i="66"/>
  <c r="W49" i="66" s="1"/>
  <c r="V49" i="66" s="1"/>
  <c r="Q279" i="65"/>
  <c r="AF279" i="65"/>
  <c r="AE279" i="65"/>
  <c r="AD279" i="65"/>
  <c r="AC279" i="65"/>
  <c r="R280" i="65"/>
  <c r="S280" i="65"/>
  <c r="T280" i="65"/>
  <c r="U280" i="65"/>
  <c r="V280" i="65"/>
  <c r="W280" i="65"/>
  <c r="X280" i="65"/>
  <c r="Y280" i="65"/>
  <c r="AG280" i="65"/>
  <c r="AI280" i="65"/>
  <c r="W48" i="66" l="1"/>
  <c r="V48" i="66" s="1"/>
  <c r="W79" i="66"/>
  <c r="V79" i="66" s="1"/>
  <c r="P79" i="66" s="1"/>
  <c r="I99" i="66" s="1"/>
  <c r="W43" i="66"/>
  <c r="V43" i="66" s="1"/>
  <c r="AA268" i="65"/>
  <c r="W44" i="66"/>
  <c r="V44" i="66" s="1"/>
  <c r="O77" i="66" a="1"/>
  <c r="O77" i="66" s="1"/>
  <c r="N77" i="66" s="1"/>
  <c r="Q280" i="65"/>
  <c r="AF280" i="65"/>
  <c r="AE280" i="65"/>
  <c r="AD280" i="65"/>
  <c r="AC280" i="65"/>
  <c r="R281" i="65"/>
  <c r="S281" i="65"/>
  <c r="T281" i="65"/>
  <c r="U281" i="65"/>
  <c r="V281" i="65"/>
  <c r="W281" i="65"/>
  <c r="X281" i="65"/>
  <c r="Y281" i="65"/>
  <c r="AG281" i="65"/>
  <c r="AI281" i="65"/>
  <c r="AO238" i="65"/>
  <c r="BS228" i="65"/>
  <c r="BR277" i="65"/>
  <c r="BM278" i="65"/>
  <c r="AZ233" i="65"/>
  <c r="BS231" i="65"/>
  <c r="BL246" i="65"/>
  <c r="BT234" i="65"/>
  <c r="AN236" i="65"/>
  <c r="AT274" i="65"/>
  <c r="BB242" i="65"/>
  <c r="BH276" i="65"/>
  <c r="AV228" i="65"/>
  <c r="BK227" i="65"/>
  <c r="AS227" i="65"/>
  <c r="AP276" i="65"/>
  <c r="BI245" i="65"/>
  <c r="BO230" i="65"/>
  <c r="BU234" i="65"/>
  <c r="AR271" i="65"/>
  <c r="BR275" i="65"/>
  <c r="AS49" i="66"/>
  <c r="BD246" i="65"/>
  <c r="BN232" i="65"/>
  <c r="BK275" i="65"/>
  <c r="BG227" i="65"/>
  <c r="BJ235" i="65"/>
  <c r="BO270" i="65"/>
  <c r="AN41" i="66"/>
  <c r="AV237" i="65"/>
  <c r="BJ244" i="65"/>
  <c r="AY246" i="65"/>
  <c r="AT244" i="65"/>
  <c r="AN232" i="65"/>
  <c r="AX279" i="65"/>
  <c r="BH243" i="65"/>
  <c r="BT231" i="65"/>
  <c r="BS276" i="65"/>
  <c r="BL229" i="65"/>
  <c r="BM238" i="65"/>
  <c r="AT271" i="65"/>
  <c r="BA231" i="65"/>
  <c r="AZ277" i="65"/>
  <c r="AV241" i="65"/>
  <c r="AX239" i="65"/>
  <c r="AX227" i="65"/>
  <c r="BS230" i="65"/>
  <c r="BB240" i="65"/>
  <c r="BO227" i="65"/>
  <c r="AU280" i="65"/>
  <c r="AX244" i="65"/>
  <c r="BC241" i="65"/>
  <c r="BG274" i="65"/>
  <c r="AN277" i="65"/>
  <c r="BO235" i="65"/>
  <c r="BV278" i="65"/>
  <c r="AV233" i="65"/>
  <c r="BL276" i="65"/>
  <c r="AU276" i="65"/>
  <c r="BY241" i="65"/>
  <c r="BF276" i="65"/>
  <c r="AO279" i="65"/>
  <c r="BF268" i="65"/>
  <c r="BP281" i="65"/>
  <c r="BZ270" i="65"/>
  <c r="BR233" i="65"/>
  <c r="BZ235" i="65"/>
  <c r="BH268" i="65"/>
  <c r="AS233" i="65"/>
  <c r="BC243" i="65"/>
  <c r="BP246" i="65"/>
  <c r="BO244" i="65"/>
  <c r="BG275" i="65"/>
  <c r="BA273" i="65"/>
  <c r="BF239" i="65"/>
  <c r="BI229" i="65"/>
  <c r="AK78" i="66"/>
  <c r="AP238" i="65"/>
  <c r="BD229" i="65"/>
  <c r="BY240" i="65"/>
  <c r="BB234" i="65"/>
  <c r="AQ238" i="65"/>
  <c r="AR274" i="65"/>
  <c r="BF235" i="65"/>
  <c r="AT278" i="65"/>
  <c r="BK237" i="65"/>
  <c r="AX281" i="65"/>
  <c r="BM274" i="65"/>
  <c r="BO236" i="65"/>
  <c r="AQ246" i="65"/>
  <c r="BS235" i="65"/>
  <c r="AX242" i="65"/>
  <c r="AV276" i="65"/>
  <c r="BF274" i="65"/>
  <c r="BT279" i="65"/>
  <c r="BH271" i="65"/>
  <c r="BT230" i="65"/>
  <c r="BT273" i="65"/>
  <c r="AY232" i="65"/>
  <c r="BL281" i="65"/>
  <c r="AQ240" i="65"/>
  <c r="AV235" i="65"/>
  <c r="BV239" i="65"/>
  <c r="AY280" i="65"/>
  <c r="BT242" i="65"/>
  <c r="BJ270" i="65"/>
  <c r="BZ239" i="65"/>
  <c r="AT272" i="65"/>
  <c r="AO227" i="65"/>
  <c r="BC242" i="65"/>
  <c r="AP236" i="65"/>
  <c r="BZ281" i="65"/>
  <c r="AV245" i="65"/>
  <c r="AT276" i="65"/>
  <c r="BK235" i="65"/>
  <c r="AT228" i="65"/>
  <c r="BJ280" i="65"/>
  <c r="AY271" i="65"/>
  <c r="AN243" i="65"/>
  <c r="AZ268" i="65"/>
  <c r="BH241" i="65"/>
  <c r="BQ244" i="65"/>
  <c r="AO276" i="65"/>
  <c r="BO243" i="65"/>
  <c r="BF236" i="65"/>
  <c r="BF278" i="65"/>
  <c r="AP241" i="65"/>
  <c r="BT278" i="65"/>
  <c r="AV271" i="65"/>
  <c r="BS245" i="65"/>
  <c r="BP231" i="65"/>
  <c r="BE228" i="65"/>
  <c r="BN246" i="65"/>
  <c r="AW271" i="65"/>
  <c r="BJ239" i="65"/>
  <c r="BY271" i="65"/>
  <c r="BG239" i="65"/>
  <c r="BI237" i="65"/>
  <c r="AQ235" i="65"/>
  <c r="BS229" i="65"/>
  <c r="BU275" i="65"/>
  <c r="BV227" i="65"/>
  <c r="AR235" i="65"/>
  <c r="BQ241" i="65"/>
  <c r="BT245" i="65"/>
  <c r="AY238" i="65"/>
  <c r="AX237" i="65"/>
  <c r="BO276" i="65"/>
  <c r="BO279" i="65"/>
  <c r="BK241" i="65"/>
  <c r="BB241" i="65"/>
  <c r="BY235" i="65"/>
  <c r="BM280" i="65"/>
  <c r="AP244" i="65"/>
  <c r="BZ277" i="65"/>
  <c r="AV273" i="65"/>
  <c r="BZ234" i="65"/>
  <c r="BF243" i="65"/>
  <c r="BK277" i="65"/>
  <c r="AW280" i="65"/>
  <c r="BA246" i="65"/>
  <c r="BI242" i="65"/>
  <c r="AU233" i="65"/>
  <c r="BO228" i="65"/>
  <c r="BH273" i="65"/>
  <c r="AN47" i="66"/>
  <c r="AW238" i="65"/>
  <c r="AW274" i="65"/>
  <c r="AU244" i="65"/>
  <c r="BN281" i="65"/>
  <c r="BT235" i="65"/>
  <c r="AZ275" i="65"/>
  <c r="BI235" i="65"/>
  <c r="BZ232" i="65"/>
  <c r="BV240" i="65"/>
  <c r="AP268" i="65"/>
  <c r="BQ243" i="65"/>
  <c r="BV229" i="65"/>
  <c r="BN244" i="65"/>
  <c r="AV279" i="65"/>
  <c r="AR233" i="65"/>
  <c r="BD270" i="65"/>
  <c r="BB237" i="65"/>
  <c r="BI273" i="65"/>
  <c r="AY237" i="65"/>
  <c r="AO237" i="65"/>
  <c r="BG228" i="65"/>
  <c r="BV244" i="65"/>
  <c r="BO281" i="65"/>
  <c r="BT274" i="65"/>
  <c r="AS244" i="65"/>
  <c r="AP278" i="65"/>
  <c r="AU277" i="65"/>
  <c r="BV233" i="65"/>
  <c r="AW244" i="65"/>
  <c r="AO240" i="65"/>
  <c r="BL277" i="65"/>
  <c r="BZ280" i="65"/>
  <c r="AU272" i="65"/>
  <c r="BJ237" i="65"/>
  <c r="BR239" i="65"/>
  <c r="AO271" i="65"/>
  <c r="BB236" i="65"/>
  <c r="AZ280" i="65"/>
  <c r="BB243" i="65"/>
  <c r="BR276" i="65"/>
  <c r="BY234" i="65"/>
  <c r="BD272" i="65"/>
  <c r="BA235" i="65"/>
  <c r="BJ229" i="65"/>
  <c r="BV243" i="65"/>
  <c r="AR243" i="65"/>
  <c r="BQ242" i="65"/>
  <c r="AI43" i="66"/>
  <c r="BJ273" i="65"/>
  <c r="AS240" i="65"/>
  <c r="BA238" i="65"/>
  <c r="BI275" i="65"/>
  <c r="BU237" i="65"/>
  <c r="BQ268" i="65"/>
  <c r="AP230" i="65"/>
  <c r="BI271" i="65"/>
  <c r="BK242" i="65"/>
  <c r="AT230" i="65"/>
  <c r="BI236" i="65"/>
  <c r="AY239" i="65"/>
  <c r="AQ274" i="65"/>
  <c r="BE235" i="65"/>
  <c r="BC272" i="65"/>
  <c r="BH272" i="65"/>
  <c r="BC229" i="65"/>
  <c r="BT277" i="65"/>
  <c r="BZ245" i="65"/>
  <c r="AP243" i="65"/>
  <c r="AW279" i="65"/>
  <c r="BY227" i="65"/>
  <c r="BD280" i="65"/>
  <c r="BQ277" i="65"/>
  <c r="AV230" i="65"/>
  <c r="BP239" i="65"/>
  <c r="BE232" i="65"/>
  <c r="BV277" i="65"/>
  <c r="AP246" i="65"/>
  <c r="BB273" i="65"/>
  <c r="BB231" i="65"/>
  <c r="BR244" i="65"/>
  <c r="AP273" i="65"/>
  <c r="BN238" i="65"/>
  <c r="AP270" i="65"/>
  <c r="AO239" i="65"/>
  <c r="AN246" i="65"/>
  <c r="BM272" i="65"/>
  <c r="BQ233" i="65"/>
  <c r="AZ270" i="65"/>
  <c r="BC232" i="65"/>
  <c r="AP227" i="65"/>
  <c r="BM279" i="65"/>
  <c r="BF231" i="65"/>
  <c r="BK272" i="65"/>
  <c r="BC277" i="65"/>
  <c r="BB271" i="65"/>
  <c r="BH236" i="65"/>
  <c r="BV246" i="65"/>
  <c r="BJ245" i="65"/>
  <c r="AW277" i="65"/>
  <c r="BE234" i="65"/>
  <c r="BM246" i="65"/>
  <c r="AX228" i="65"/>
  <c r="BF237" i="65"/>
  <c r="BO275" i="65"/>
  <c r="AR232" i="65"/>
  <c r="BR243" i="65"/>
  <c r="BG241" i="65"/>
  <c r="AO44" i="66"/>
  <c r="AY241" i="65"/>
  <c r="AW241" i="65"/>
  <c r="BV272" i="65"/>
  <c r="AX238" i="65"/>
  <c r="BY236" i="65"/>
  <c r="BN239" i="65"/>
  <c r="AN51" i="66"/>
  <c r="AS234" i="65"/>
  <c r="BQ227" i="65"/>
  <c r="AW273" i="65"/>
  <c r="AN239" i="65"/>
  <c r="AQ272" i="65"/>
  <c r="AW77" i="66"/>
  <c r="BR231" i="65"/>
  <c r="BF279" i="65"/>
  <c r="BP241" i="65"/>
  <c r="BE243" i="65"/>
  <c r="AY278" i="65"/>
  <c r="BP244" i="65"/>
  <c r="BC280" i="65"/>
  <c r="BZ271" i="65"/>
  <c r="BI279" i="65"/>
  <c r="AZ244" i="65"/>
  <c r="BG270" i="65"/>
  <c r="BP278" i="65"/>
  <c r="AY235" i="65"/>
  <c r="BI230" i="65"/>
  <c r="BT239" i="65"/>
  <c r="BF271" i="65"/>
  <c r="AU246" i="65"/>
  <c r="BM239" i="65"/>
  <c r="BB233" i="65"/>
  <c r="BG238" i="65"/>
  <c r="BY276" i="65"/>
  <c r="BL275" i="65"/>
  <c r="BH279" i="65"/>
  <c r="AS276" i="65"/>
  <c r="AY273" i="65"/>
  <c r="AZ241" i="65"/>
  <c r="AQ280" i="65"/>
  <c r="BF242" i="65"/>
  <c r="AT232" i="65"/>
  <c r="BI268" i="65"/>
  <c r="BG240" i="65"/>
  <c r="BJ274" i="65"/>
  <c r="AO274" i="65"/>
  <c r="AQ227" i="65"/>
  <c r="AS279" i="65"/>
  <c r="BY246" i="65"/>
  <c r="BO246" i="65"/>
  <c r="BJ241" i="65"/>
  <c r="AN233" i="65"/>
  <c r="AX229" i="65"/>
  <c r="BG244" i="65"/>
  <c r="AQ279" i="65"/>
  <c r="AU243" i="65"/>
  <c r="BY242" i="65"/>
  <c r="BD273" i="65"/>
  <c r="BY243" i="65"/>
  <c r="BR235" i="65"/>
  <c r="BJ242" i="65"/>
  <c r="BF228" i="65"/>
  <c r="BZ243" i="65"/>
  <c r="BA275" i="65"/>
  <c r="AR277" i="65"/>
  <c r="BK244" i="65"/>
  <c r="AO234" i="65"/>
  <c r="BN276" i="65"/>
  <c r="BP230" i="65"/>
  <c r="AM82" i="66"/>
  <c r="BU236" i="65"/>
  <c r="BT272" i="65"/>
  <c r="AN231" i="65"/>
  <c r="BM229" i="65"/>
  <c r="AU229" i="65"/>
  <c r="AZ272" i="65"/>
  <c r="BT246" i="65"/>
  <c r="BY277" i="65"/>
  <c r="AY242" i="65"/>
  <c r="BE279" i="65"/>
  <c r="BU273" i="65"/>
  <c r="BT268" i="65"/>
  <c r="AV244" i="65"/>
  <c r="BA241" i="65"/>
  <c r="BK239" i="65"/>
  <c r="AY275" i="65"/>
  <c r="BZ238" i="65"/>
  <c r="AS280" i="65"/>
  <c r="AS245" i="65"/>
  <c r="BU246" i="65"/>
  <c r="BL227" i="65"/>
  <c r="AK79" i="66"/>
  <c r="BF272" i="65"/>
  <c r="AR239" i="65"/>
  <c r="AX277" i="65"/>
  <c r="AO231" i="65"/>
  <c r="AN45" i="66"/>
  <c r="BB272" i="65"/>
  <c r="AO243" i="65"/>
  <c r="BV241" i="65"/>
  <c r="BB281" i="65"/>
  <c r="BR234" i="65"/>
  <c r="AZ238" i="65"/>
  <c r="BB244" i="65"/>
  <c r="BG246" i="65"/>
  <c r="BK232" i="65"/>
  <c r="BU227" i="65"/>
  <c r="BA229" i="65"/>
  <c r="BN280" i="65"/>
  <c r="AP277" i="65"/>
  <c r="AV239" i="65"/>
  <c r="AT280" i="65"/>
  <c r="AZ231" i="65"/>
  <c r="AO277" i="65"/>
  <c r="BE229" i="65"/>
  <c r="BQ232" i="65"/>
  <c r="BS280" i="65"/>
  <c r="BM240" i="65"/>
  <c r="AU240" i="65"/>
  <c r="AP82" i="66"/>
  <c r="AR272" i="65"/>
  <c r="AM84" i="66"/>
  <c r="AV231" i="65"/>
  <c r="BG237" i="65"/>
  <c r="AP228" i="65"/>
  <c r="BM245" i="65"/>
  <c r="BV279" i="65"/>
  <c r="AT275" i="65"/>
  <c r="BQ245" i="65"/>
  <c r="BC238" i="65"/>
  <c r="BA277" i="65"/>
  <c r="AS281" i="65"/>
  <c r="BA233" i="65"/>
  <c r="AN234" i="65"/>
  <c r="AU46" i="66"/>
  <c r="BS232" i="65"/>
  <c r="BL238" i="65"/>
  <c r="BK243" i="65"/>
  <c r="AP275" i="65"/>
  <c r="AU274" i="65"/>
  <c r="BM231" i="65"/>
  <c r="AZ274" i="65"/>
  <c r="BI232" i="65"/>
  <c r="BC271" i="65"/>
  <c r="AX268" i="65"/>
  <c r="BG235" i="65"/>
  <c r="AR273" i="65"/>
  <c r="BU245" i="65"/>
  <c r="BM275" i="65"/>
  <c r="AW82" i="66"/>
  <c r="BZ276" i="65"/>
  <c r="BG278" i="65"/>
  <c r="BA274" i="65"/>
  <c r="BN245" i="65"/>
  <c r="AU279" i="65"/>
  <c r="AO233" i="65"/>
  <c r="BE277" i="65"/>
  <c r="BM235" i="65"/>
  <c r="BC233" i="65"/>
  <c r="BP276" i="65"/>
  <c r="BG232" i="65"/>
  <c r="BH244" i="65"/>
  <c r="BB275" i="65"/>
  <c r="BA245" i="65"/>
  <c r="AS273" i="65"/>
  <c r="BA227" i="65"/>
  <c r="BO238" i="65"/>
  <c r="BZ240" i="65"/>
  <c r="BP235" i="65"/>
  <c r="AS275" i="65"/>
  <c r="BK233" i="65"/>
  <c r="AQ268" i="65"/>
  <c r="AW268" i="65"/>
  <c r="AV240" i="65"/>
  <c r="BV235" i="65"/>
  <c r="AN272" i="65"/>
  <c r="BD237" i="65"/>
  <c r="BY280" i="65"/>
  <c r="AS243" i="65"/>
  <c r="BP233" i="65"/>
  <c r="AT281" i="65"/>
  <c r="BQ239" i="65"/>
  <c r="AQ44" i="66"/>
  <c r="BL236" i="65"/>
  <c r="AQ228" i="65"/>
  <c r="BQ236" i="65"/>
  <c r="BP229" i="65"/>
  <c r="BD236" i="65"/>
  <c r="BP272" i="65"/>
  <c r="BJ227" i="65"/>
  <c r="BH280" i="65"/>
  <c r="BL228" i="65"/>
  <c r="BC227" i="65"/>
  <c r="BQ235" i="65"/>
  <c r="BH270" i="65"/>
  <c r="BK280" i="65"/>
  <c r="AU268" i="65"/>
  <c r="BO232" i="65"/>
  <c r="BV274" i="65"/>
  <c r="AV278" i="65"/>
  <c r="BU229" i="65"/>
  <c r="BA236" i="65"/>
  <c r="AZ281" i="65"/>
  <c r="BZ227" i="65"/>
  <c r="AQ230" i="65"/>
  <c r="BU233" i="65"/>
  <c r="BQ230" i="65"/>
  <c r="AQ48" i="66"/>
  <c r="AY268" i="65"/>
  <c r="BQ240" i="65"/>
  <c r="BE233" i="65"/>
  <c r="BY237" i="65"/>
  <c r="BT241" i="65"/>
  <c r="AR231" i="65"/>
  <c r="BI278" i="65"/>
  <c r="AX278" i="65"/>
  <c r="AW270" i="65"/>
  <c r="BJ279" i="65"/>
  <c r="BP279" i="65"/>
  <c r="BL243" i="65"/>
  <c r="BG277" i="65"/>
  <c r="BL272" i="65"/>
  <c r="BF230" i="65"/>
  <c r="BS239" i="65"/>
  <c r="AX236" i="65"/>
  <c r="AQ231" i="65"/>
  <c r="AQ49" i="66"/>
  <c r="BB268" i="65"/>
  <c r="BT240" i="65"/>
  <c r="BD242" i="65"/>
  <c r="AT235" i="65"/>
  <c r="BN230" i="65"/>
  <c r="BB280" i="65"/>
  <c r="BQ279" i="65"/>
  <c r="AU228" i="65"/>
  <c r="AS246" i="65"/>
  <c r="AT227" i="65"/>
  <c r="BD232" i="65"/>
  <c r="BV281" i="65"/>
  <c r="BY272" i="65"/>
  <c r="BB246" i="65"/>
  <c r="BN233" i="65"/>
  <c r="AN227" i="65"/>
  <c r="BT228" i="65"/>
  <c r="AZ243" i="65"/>
  <c r="AN279" i="65"/>
  <c r="AR230" i="65"/>
  <c r="BP232" i="65"/>
  <c r="AY230" i="65"/>
  <c r="BL274" i="65"/>
  <c r="AP235" i="65"/>
  <c r="BC230" i="65"/>
  <c r="AW235" i="65"/>
  <c r="BY228" i="65"/>
  <c r="BM234" i="65"/>
  <c r="AW281" i="65"/>
  <c r="AU237" i="65"/>
  <c r="BZ244" i="65"/>
  <c r="AS271" i="65"/>
  <c r="BY273" i="65"/>
  <c r="BG233" i="65"/>
  <c r="AN235" i="65"/>
  <c r="BZ274" i="65"/>
  <c r="BN277" i="65"/>
  <c r="BU270" i="65"/>
  <c r="BA234" i="65"/>
  <c r="BV228" i="65"/>
  <c r="BA271" i="65"/>
  <c r="BE237" i="65"/>
  <c r="BV232" i="65"/>
  <c r="BI280" i="65"/>
  <c r="AS235" i="65"/>
  <c r="AQ276" i="65"/>
  <c r="BF275" i="65"/>
  <c r="AR238" i="65"/>
  <c r="BE231" i="65"/>
  <c r="AN48" i="66"/>
  <c r="AV268" i="65"/>
  <c r="BP280" i="65"/>
  <c r="AY234" i="65"/>
  <c r="BK270" i="65"/>
  <c r="BH274" i="65"/>
  <c r="AS230" i="65"/>
  <c r="AS47" i="66"/>
  <c r="BJ231" i="65"/>
  <c r="BC239" i="65"/>
  <c r="AV280" i="65"/>
  <c r="AT234" i="65"/>
  <c r="AZ234" i="65"/>
  <c r="BI234" i="65"/>
  <c r="BM236" i="65"/>
  <c r="AZ237" i="65"/>
  <c r="BO274" i="65"/>
  <c r="BY274" i="65"/>
  <c r="AW278" i="65"/>
  <c r="BN231" i="65"/>
  <c r="BK229" i="65"/>
  <c r="BN234" i="65"/>
  <c r="BF273" i="65"/>
  <c r="AQ244" i="65"/>
  <c r="AO79" i="66"/>
  <c r="AV243" i="65"/>
  <c r="BA239" i="65"/>
  <c r="BC268" i="65"/>
  <c r="AZ239" i="65"/>
  <c r="AP237" i="65"/>
  <c r="BE245" i="65"/>
  <c r="AX231" i="65"/>
  <c r="BE271" i="65"/>
  <c r="BD227" i="65"/>
  <c r="AW240" i="65"/>
  <c r="AS231" i="65"/>
  <c r="AR241" i="65"/>
  <c r="BI281" i="65"/>
  <c r="BN278" i="65"/>
  <c r="BE276" i="65"/>
  <c r="AU281" i="65"/>
  <c r="BC240" i="65"/>
  <c r="BZ275" i="65"/>
  <c r="BH231" i="65"/>
  <c r="BS227" i="65"/>
  <c r="BV268" i="65"/>
  <c r="BA270" i="65"/>
  <c r="AX270" i="65"/>
  <c r="BT271" i="65"/>
  <c r="BY238" i="65"/>
  <c r="BT281" i="65"/>
  <c r="BO242" i="65"/>
  <c r="BS237" i="65"/>
  <c r="BZ229" i="65"/>
  <c r="AV242" i="65"/>
  <c r="BS278" i="65"/>
  <c r="AZ271" i="65"/>
  <c r="BA242" i="65"/>
  <c r="BR273" i="65"/>
  <c r="AO230" i="65"/>
  <c r="BV234" i="65"/>
  <c r="BF232" i="65"/>
  <c r="BR238" i="65"/>
  <c r="BU277" i="65"/>
  <c r="AP279" i="65"/>
  <c r="AN276" i="65"/>
  <c r="BR274" i="65"/>
  <c r="BN268" i="65"/>
  <c r="BS242" i="65"/>
  <c r="BF277" i="65"/>
  <c r="BH242" i="65"/>
  <c r="AO270" i="65"/>
  <c r="AO246" i="65"/>
  <c r="BP237" i="65"/>
  <c r="AQ233" i="65"/>
  <c r="BJ243" i="65"/>
  <c r="AS270" i="65"/>
  <c r="AW236" i="65"/>
  <c r="BS274" i="65"/>
  <c r="AZ273" i="65"/>
  <c r="AX246" i="65"/>
  <c r="AM77" i="66"/>
  <c r="AS239" i="65"/>
  <c r="AZ230" i="65"/>
  <c r="BY244" i="65"/>
  <c r="BS277" i="65"/>
  <c r="AN240" i="65"/>
  <c r="BB279" i="65"/>
  <c r="AX272" i="65"/>
  <c r="BZ273" i="65"/>
  <c r="BE241" i="65"/>
  <c r="BB238" i="65"/>
  <c r="BH230" i="65"/>
  <c r="AN242" i="65"/>
  <c r="BI228" i="65"/>
  <c r="BN240" i="65"/>
  <c r="BS244" i="65"/>
  <c r="BM232" i="65"/>
  <c r="BQ272" i="65"/>
  <c r="AK77" i="66"/>
  <c r="BE268" i="65"/>
  <c r="BL270" i="65"/>
  <c r="BM237" i="65"/>
  <c r="BN236" i="65"/>
  <c r="BR279" i="65"/>
  <c r="BQ234" i="65"/>
  <c r="BD234" i="65"/>
  <c r="AS241" i="65"/>
  <c r="AV281" i="65"/>
  <c r="AO244" i="65"/>
  <c r="AR234" i="65"/>
  <c r="AW227" i="65"/>
  <c r="BU242" i="65"/>
  <c r="BT238" i="65"/>
  <c r="BF245" i="65"/>
  <c r="AO268" i="65"/>
  <c r="BO240" i="65"/>
  <c r="BZ237" i="65"/>
  <c r="AR229" i="65"/>
  <c r="BU268" i="65"/>
  <c r="AR275" i="65"/>
  <c r="BP242" i="65"/>
  <c r="BR240" i="65"/>
  <c r="BH238" i="65"/>
  <c r="AQ273" i="65"/>
  <c r="BG268" i="65"/>
  <c r="BZ242" i="65"/>
  <c r="BD279" i="65"/>
  <c r="AV246" i="65"/>
  <c r="BY245" i="65"/>
  <c r="AP232" i="65"/>
  <c r="BH246" i="65"/>
  <c r="AN241" i="65"/>
  <c r="BJ246" i="65"/>
  <c r="BQ238" i="65"/>
  <c r="AN244" i="65"/>
  <c r="AW78" i="66"/>
  <c r="BP240" i="65"/>
  <c r="BE238" i="65"/>
  <c r="AQ234" i="65"/>
  <c r="AO41" i="66"/>
  <c r="BE227" i="65"/>
  <c r="BS275" i="65"/>
  <c r="AT243" i="65"/>
  <c r="BC246" i="65"/>
  <c r="AO273" i="65"/>
  <c r="AW79" i="66"/>
  <c r="AV274" i="65"/>
  <c r="BR232" i="65"/>
  <c r="BI231" i="65"/>
  <c r="BC274" i="65"/>
  <c r="BQ228" i="65"/>
  <c r="BE240" i="65"/>
  <c r="AT241" i="65"/>
  <c r="BR280" i="65"/>
  <c r="AI46" i="66"/>
  <c r="BD268" i="65"/>
  <c r="BV271" i="65"/>
  <c r="BO272" i="65"/>
  <c r="BU241" i="65"/>
  <c r="AS50" i="66"/>
  <c r="AZ228" i="65"/>
  <c r="BY268" i="65"/>
  <c r="AX241" i="65"/>
  <c r="BG276" i="65"/>
  <c r="BO233" i="65"/>
  <c r="AW231" i="65"/>
  <c r="BS240" i="65"/>
  <c r="BP275" i="65"/>
  <c r="AO280" i="65"/>
  <c r="BI241" i="65"/>
  <c r="BI276" i="65"/>
  <c r="BZ246" i="65"/>
  <c r="AS229" i="65"/>
  <c r="BB277" i="65"/>
  <c r="BL278" i="65"/>
  <c r="BM271" i="65"/>
  <c r="BQ229" i="65"/>
  <c r="BJ240" i="65"/>
  <c r="BR242" i="65"/>
  <c r="BH278" i="65"/>
  <c r="BT244" i="65"/>
  <c r="AN238" i="65"/>
  <c r="BF233" i="65"/>
  <c r="BN279" i="65"/>
  <c r="BU231" i="65"/>
  <c r="BI272" i="65"/>
  <c r="AS272" i="65"/>
  <c r="BU276" i="65"/>
  <c r="AQ239" i="65"/>
  <c r="AN273" i="65"/>
  <c r="BD271" i="65"/>
  <c r="AR228" i="65"/>
  <c r="BC275" i="65"/>
  <c r="BB270" i="65"/>
  <c r="AV272" i="65"/>
  <c r="AP77" i="66"/>
  <c r="AV275" i="65"/>
  <c r="BU243" i="65"/>
  <c r="AU227" i="65"/>
  <c r="AS278" i="65"/>
  <c r="BE275" i="65"/>
  <c r="AM75" i="66"/>
  <c r="BB229" i="65"/>
  <c r="BD228" i="65"/>
  <c r="AY244" i="65"/>
  <c r="BL235" i="65"/>
  <c r="AX232" i="65"/>
  <c r="BB239" i="65"/>
  <c r="AR242" i="65"/>
  <c r="BD241" i="65"/>
  <c r="BC236" i="65"/>
  <c r="BD233" i="65"/>
  <c r="AU231" i="65"/>
  <c r="BY279" i="65"/>
  <c r="AQ237" i="65"/>
  <c r="AN43" i="66"/>
  <c r="BU240" i="65"/>
  <c r="AR276" i="65"/>
  <c r="BR227" i="65"/>
  <c r="AY240" i="65"/>
  <c r="AW243" i="65"/>
  <c r="BT237" i="65"/>
  <c r="BD235" i="65"/>
  <c r="AW234" i="65"/>
  <c r="AP75" i="66"/>
  <c r="BL233" i="65"/>
  <c r="AS268" i="65"/>
  <c r="AR270" i="65"/>
  <c r="AW229" i="65"/>
  <c r="AN268" i="65"/>
  <c r="BJ278" i="65"/>
  <c r="AN228" i="65"/>
  <c r="AS237" i="65"/>
  <c r="BF270" i="65"/>
  <c r="BU281" i="65"/>
  <c r="BQ273" i="65"/>
  <c r="AX271" i="65"/>
  <c r="AX274" i="65"/>
  <c r="BM273" i="65"/>
  <c r="BS241" i="65"/>
  <c r="BL271" i="65"/>
  <c r="BU272" i="65"/>
  <c r="BP277" i="65"/>
  <c r="BH235" i="65"/>
  <c r="BR229" i="65"/>
  <c r="BV231" i="65"/>
  <c r="BZ236" i="65"/>
  <c r="BF227" i="65"/>
  <c r="AR279" i="65"/>
  <c r="BE278" i="65"/>
  <c r="AP245" i="65"/>
  <c r="BE272" i="65"/>
  <c r="AQ236" i="65"/>
  <c r="AX275" i="65"/>
  <c r="BH227" i="65"/>
  <c r="AX234" i="65"/>
  <c r="BH237" i="65"/>
  <c r="AK82" i="66"/>
  <c r="BG245" i="65"/>
  <c r="BR281" i="65"/>
  <c r="BH281" i="65"/>
  <c r="BE230" i="65"/>
  <c r="BQ276" i="65"/>
  <c r="BF244" i="65"/>
  <c r="AZ242" i="65"/>
  <c r="BZ230" i="65"/>
  <c r="BQ270" i="65"/>
  <c r="BK228" i="65"/>
  <c r="BC278" i="65"/>
  <c r="BF280" i="65"/>
  <c r="BM276" i="65"/>
  <c r="BP271" i="65"/>
  <c r="BP243" i="65"/>
  <c r="BJ233" i="65"/>
  <c r="AX245" i="65"/>
  <c r="AT239" i="65"/>
  <c r="BD240" i="65"/>
  <c r="BB230" i="65"/>
  <c r="AY228" i="65"/>
  <c r="BM233" i="65"/>
  <c r="BV273" i="65"/>
  <c r="BQ237" i="65"/>
  <c r="BI274" i="65"/>
  <c r="BT236" i="65"/>
  <c r="AS228" i="65"/>
  <c r="BD274" i="65"/>
  <c r="AY279" i="65"/>
  <c r="AU234" i="65"/>
  <c r="AR240" i="65"/>
  <c r="BG271" i="65"/>
  <c r="AO245" i="65"/>
  <c r="AP271" i="65"/>
  <c r="BR268" i="65"/>
  <c r="BN235" i="65"/>
  <c r="BD275" i="65"/>
  <c r="BV270" i="65"/>
  <c r="BO234" i="65"/>
  <c r="BA276" i="65"/>
  <c r="AQ281" i="65"/>
  <c r="AW272" i="65"/>
  <c r="BK240" i="65"/>
  <c r="BU244" i="65"/>
  <c r="AN274" i="65"/>
  <c r="AZ235" i="65"/>
  <c r="AR246" i="65"/>
  <c r="AN270" i="65"/>
  <c r="BD239" i="65"/>
  <c r="BD244" i="65"/>
  <c r="BL245" i="65"/>
  <c r="AV270" i="65"/>
  <c r="BO229" i="65"/>
  <c r="BC273" i="65"/>
  <c r="BD231" i="65"/>
  <c r="AW275" i="65"/>
  <c r="BJ276" i="65"/>
  <c r="BU278" i="65"/>
  <c r="BL231" i="65"/>
  <c r="BA268" i="65"/>
  <c r="AM85" i="66"/>
  <c r="BS281" i="65"/>
  <c r="AW232" i="65"/>
  <c r="BO231" i="65"/>
  <c r="BT280" i="65"/>
  <c r="BG236" i="65"/>
  <c r="AX233" i="65"/>
  <c r="AQ270" i="65"/>
  <c r="BN274" i="65"/>
  <c r="BZ231" i="65"/>
  <c r="BK281" i="65"/>
  <c r="BV238" i="65"/>
  <c r="BZ278" i="65"/>
  <c r="BZ272" i="65"/>
  <c r="BU235" i="65"/>
  <c r="AY274" i="65"/>
  <c r="AT238" i="65"/>
  <c r="AU242" i="65"/>
  <c r="AO278" i="65"/>
  <c r="BY239" i="65"/>
  <c r="AP272" i="65"/>
  <c r="AZ227" i="65"/>
  <c r="BS268" i="65"/>
  <c r="AW239" i="65"/>
  <c r="BO278" i="65"/>
  <c r="BB245" i="65"/>
  <c r="BU239" i="65"/>
  <c r="BO241" i="65"/>
  <c r="AU271" i="65"/>
  <c r="AV236" i="65"/>
  <c r="AW246" i="65"/>
  <c r="AQ47" i="66"/>
  <c r="AO48" i="66"/>
  <c r="BS243" i="65"/>
  <c r="AT270" i="65"/>
  <c r="AV238" i="65"/>
  <c r="AO281" i="65"/>
  <c r="BG280" i="65"/>
  <c r="BA230" i="65"/>
  <c r="AO272" i="65"/>
  <c r="BK230" i="65"/>
  <c r="AW276" i="65"/>
  <c r="BA237" i="65"/>
  <c r="BO239" i="65"/>
  <c r="BN271" i="65"/>
  <c r="AO75" i="66"/>
  <c r="BO277" i="65"/>
  <c r="BS279" i="65"/>
  <c r="BF238" i="65"/>
  <c r="BK276" i="65"/>
  <c r="BC234" i="65"/>
  <c r="BD277" i="65"/>
  <c r="AT273" i="65"/>
  <c r="BL237" i="65"/>
  <c r="AU230" i="65"/>
  <c r="BY229" i="65"/>
  <c r="BR236" i="65"/>
  <c r="BE274" i="65"/>
  <c r="BH233" i="65"/>
  <c r="AW230" i="65"/>
  <c r="AQ43" i="66"/>
  <c r="AW242" i="65"/>
  <c r="AR245" i="65"/>
  <c r="BH275" i="65"/>
  <c r="BP228" i="65"/>
  <c r="BK273" i="65"/>
  <c r="AN237" i="65"/>
  <c r="AW245" i="65"/>
  <c r="BE280" i="65"/>
  <c r="BN243" i="65"/>
  <c r="BZ228" i="65"/>
  <c r="BH229" i="65"/>
  <c r="BE244" i="65"/>
  <c r="AP229" i="65"/>
  <c r="BQ280" i="65"/>
  <c r="AT277" i="65"/>
  <c r="AY229" i="65"/>
  <c r="AN50" i="66"/>
  <c r="BB228" i="65"/>
  <c r="AO241" i="65"/>
  <c r="BB274" i="65"/>
  <c r="BC237" i="65"/>
  <c r="AZ240" i="65"/>
  <c r="AU43" i="66"/>
  <c r="BM230" i="65"/>
  <c r="BN275" i="65"/>
  <c r="AO242" i="65"/>
  <c r="AN245" i="65"/>
  <c r="BM243" i="65"/>
  <c r="BU279" i="65"/>
  <c r="BC231" i="65"/>
  <c r="BO273" i="65"/>
  <c r="AO236" i="65"/>
  <c r="AV234" i="65"/>
  <c r="AX273" i="65"/>
  <c r="AS242" i="65"/>
  <c r="BQ274" i="65"/>
  <c r="BS234" i="65"/>
  <c r="AT229" i="65"/>
  <c r="BG281" i="65"/>
  <c r="BH239" i="65"/>
  <c r="BS273" i="65"/>
  <c r="BL244" i="65"/>
  <c r="BJ228" i="65"/>
  <c r="BO280" i="65"/>
  <c r="BU232" i="65"/>
  <c r="BC281" i="65"/>
  <c r="AS236" i="65"/>
  <c r="BA279" i="65"/>
  <c r="BZ233" i="65"/>
  <c r="AZ276" i="65"/>
  <c r="AY243" i="65"/>
  <c r="BD230" i="65"/>
  <c r="BF246" i="65"/>
  <c r="AY281" i="65"/>
  <c r="BA240" i="65"/>
  <c r="BA228" i="65"/>
  <c r="AN281" i="65"/>
  <c r="BS236" i="65"/>
  <c r="BL279" i="65"/>
  <c r="BB278" i="65"/>
  <c r="AN230" i="65"/>
  <c r="AU245" i="65"/>
  <c r="BU280" i="65"/>
  <c r="BS272" i="65"/>
  <c r="AP281" i="65"/>
  <c r="BP245" i="65"/>
  <c r="BS246" i="65"/>
  <c r="AM79" i="66"/>
  <c r="AQ278" i="65"/>
  <c r="BL273" i="65"/>
  <c r="BL230" i="65"/>
  <c r="AX240" i="65"/>
  <c r="AY276" i="65"/>
  <c r="BK238" i="65"/>
  <c r="BA272" i="65"/>
  <c r="AY233" i="65"/>
  <c r="BT229" i="65"/>
  <c r="AS238" i="65"/>
  <c r="BI244" i="65"/>
  <c r="BY281" i="65"/>
  <c r="BG272" i="65"/>
  <c r="AJ79" i="66"/>
  <c r="BZ241" i="65"/>
  <c r="BD278" i="65"/>
  <c r="BY232" i="65"/>
  <c r="AZ232" i="65"/>
  <c r="AM78" i="66"/>
  <c r="BT227" i="65"/>
  <c r="BE239" i="65"/>
  <c r="BK231" i="65"/>
  <c r="AS277" i="65"/>
  <c r="AP240" i="65"/>
  <c r="BK274" i="65"/>
  <c r="BA278" i="65"/>
  <c r="BR270" i="65"/>
  <c r="AN271" i="65"/>
  <c r="AY270" i="65"/>
  <c r="BU271" i="65"/>
  <c r="BG229" i="65"/>
  <c r="AQ41" i="66"/>
  <c r="BH234" i="65"/>
  <c r="BA243" i="65"/>
  <c r="BY278" i="65"/>
  <c r="BQ275" i="65"/>
  <c r="AP280" i="65"/>
  <c r="BU238" i="65"/>
  <c r="AO235" i="65"/>
  <c r="BB227" i="65"/>
  <c r="AQ229" i="65"/>
  <c r="BM228" i="65"/>
  <c r="BG273" i="65"/>
  <c r="AN275" i="65"/>
  <c r="BI270" i="65"/>
  <c r="BC245" i="65"/>
  <c r="AQ243" i="65"/>
  <c r="AZ246" i="65"/>
  <c r="BN228" i="65"/>
  <c r="BM281" i="65"/>
  <c r="BC228" i="65"/>
  <c r="AO228" i="65"/>
  <c r="BP268" i="65"/>
  <c r="BL241" i="65"/>
  <c r="BF240" i="65"/>
  <c r="BD243" i="65"/>
  <c r="BJ275" i="65"/>
  <c r="BN272" i="65"/>
  <c r="AN229" i="65"/>
  <c r="AR280" i="65"/>
  <c r="AO232" i="65"/>
  <c r="BY233" i="65"/>
  <c r="BE246" i="65"/>
  <c r="BI240" i="65"/>
  <c r="BM242" i="65"/>
  <c r="BV236" i="65"/>
  <c r="BJ271" i="65"/>
  <c r="BN273" i="65"/>
  <c r="BJ268" i="65"/>
  <c r="BA281" i="65"/>
  <c r="BZ279" i="65"/>
  <c r="AY231" i="65"/>
  <c r="BY270" i="65"/>
  <c r="BC276" i="65"/>
  <c r="BD238" i="65"/>
  <c r="AR227" i="65"/>
  <c r="BP238" i="65"/>
  <c r="AP233" i="65"/>
  <c r="AQ232" i="65"/>
  <c r="BG279" i="65"/>
  <c r="BA232" i="65"/>
  <c r="BU228" i="65"/>
  <c r="AN49" i="66"/>
  <c r="AQ275" i="65"/>
  <c r="AN44" i="66"/>
  <c r="AU236" i="65"/>
  <c r="BJ277" i="65"/>
  <c r="AQ245" i="65"/>
  <c r="BR228" i="65"/>
  <c r="BC279" i="65"/>
  <c r="BM241" i="65"/>
  <c r="AT233" i="65"/>
  <c r="AZ236" i="65"/>
  <c r="BH232" i="65"/>
  <c r="AV232" i="65"/>
  <c r="AU275" i="65"/>
  <c r="BK268" i="65"/>
  <c r="BT243" i="65"/>
  <c r="BP273" i="65"/>
  <c r="BT232" i="65"/>
  <c r="BP270" i="65"/>
  <c r="BP234" i="65"/>
  <c r="AS274" i="65"/>
  <c r="BE242" i="65"/>
  <c r="BS270" i="65"/>
  <c r="BJ230" i="65"/>
  <c r="BF229" i="65"/>
  <c r="BA244" i="65"/>
  <c r="AT245" i="65"/>
  <c r="AS43" i="66"/>
  <c r="AW233" i="65"/>
  <c r="BH240" i="65"/>
  <c r="BN229" i="65"/>
  <c r="BK234" i="65"/>
  <c r="BI227" i="65"/>
  <c r="BM244" i="65"/>
  <c r="BH228" i="65"/>
  <c r="BI243" i="65"/>
  <c r="AT246" i="65"/>
  <c r="AU239" i="65"/>
  <c r="AT242" i="65"/>
  <c r="BJ281" i="65"/>
  <c r="BR241" i="65"/>
  <c r="AZ278" i="65"/>
  <c r="BY230" i="65"/>
  <c r="BY231" i="65"/>
  <c r="BO237" i="65"/>
  <c r="BT233" i="65"/>
  <c r="BI239" i="65"/>
  <c r="AT236" i="65"/>
  <c r="BR272" i="65"/>
  <c r="BR237" i="65"/>
  <c r="AO275" i="65"/>
  <c r="AS41" i="66"/>
  <c r="BV275" i="65"/>
  <c r="BK236" i="65"/>
  <c r="AR237" i="65"/>
  <c r="BK245" i="65"/>
  <c r="AO229" i="65"/>
  <c r="BT275" i="65"/>
  <c r="BD276" i="65"/>
  <c r="AU241" i="65"/>
  <c r="BG234" i="65"/>
  <c r="BJ234" i="65"/>
  <c r="BT276" i="65"/>
  <c r="AS232" i="65"/>
  <c r="BG243" i="65"/>
  <c r="BJ232" i="65"/>
  <c r="AR244" i="65"/>
  <c r="AX243" i="65"/>
  <c r="BH245" i="65"/>
  <c r="AP80" i="66"/>
  <c r="BQ278" i="65"/>
  <c r="AZ229" i="65"/>
  <c r="AT237" i="65"/>
  <c r="BM277" i="65"/>
  <c r="AQ277" i="65"/>
  <c r="BO245" i="65"/>
  <c r="BR230" i="65"/>
  <c r="BV237" i="65"/>
  <c r="AX230" i="65"/>
  <c r="BS238" i="65"/>
  <c r="BL234" i="65"/>
  <c r="BB235" i="65"/>
  <c r="BH277" i="65"/>
  <c r="AQ241" i="65"/>
  <c r="AX235" i="65"/>
  <c r="AT231" i="65"/>
  <c r="BT270" i="65"/>
  <c r="AU232" i="65"/>
  <c r="BS271" i="65"/>
  <c r="BE273" i="65"/>
  <c r="AW228" i="65"/>
  <c r="AZ279" i="65"/>
  <c r="BU274" i="65"/>
  <c r="BK278" i="65"/>
  <c r="BR246" i="65"/>
  <c r="BC270" i="65"/>
  <c r="BV276" i="65"/>
  <c r="BO271" i="65"/>
  <c r="AP274" i="65"/>
  <c r="BB232" i="65"/>
  <c r="BG231" i="65"/>
  <c r="AV79" i="66"/>
  <c r="AX280" i="65"/>
  <c r="BS233" i="65"/>
  <c r="BB276" i="65"/>
  <c r="BQ231" i="65"/>
  <c r="BI277" i="65"/>
  <c r="BJ236" i="65"/>
  <c r="BR245" i="65"/>
  <c r="AM83" i="66"/>
  <c r="AU273" i="65"/>
  <c r="BN242" i="65"/>
  <c r="AQ242" i="65"/>
  <c r="BC235" i="65"/>
  <c r="AP242" i="65"/>
  <c r="AY227" i="65"/>
  <c r="AY277" i="65"/>
  <c r="BY275" i="65"/>
  <c r="BR271" i="65"/>
  <c r="BR278" i="65"/>
  <c r="AT268" i="65"/>
  <c r="BL239" i="65"/>
  <c r="AT279" i="65"/>
  <c r="AY272" i="65"/>
  <c r="AU270" i="65"/>
  <c r="BF241" i="65"/>
  <c r="AM81" i="66"/>
  <c r="AV277" i="65"/>
  <c r="BN270" i="65"/>
  <c r="BN237" i="65"/>
  <c r="AR281" i="65"/>
  <c r="BQ271" i="65"/>
  <c r="BL240" i="65"/>
  <c r="BU230" i="65"/>
  <c r="BL280" i="65"/>
  <c r="BD281" i="65"/>
  <c r="BV230" i="65"/>
  <c r="AY236" i="65"/>
  <c r="AP81" i="66"/>
  <c r="BL242" i="65"/>
  <c r="BM270" i="65"/>
  <c r="BL268" i="65"/>
  <c r="AR268" i="65"/>
  <c r="BI246" i="65"/>
  <c r="BV280" i="65"/>
  <c r="BP227" i="65"/>
  <c r="BN227" i="65"/>
  <c r="AP239" i="65"/>
  <c r="AW237" i="65"/>
  <c r="BL232" i="65"/>
  <c r="BE270" i="65"/>
  <c r="BE236" i="65"/>
  <c r="BI233" i="65"/>
  <c r="BC244" i="65"/>
  <c r="AP231" i="65"/>
  <c r="AN278" i="65"/>
  <c r="BA280" i="65"/>
  <c r="BN241" i="65"/>
  <c r="AV227" i="65"/>
  <c r="BO268" i="65"/>
  <c r="AT240" i="65"/>
  <c r="AR278" i="65"/>
  <c r="BM227" i="65"/>
  <c r="AV229" i="65"/>
  <c r="BF281" i="65"/>
  <c r="BD245" i="65"/>
  <c r="BK271" i="65"/>
  <c r="BJ272" i="65"/>
  <c r="BE281" i="65"/>
  <c r="BK246" i="65"/>
  <c r="BZ268" i="65"/>
  <c r="AX276" i="65"/>
  <c r="BP236" i="65"/>
  <c r="BP274" i="65"/>
  <c r="BF234" i="65"/>
  <c r="BK279" i="65"/>
  <c r="BQ281" i="65"/>
  <c r="BG242" i="65"/>
  <c r="AR236" i="65"/>
  <c r="BJ238" i="65"/>
  <c r="BV242" i="65"/>
  <c r="AU235" i="65"/>
  <c r="AZ245" i="65"/>
  <c r="BI238" i="65"/>
  <c r="AU238" i="65"/>
  <c r="AN280" i="65"/>
  <c r="BQ246" i="65"/>
  <c r="AP234" i="65"/>
  <c r="BV245" i="65"/>
  <c r="AY245" i="65"/>
  <c r="AU278" i="65"/>
  <c r="BG230" i="65"/>
  <c r="AQ271" i="65"/>
  <c r="I72" i="66" l="1"/>
  <c r="I78" i="66" s="1"/>
  <c r="I75" i="66"/>
  <c r="O80" i="66" a="1"/>
  <c r="O80" i="66" s="1"/>
  <c r="N80" i="66" s="1"/>
  <c r="O78" i="66" a="1"/>
  <c r="O78" i="66" s="1"/>
  <c r="N78" i="66" s="1"/>
  <c r="O79" i="66" a="1"/>
  <c r="O79" i="66" s="1"/>
  <c r="N79" i="66" s="1"/>
  <c r="O81" i="66" a="1"/>
  <c r="O81" i="66" s="1"/>
  <c r="K81" i="66" s="1"/>
  <c r="L81" i="66" s="1"/>
  <c r="O82" i="66" a="1"/>
  <c r="O82" i="66" s="1"/>
  <c r="N82" i="66" s="1"/>
  <c r="P77" i="66"/>
  <c r="G99" i="66" s="1"/>
  <c r="P78" i="66"/>
  <c r="P44" i="66"/>
  <c r="H65" i="66" s="1"/>
  <c r="O43" i="66" a="1"/>
  <c r="O43" i="66" s="1"/>
  <c r="K43" i="66" s="1"/>
  <c r="L43" i="66" s="1"/>
  <c r="O47" i="66" a="1"/>
  <c r="O47" i="66" s="1"/>
  <c r="N47" i="66" s="1"/>
  <c r="O46" i="66" a="1"/>
  <c r="O46" i="66" s="1"/>
  <c r="K46" i="66" s="1"/>
  <c r="L46" i="66" s="1"/>
  <c r="P43" i="66"/>
  <c r="O48" i="66" a="1"/>
  <c r="O48" i="66" s="1"/>
  <c r="K48" i="66" s="1"/>
  <c r="L48" i="66" s="1"/>
  <c r="P45" i="66"/>
  <c r="I65" i="66" s="1"/>
  <c r="O45" i="66" a="1"/>
  <c r="O45" i="66" s="1"/>
  <c r="K45" i="66" s="1"/>
  <c r="L45" i="66" s="1"/>
  <c r="O44" i="66" a="1"/>
  <c r="O44" i="66" s="1"/>
  <c r="K44" i="66" s="1"/>
  <c r="L44" i="66" s="1"/>
  <c r="K77" i="66"/>
  <c r="L77" i="66" s="1"/>
  <c r="Q281" i="65"/>
  <c r="AF281" i="65"/>
  <c r="AE281" i="65"/>
  <c r="AD281" i="65"/>
  <c r="AC281" i="65"/>
  <c r="D282" i="65"/>
  <c r="R282" i="65"/>
  <c r="S282" i="65"/>
  <c r="T282" i="65"/>
  <c r="U282" i="65"/>
  <c r="V282" i="65"/>
  <c r="W282" i="65"/>
  <c r="X282" i="65"/>
  <c r="Y282" i="65"/>
  <c r="AG282" i="65"/>
  <c r="AI282" i="65"/>
  <c r="BD282" i="65"/>
  <c r="BG282" i="65"/>
  <c r="BH282" i="65"/>
  <c r="AY282" i="65"/>
  <c r="AW282" i="65"/>
  <c r="BQ282" i="65"/>
  <c r="BL282" i="65"/>
  <c r="AU282" i="65"/>
  <c r="AO282" i="65"/>
  <c r="AZ282" i="65"/>
  <c r="BN282" i="65"/>
  <c r="BJ282" i="65"/>
  <c r="BI282" i="65"/>
  <c r="BS282" i="65"/>
  <c r="BB282" i="65"/>
  <c r="AX282" i="65"/>
  <c r="BY282" i="65"/>
  <c r="BK282" i="65"/>
  <c r="BM282" i="65"/>
  <c r="AR282" i="65"/>
  <c r="AQ282" i="65"/>
  <c r="BV282" i="65"/>
  <c r="BA282" i="65"/>
  <c r="BT282" i="65"/>
  <c r="BF282" i="65"/>
  <c r="AT282" i="65"/>
  <c r="BO282" i="65"/>
  <c r="BE282" i="65"/>
  <c r="AN282" i="65"/>
  <c r="BU282" i="65"/>
  <c r="BZ282" i="65"/>
  <c r="BR282" i="65"/>
  <c r="BP282" i="65"/>
  <c r="BC282" i="65"/>
  <c r="AV282" i="65"/>
  <c r="AP282" i="65"/>
  <c r="AS282" i="65"/>
  <c r="H75" i="66" l="1"/>
  <c r="H99" i="66"/>
  <c r="G41" i="66"/>
  <c r="G65" i="66"/>
  <c r="I84" i="66"/>
  <c r="I83" i="66"/>
  <c r="I79" i="66"/>
  <c r="I95" i="66"/>
  <c r="I89" i="66"/>
  <c r="I90" i="66"/>
  <c r="I85" i="66"/>
  <c r="I77" i="66"/>
  <c r="I82" i="66"/>
  <c r="I80" i="66"/>
  <c r="I94" i="66"/>
  <c r="I86" i="66"/>
  <c r="I76" i="66"/>
  <c r="I81" i="66"/>
  <c r="I91" i="66"/>
  <c r="G72" i="66"/>
  <c r="G91" i="66" s="1"/>
  <c r="G75" i="66"/>
  <c r="I93" i="66"/>
  <c r="H41" i="66"/>
  <c r="I41" i="66"/>
  <c r="K80" i="66"/>
  <c r="L80" i="66" s="1"/>
  <c r="H38" i="66"/>
  <c r="H56" i="66" s="1"/>
  <c r="K78" i="66"/>
  <c r="L78" i="66" s="1"/>
  <c r="K79" i="66"/>
  <c r="L79" i="66" s="1"/>
  <c r="N81" i="66"/>
  <c r="K82" i="66"/>
  <c r="L82" i="66" s="1"/>
  <c r="G38" i="66"/>
  <c r="G42" i="66" s="1"/>
  <c r="H72" i="66"/>
  <c r="H95" i="66" s="1"/>
  <c r="N43" i="66"/>
  <c r="K47" i="66"/>
  <c r="L47" i="66" s="1"/>
  <c r="N46" i="66"/>
  <c r="I38" i="66"/>
  <c r="I42" i="66" s="1"/>
  <c r="N48" i="66"/>
  <c r="N45" i="66"/>
  <c r="N44" i="66"/>
  <c r="Q282" i="65"/>
  <c r="AF282" i="65"/>
  <c r="AE282" i="65"/>
  <c r="AD282" i="65"/>
  <c r="AC282" i="65"/>
  <c r="D283" i="65"/>
  <c r="R283" i="65"/>
  <c r="S283" i="65"/>
  <c r="T283" i="65"/>
  <c r="U283" i="65"/>
  <c r="V283" i="65"/>
  <c r="W283" i="65"/>
  <c r="X283" i="65"/>
  <c r="Y283" i="65"/>
  <c r="AG283" i="65"/>
  <c r="AI283" i="65"/>
  <c r="BF283" i="65"/>
  <c r="AZ283" i="65"/>
  <c r="AO283" i="65"/>
  <c r="BU283" i="65"/>
  <c r="AW283" i="65"/>
  <c r="BL283" i="65"/>
  <c r="BT283" i="65"/>
  <c r="BH283" i="65"/>
  <c r="AX283" i="65"/>
  <c r="BY283" i="65"/>
  <c r="BN283" i="65"/>
  <c r="BJ283" i="65"/>
  <c r="AS283" i="65"/>
  <c r="BO283" i="65"/>
  <c r="BZ283" i="65"/>
  <c r="BR283" i="65"/>
  <c r="BQ283" i="65"/>
  <c r="BI283" i="65"/>
  <c r="BC283" i="65"/>
  <c r="BA283" i="65"/>
  <c r="BD283" i="65"/>
  <c r="BG283" i="65"/>
  <c r="BM283" i="65"/>
  <c r="AT283" i="65"/>
  <c r="AV283" i="65"/>
  <c r="BE283" i="65"/>
  <c r="BV283" i="65"/>
  <c r="BS283" i="65"/>
  <c r="AY283" i="65"/>
  <c r="BP283" i="65"/>
  <c r="AQ283" i="65"/>
  <c r="BB283" i="65"/>
  <c r="BK283" i="65"/>
  <c r="AP283" i="65"/>
  <c r="AN283" i="65"/>
  <c r="AU283" i="65"/>
  <c r="AR283" i="65"/>
  <c r="G94" i="66" l="1"/>
  <c r="G86" i="66"/>
  <c r="G84" i="66"/>
  <c r="G80" i="66"/>
  <c r="G77" i="66"/>
  <c r="G79" i="66"/>
  <c r="G81" i="66"/>
  <c r="G76" i="66"/>
  <c r="G82" i="66"/>
  <c r="G89" i="66"/>
  <c r="G78" i="66"/>
  <c r="G93" i="66"/>
  <c r="G85" i="66"/>
  <c r="G83" i="66"/>
  <c r="G90" i="66"/>
  <c r="G95" i="66"/>
  <c r="H43" i="66"/>
  <c r="H45" i="66"/>
  <c r="H48" i="66"/>
  <c r="H52" i="66"/>
  <c r="H59" i="66"/>
  <c r="H44" i="66"/>
  <c r="H51" i="66"/>
  <c r="H49" i="66"/>
  <c r="H47" i="66"/>
  <c r="H55" i="66"/>
  <c r="H50" i="66"/>
  <c r="H42" i="66"/>
  <c r="H60" i="66"/>
  <c r="H61" i="66"/>
  <c r="H46" i="66"/>
  <c r="H57" i="66"/>
  <c r="G56" i="66"/>
  <c r="G43" i="66"/>
  <c r="G46" i="66"/>
  <c r="G52" i="66"/>
  <c r="G50" i="66"/>
  <c r="G59" i="66"/>
  <c r="G49" i="66"/>
  <c r="G51" i="66"/>
  <c r="G47" i="66"/>
  <c r="G60" i="66"/>
  <c r="G57" i="66"/>
  <c r="G44" i="66"/>
  <c r="G48" i="66"/>
  <c r="G61" i="66"/>
  <c r="G45" i="66"/>
  <c r="G55" i="66"/>
  <c r="H91" i="66"/>
  <c r="H93" i="66"/>
  <c r="H82" i="66"/>
  <c r="H84" i="66"/>
  <c r="H86" i="66"/>
  <c r="H76" i="66"/>
  <c r="H79" i="66"/>
  <c r="H78" i="66"/>
  <c r="H77" i="66"/>
  <c r="H85" i="66"/>
  <c r="H94" i="66"/>
  <c r="H81" i="66"/>
  <c r="H83" i="66"/>
  <c r="H89" i="66"/>
  <c r="H90" i="66"/>
  <c r="H80" i="66"/>
  <c r="I59" i="66"/>
  <c r="I52" i="66"/>
  <c r="I55" i="66"/>
  <c r="I56" i="66"/>
  <c r="I47" i="66"/>
  <c r="I60" i="66"/>
  <c r="I43" i="66"/>
  <c r="I48" i="66"/>
  <c r="I46" i="66"/>
  <c r="I50" i="66"/>
  <c r="I51" i="66"/>
  <c r="I45" i="66"/>
  <c r="I49" i="66"/>
  <c r="I61" i="66"/>
  <c r="I44" i="66"/>
  <c r="I57" i="66"/>
  <c r="Q283" i="65"/>
  <c r="AF283" i="65"/>
  <c r="AE283" i="65"/>
  <c r="AD283" i="65"/>
  <c r="AC283" i="65"/>
  <c r="R284" i="65"/>
  <c r="S284" i="65"/>
  <c r="T284" i="65"/>
  <c r="U284" i="65"/>
  <c r="V284" i="65"/>
  <c r="W284" i="65"/>
  <c r="X284" i="65"/>
  <c r="Y284" i="65"/>
  <c r="AG284" i="65"/>
  <c r="AI284" i="65"/>
  <c r="BF284" i="65"/>
  <c r="AS284" i="65"/>
  <c r="BK284" i="65"/>
  <c r="AY284" i="65"/>
  <c r="AO284" i="65"/>
  <c r="BN284" i="65"/>
  <c r="BY284" i="65"/>
  <c r="BH284" i="65"/>
  <c r="AT284" i="65"/>
  <c r="BC284" i="65"/>
  <c r="BG284" i="65"/>
  <c r="AR284" i="65"/>
  <c r="AX284" i="65"/>
  <c r="BE284" i="65"/>
  <c r="BU284" i="65"/>
  <c r="BM284" i="65"/>
  <c r="BT284" i="65"/>
  <c r="AQ284" i="65"/>
  <c r="BS284" i="65"/>
  <c r="AP284" i="65"/>
  <c r="BR284" i="65"/>
  <c r="AU284" i="65"/>
  <c r="BO284" i="65"/>
  <c r="BI284" i="65"/>
  <c r="AW284" i="65"/>
  <c r="BP284" i="65"/>
  <c r="BD284" i="65"/>
  <c r="BL284" i="65"/>
  <c r="AZ284" i="65"/>
  <c r="BQ284" i="65"/>
  <c r="BJ284" i="65"/>
  <c r="AV284" i="65"/>
  <c r="BA284" i="65"/>
  <c r="BZ284" i="65"/>
  <c r="BB284" i="65"/>
  <c r="BV284" i="65"/>
  <c r="AN284" i="65"/>
  <c r="Q284" i="65" l="1"/>
  <c r="AF284" i="65"/>
  <c r="AE284" i="65"/>
  <c r="AD284" i="65"/>
  <c r="AC284" i="65"/>
  <c r="D285" i="65"/>
  <c r="R285" i="65"/>
  <c r="S285" i="65"/>
  <c r="T285" i="65"/>
  <c r="U285" i="65"/>
  <c r="V285" i="65"/>
  <c r="W285" i="65"/>
  <c r="X285" i="65"/>
  <c r="Y285" i="65"/>
  <c r="AG285" i="65"/>
  <c r="AI285" i="65"/>
  <c r="BC285" i="65"/>
  <c r="BU285" i="65"/>
  <c r="AS285" i="65"/>
  <c r="BN285" i="65"/>
  <c r="AX285" i="65"/>
  <c r="AY285" i="65"/>
  <c r="BJ285" i="65"/>
  <c r="BE285" i="65"/>
  <c r="AQ285" i="65"/>
  <c r="BV285" i="65"/>
  <c r="BR285" i="65"/>
  <c r="AZ285" i="65"/>
  <c r="BK285" i="65"/>
  <c r="BG285" i="65"/>
  <c r="BT285" i="65"/>
  <c r="AU285" i="65"/>
  <c r="BL285" i="65"/>
  <c r="BH285" i="65"/>
  <c r="AN285" i="65"/>
  <c r="BI285" i="65"/>
  <c r="BP285" i="65"/>
  <c r="BO285" i="65"/>
  <c r="AW285" i="65"/>
  <c r="BD285" i="65"/>
  <c r="BS285" i="65"/>
  <c r="BZ285" i="65"/>
  <c r="AR285" i="65"/>
  <c r="AV285" i="65"/>
  <c r="BY285" i="65"/>
  <c r="AP285" i="65"/>
  <c r="BM285" i="65"/>
  <c r="BF285" i="65"/>
  <c r="AO285" i="65"/>
  <c r="BQ285" i="65"/>
  <c r="BB285" i="65"/>
  <c r="BA285" i="65"/>
  <c r="AT285" i="65"/>
  <c r="Q285" i="65" l="1"/>
  <c r="AF285" i="65"/>
  <c r="AE285" i="65"/>
  <c r="AD285" i="65"/>
  <c r="AC285" i="65"/>
  <c r="D286" i="65"/>
  <c r="R286" i="65"/>
  <c r="S286" i="65"/>
  <c r="T286" i="65"/>
  <c r="U286" i="65"/>
  <c r="V286" i="65"/>
  <c r="W286" i="65"/>
  <c r="X286" i="65"/>
  <c r="Y286" i="65"/>
  <c r="AG286" i="65"/>
  <c r="AI286" i="65"/>
  <c r="BT286" i="65"/>
  <c r="BE286" i="65"/>
  <c r="AV286" i="65"/>
  <c r="BG286" i="65"/>
  <c r="BL286" i="65"/>
  <c r="BY286" i="65"/>
  <c r="BM286" i="65"/>
  <c r="AY286" i="65"/>
  <c r="BS286" i="65"/>
  <c r="BB286" i="65"/>
  <c r="BD286" i="65"/>
  <c r="AS286" i="65"/>
  <c r="BO286" i="65"/>
  <c r="AX286" i="65"/>
  <c r="AR286" i="65"/>
  <c r="BV286" i="65"/>
  <c r="BZ286" i="65"/>
  <c r="BU286" i="65"/>
  <c r="AO286" i="65"/>
  <c r="BK286" i="65"/>
  <c r="AT286" i="65"/>
  <c r="BI286" i="65"/>
  <c r="BP286" i="65"/>
  <c r="AZ286" i="65"/>
  <c r="AU286" i="65"/>
  <c r="BN286" i="65"/>
  <c r="BJ286" i="65"/>
  <c r="BC286" i="65"/>
  <c r="AQ286" i="65"/>
  <c r="BF286" i="65"/>
  <c r="BR286" i="65"/>
  <c r="AN286" i="65"/>
  <c r="AW286" i="65"/>
  <c r="BQ286" i="65"/>
  <c r="AP286" i="65"/>
  <c r="BA286" i="65"/>
  <c r="BH286" i="65"/>
  <c r="Q286" i="65" l="1"/>
  <c r="AF286" i="65"/>
  <c r="AE286" i="65"/>
  <c r="AD286" i="65"/>
  <c r="AC286" i="65"/>
  <c r="R287" i="65"/>
  <c r="S287" i="65"/>
  <c r="T287" i="65"/>
  <c r="U287" i="65"/>
  <c r="V287" i="65"/>
  <c r="W287" i="65"/>
  <c r="X287" i="65"/>
  <c r="Y287" i="65"/>
  <c r="AG287" i="65"/>
  <c r="AI287" i="65"/>
  <c r="BV287" i="65"/>
  <c r="BO287" i="65"/>
  <c r="BI287" i="65"/>
  <c r="BJ287" i="65"/>
  <c r="BT287" i="65"/>
  <c r="BD287" i="65"/>
  <c r="BA287" i="65"/>
  <c r="BP287" i="65"/>
  <c r="AQ287" i="65"/>
  <c r="BF287" i="65"/>
  <c r="AX287" i="65"/>
  <c r="BZ287" i="65"/>
  <c r="BG287" i="65"/>
  <c r="AS287" i="65"/>
  <c r="AV287" i="65"/>
  <c r="BB287" i="65"/>
  <c r="AO287" i="65"/>
  <c r="AZ287" i="65"/>
  <c r="BY287" i="65"/>
  <c r="BH287" i="65"/>
  <c r="BQ287" i="65"/>
  <c r="BE287" i="65"/>
  <c r="BM287" i="65"/>
  <c r="AR287" i="65"/>
  <c r="BK287" i="65"/>
  <c r="AP287" i="65"/>
  <c r="AU287" i="65"/>
  <c r="BN287" i="65"/>
  <c r="BS287" i="65"/>
  <c r="BR287" i="65"/>
  <c r="BL287" i="65"/>
  <c r="AT287" i="65"/>
  <c r="AY287" i="65"/>
  <c r="BU287" i="65"/>
  <c r="AN287" i="65"/>
  <c r="BC287" i="65"/>
  <c r="AW287" i="65"/>
  <c r="Q287" i="65" l="1"/>
  <c r="AF287" i="65"/>
  <c r="AE287" i="65"/>
  <c r="AD287" i="65"/>
  <c r="AC287" i="65"/>
  <c r="D288" i="65"/>
  <c r="R288" i="65"/>
  <c r="S288" i="65"/>
  <c r="T288" i="65"/>
  <c r="U288" i="65"/>
  <c r="V288" i="65"/>
  <c r="W288" i="65"/>
  <c r="X288" i="65"/>
  <c r="Y288" i="65"/>
  <c r="AG288" i="65"/>
  <c r="AI288" i="65"/>
  <c r="BB288" i="65"/>
  <c r="BO288" i="65"/>
  <c r="BN288" i="65"/>
  <c r="AY288" i="65"/>
  <c r="BH288" i="65"/>
  <c r="BM288" i="65"/>
  <c r="BJ288" i="65"/>
  <c r="AQ288" i="65"/>
  <c r="BF288" i="65"/>
  <c r="BG288" i="65"/>
  <c r="AP288" i="65"/>
  <c r="BA288" i="65"/>
  <c r="AW288" i="65"/>
  <c r="AT288" i="65"/>
  <c r="BU288" i="65"/>
  <c r="AV288" i="65"/>
  <c r="BS288" i="65"/>
  <c r="BC288" i="65"/>
  <c r="BY288" i="65"/>
  <c r="BP288" i="65"/>
  <c r="BZ288" i="65"/>
  <c r="BR288" i="65"/>
  <c r="BE288" i="65"/>
  <c r="AS288" i="65"/>
  <c r="BK288" i="65"/>
  <c r="BQ288" i="65"/>
  <c r="AZ288" i="65"/>
  <c r="AX288" i="65"/>
  <c r="AR288" i="65"/>
  <c r="BL288" i="65"/>
  <c r="AN288" i="65"/>
  <c r="BD288" i="65"/>
  <c r="BV288" i="65"/>
  <c r="AO288" i="65"/>
  <c r="BT288" i="65"/>
  <c r="AU288" i="65"/>
  <c r="BI288" i="65"/>
  <c r="Q288" i="65" l="1"/>
  <c r="AF288" i="65"/>
  <c r="AE288" i="65"/>
  <c r="AD288" i="65"/>
  <c r="AC288" i="65"/>
  <c r="D289" i="65"/>
  <c r="R289" i="65"/>
  <c r="S289" i="65"/>
  <c r="T289" i="65"/>
  <c r="U289" i="65"/>
  <c r="V289" i="65"/>
  <c r="W289" i="65"/>
  <c r="X289" i="65"/>
  <c r="Y289" i="65"/>
  <c r="AG289" i="65"/>
  <c r="AI289" i="65"/>
  <c r="AT289" i="65"/>
  <c r="BJ289" i="65"/>
  <c r="AU289" i="65"/>
  <c r="BK289" i="65"/>
  <c r="AN289" i="65"/>
  <c r="BR289" i="65"/>
  <c r="BL289" i="65"/>
  <c r="BQ289" i="65"/>
  <c r="BM289" i="65"/>
  <c r="BH289" i="65"/>
  <c r="AX289" i="65"/>
  <c r="BD289" i="65"/>
  <c r="BB289" i="65"/>
  <c r="BO289" i="65"/>
  <c r="AW289" i="65"/>
  <c r="BT289" i="65"/>
  <c r="BC289" i="65"/>
  <c r="BU289" i="65"/>
  <c r="AV289" i="65"/>
  <c r="AP289" i="65"/>
  <c r="BE289" i="65"/>
  <c r="BY289" i="65"/>
  <c r="BN289" i="65"/>
  <c r="BP289" i="65"/>
  <c r="BG289" i="65"/>
  <c r="BI289" i="65"/>
  <c r="AZ289" i="65"/>
  <c r="AO289" i="65"/>
  <c r="BA289" i="65"/>
  <c r="AY289" i="65"/>
  <c r="BS289" i="65"/>
  <c r="BV289" i="65"/>
  <c r="AQ289" i="65"/>
  <c r="BF289" i="65"/>
  <c r="AS289" i="65"/>
  <c r="BZ289" i="65"/>
  <c r="AR289" i="65"/>
  <c r="Q289" i="65" l="1"/>
  <c r="AF289" i="65"/>
  <c r="AE289" i="65"/>
  <c r="AD289" i="65"/>
  <c r="AC289" i="65"/>
  <c r="D291" i="65" l="1"/>
  <c r="D292" i="65" l="1"/>
  <c r="D294" i="65" l="1"/>
  <c r="D295" i="65"/>
  <c r="AN311" i="65"/>
  <c r="AO311" i="65"/>
  <c r="AP311" i="65"/>
  <c r="AQ311" i="65"/>
  <c r="AR311" i="65"/>
  <c r="AS311" i="65"/>
  <c r="AT311" i="65"/>
  <c r="AU311" i="65"/>
  <c r="AV311" i="65"/>
  <c r="AW311" i="65"/>
  <c r="AX311" i="65"/>
  <c r="AZ311" i="65"/>
  <c r="BA311" i="65"/>
  <c r="BB311" i="65"/>
  <c r="AC312" i="65"/>
  <c r="AI312" i="65"/>
  <c r="AW312" i="65"/>
  <c r="BF312" i="65"/>
  <c r="AN312" i="65"/>
  <c r="AR312" i="65"/>
  <c r="BP312" i="65"/>
  <c r="BJ312" i="65"/>
  <c r="AY312" i="65"/>
  <c r="BU312" i="65"/>
  <c r="BD312" i="65"/>
  <c r="BK312" i="65"/>
  <c r="BC312" i="65"/>
  <c r="BA312" i="65"/>
  <c r="BZ312" i="65"/>
  <c r="BV312" i="65"/>
  <c r="AP312" i="65"/>
  <c r="BH312" i="65"/>
  <c r="AT312" i="65"/>
  <c r="AU312" i="65"/>
  <c r="BI312" i="65"/>
  <c r="BN312" i="65"/>
  <c r="BO312" i="65"/>
  <c r="BS312" i="65"/>
  <c r="AS312" i="65"/>
  <c r="BR312" i="65"/>
  <c r="AX312" i="65"/>
  <c r="BG312" i="65"/>
  <c r="BE312" i="65"/>
  <c r="AO312" i="65"/>
  <c r="BL312" i="65"/>
  <c r="AZ312" i="65"/>
  <c r="AV312" i="65"/>
  <c r="AQ312" i="65"/>
  <c r="BT312" i="65"/>
  <c r="BQ312" i="65"/>
  <c r="BY312" i="65"/>
  <c r="BB312" i="65"/>
  <c r="AH312" i="65" l="1"/>
  <c r="AG312" i="65"/>
  <c r="AF312" i="65"/>
  <c r="AE312" i="65"/>
  <c r="AD312" i="65"/>
  <c r="AB312" i="65"/>
  <c r="R314" i="65"/>
  <c r="S314" i="65"/>
  <c r="T314" i="65"/>
  <c r="U314" i="65"/>
  <c r="V314" i="65"/>
  <c r="W314" i="65"/>
  <c r="X314" i="65"/>
  <c r="Y314" i="65"/>
  <c r="AG314" i="65"/>
  <c r="AI314" i="65"/>
  <c r="AS314" i="65"/>
  <c r="BY314" i="65"/>
  <c r="BZ314" i="65"/>
  <c r="AW314" i="65"/>
  <c r="BO314" i="65"/>
  <c r="BH314" i="65"/>
  <c r="BM314" i="65"/>
  <c r="AY314" i="65"/>
  <c r="BJ314" i="65"/>
  <c r="BK314" i="65"/>
  <c r="BV314" i="65"/>
  <c r="BU314" i="65"/>
  <c r="BL314" i="65"/>
  <c r="BQ314" i="65"/>
  <c r="AT314" i="65"/>
  <c r="BC314" i="65"/>
  <c r="BB314" i="65"/>
  <c r="AN314" i="65"/>
  <c r="BS314" i="65"/>
  <c r="AV314" i="65"/>
  <c r="AZ314" i="65"/>
  <c r="BR314" i="65"/>
  <c r="BT314" i="65"/>
  <c r="AP314" i="65"/>
  <c r="BG314" i="65"/>
  <c r="BN314" i="65"/>
  <c r="BF314" i="65"/>
  <c r="BA314" i="65"/>
  <c r="AX314" i="65"/>
  <c r="AQ314" i="65"/>
  <c r="BE314" i="65"/>
  <c r="AU314" i="65"/>
  <c r="BP314" i="65"/>
  <c r="BD314" i="65"/>
  <c r="BI314" i="65"/>
  <c r="AR314" i="65"/>
  <c r="AO314" i="65"/>
  <c r="Q314" i="65" l="1"/>
  <c r="AA312" i="65"/>
  <c r="AF314" i="65"/>
  <c r="AE314" i="65"/>
  <c r="AD314" i="65"/>
  <c r="AC314" i="65"/>
  <c r="R315" i="65"/>
  <c r="S315" i="65"/>
  <c r="T315" i="65"/>
  <c r="U315" i="65"/>
  <c r="V315" i="65"/>
  <c r="W315" i="65"/>
  <c r="X315" i="65"/>
  <c r="Y315" i="65"/>
  <c r="AG315" i="65"/>
  <c r="AI315" i="65"/>
  <c r="AT315" i="65"/>
  <c r="BS315" i="65"/>
  <c r="BV315" i="65"/>
  <c r="BJ315" i="65"/>
  <c r="BH315" i="65"/>
  <c r="AZ315" i="65"/>
  <c r="BO315" i="65"/>
  <c r="AN315" i="65"/>
  <c r="BM315" i="65"/>
  <c r="BR315" i="65"/>
  <c r="BE315" i="65"/>
  <c r="BZ315" i="65"/>
  <c r="BK315" i="65"/>
  <c r="AU315" i="65"/>
  <c r="AS315" i="65"/>
  <c r="BL315" i="65"/>
  <c r="BI315" i="65"/>
  <c r="BD315" i="65"/>
  <c r="AR315" i="65"/>
  <c r="AO315" i="65"/>
  <c r="BG315" i="65"/>
  <c r="AP315" i="65"/>
  <c r="BF315" i="65"/>
  <c r="BA315" i="65"/>
  <c r="AW315" i="65"/>
  <c r="AQ315" i="65"/>
  <c r="AY315" i="65"/>
  <c r="AV315" i="65"/>
  <c r="BC315" i="65"/>
  <c r="BU315" i="65"/>
  <c r="BY315" i="65"/>
  <c r="BP315" i="65"/>
  <c r="BN315" i="65"/>
  <c r="BQ315" i="65"/>
  <c r="AX315" i="65"/>
  <c r="BB315" i="65"/>
  <c r="BT315" i="65"/>
  <c r="Q315" i="65" l="1"/>
  <c r="AF315" i="65"/>
  <c r="AE315" i="65"/>
  <c r="AD315" i="65"/>
  <c r="AC315" i="65"/>
  <c r="R316" i="65"/>
  <c r="S316" i="65"/>
  <c r="T316" i="65"/>
  <c r="U316" i="65"/>
  <c r="V316" i="65"/>
  <c r="W316" i="65"/>
  <c r="X316" i="65"/>
  <c r="Y316" i="65"/>
  <c r="AG316" i="65"/>
  <c r="AI316" i="65"/>
  <c r="AP316" i="65"/>
  <c r="BN316" i="65"/>
  <c r="AO316" i="65"/>
  <c r="BA316" i="65"/>
  <c r="BM316" i="65"/>
  <c r="BP316" i="65"/>
  <c r="BG316" i="65"/>
  <c r="BC316" i="65"/>
  <c r="BU316" i="65"/>
  <c r="AT316" i="65"/>
  <c r="BF316" i="65"/>
  <c r="AZ316" i="65"/>
  <c r="AY316" i="65"/>
  <c r="BK316" i="65"/>
  <c r="BH316" i="65"/>
  <c r="AQ316" i="65"/>
  <c r="BO316" i="65"/>
  <c r="BD316" i="65"/>
  <c r="BY316" i="65"/>
  <c r="BB316" i="65"/>
  <c r="BV316" i="65"/>
  <c r="BT316" i="65"/>
  <c r="AV316" i="65"/>
  <c r="AX316" i="65"/>
  <c r="AW316" i="65"/>
  <c r="BL316" i="65"/>
  <c r="BJ316" i="65"/>
  <c r="BS316" i="65"/>
  <c r="AS316" i="65"/>
  <c r="BZ316" i="65"/>
  <c r="AN316" i="65"/>
  <c r="AR316" i="65"/>
  <c r="AU316" i="65"/>
  <c r="BE316" i="65"/>
  <c r="BQ316" i="65"/>
  <c r="BR316" i="65"/>
  <c r="BI316" i="65"/>
  <c r="Q316" i="65" l="1"/>
  <c r="AF316" i="65"/>
  <c r="AE316" i="65"/>
  <c r="AD316" i="65"/>
  <c r="AC316" i="65"/>
  <c r="R317" i="65"/>
  <c r="S317" i="65"/>
  <c r="T317" i="65"/>
  <c r="U317" i="65"/>
  <c r="V317" i="65"/>
  <c r="W317" i="65"/>
  <c r="X317" i="65"/>
  <c r="Y317" i="65"/>
  <c r="AG317" i="65"/>
  <c r="AI317" i="65"/>
  <c r="AY317" i="65"/>
  <c r="AZ317" i="65"/>
  <c r="AV317" i="65"/>
  <c r="AW317" i="65"/>
  <c r="AT317" i="65"/>
  <c r="BC317" i="65"/>
  <c r="BE317" i="65"/>
  <c r="BO317" i="65"/>
  <c r="BH317" i="65"/>
  <c r="BU317" i="65"/>
  <c r="BJ317" i="65"/>
  <c r="AO317" i="65"/>
  <c r="AN317" i="65"/>
  <c r="AX317" i="65"/>
  <c r="BP317" i="65"/>
  <c r="BZ317" i="65"/>
  <c r="BT317" i="65"/>
  <c r="BN317" i="65"/>
  <c r="BM317" i="65"/>
  <c r="BF317" i="65"/>
  <c r="BD317" i="65"/>
  <c r="BL317" i="65"/>
  <c r="AR317" i="65"/>
  <c r="BB317" i="65"/>
  <c r="BQ317" i="65"/>
  <c r="BA317" i="65"/>
  <c r="BS317" i="65"/>
  <c r="AQ317" i="65"/>
  <c r="AU317" i="65"/>
  <c r="AS317" i="65"/>
  <c r="AP317" i="65"/>
  <c r="BV317" i="65"/>
  <c r="BG317" i="65"/>
  <c r="BI317" i="65"/>
  <c r="BY317" i="65"/>
  <c r="BK317" i="65"/>
  <c r="BR317" i="65"/>
  <c r="Q317" i="65" l="1"/>
  <c r="AF317" i="65"/>
  <c r="AE317" i="65"/>
  <c r="AD317" i="65"/>
  <c r="AC317" i="65"/>
  <c r="R318" i="65"/>
  <c r="S318" i="65"/>
  <c r="T318" i="65"/>
  <c r="U318" i="65"/>
  <c r="V318" i="65"/>
  <c r="W318" i="65"/>
  <c r="X318" i="65"/>
  <c r="Y318" i="65"/>
  <c r="AG318" i="65"/>
  <c r="AI318" i="65"/>
  <c r="BS318" i="65"/>
  <c r="AN318" i="65"/>
  <c r="AR318" i="65"/>
  <c r="BC318" i="65"/>
  <c r="AX318" i="65"/>
  <c r="BD318" i="65"/>
  <c r="BT318" i="65"/>
  <c r="BH318" i="65"/>
  <c r="BB318" i="65"/>
  <c r="BI318" i="65"/>
  <c r="AU318" i="65"/>
  <c r="BM318" i="65"/>
  <c r="BE318" i="65"/>
  <c r="AO318" i="65"/>
  <c r="BG318" i="65"/>
  <c r="BQ318" i="65"/>
  <c r="AZ318" i="65"/>
  <c r="AP318" i="65"/>
  <c r="AY318" i="65"/>
  <c r="BR318" i="65"/>
  <c r="AQ318" i="65"/>
  <c r="BV318" i="65"/>
  <c r="BY318" i="65"/>
  <c r="BK318" i="65"/>
  <c r="BN318" i="65"/>
  <c r="BU318" i="65"/>
  <c r="BP318" i="65"/>
  <c r="BO318" i="65"/>
  <c r="AW318" i="65"/>
  <c r="BZ318" i="65"/>
  <c r="BA318" i="65"/>
  <c r="AT318" i="65"/>
  <c r="AV318" i="65"/>
  <c r="BL318" i="65"/>
  <c r="BJ318" i="65"/>
  <c r="BF318" i="65"/>
  <c r="AS318" i="65"/>
  <c r="Q318" i="65" l="1"/>
  <c r="AF318" i="65"/>
  <c r="AE318" i="65"/>
  <c r="AD318" i="65"/>
  <c r="AC318" i="65"/>
  <c r="R319" i="65"/>
  <c r="S319" i="65"/>
  <c r="T319" i="65"/>
  <c r="U319" i="65"/>
  <c r="V319" i="65"/>
  <c r="W319" i="65"/>
  <c r="X319" i="65"/>
  <c r="Y319" i="65"/>
  <c r="AG319" i="65"/>
  <c r="AI319" i="65"/>
  <c r="BT319" i="65"/>
  <c r="BZ319" i="65"/>
  <c r="BS319" i="65"/>
  <c r="AN319" i="65"/>
  <c r="BQ319" i="65"/>
  <c r="AZ319" i="65"/>
  <c r="BN319" i="65"/>
  <c r="AU319" i="65"/>
  <c r="BF319" i="65"/>
  <c r="AT319" i="65"/>
  <c r="BI319" i="65"/>
  <c r="AQ319" i="65"/>
  <c r="BE319" i="65"/>
  <c r="AS319" i="65"/>
  <c r="BR319" i="65"/>
  <c r="BK319" i="65"/>
  <c r="BD319" i="65"/>
  <c r="BM319" i="65"/>
  <c r="BY319" i="65"/>
  <c r="BJ319" i="65"/>
  <c r="BH319" i="65"/>
  <c r="AX319" i="65"/>
  <c r="BC319" i="65"/>
  <c r="BG319" i="65"/>
  <c r="BA319" i="65"/>
  <c r="BB319" i="65"/>
  <c r="BO319" i="65"/>
  <c r="BL319" i="65"/>
  <c r="BU319" i="65"/>
  <c r="AY319" i="65"/>
  <c r="BV319" i="65"/>
  <c r="AV319" i="65"/>
  <c r="AO319" i="65"/>
  <c r="AW319" i="65"/>
  <c r="BP319" i="65"/>
  <c r="AR319" i="65"/>
  <c r="AP319" i="65"/>
  <c r="Q319" i="65" l="1"/>
  <c r="AF319" i="65"/>
  <c r="AE319" i="65"/>
  <c r="AD319" i="65"/>
  <c r="AC319" i="65"/>
  <c r="R320" i="65"/>
  <c r="S320" i="65"/>
  <c r="T320" i="65"/>
  <c r="U320" i="65"/>
  <c r="V320" i="65"/>
  <c r="W320" i="65"/>
  <c r="X320" i="65"/>
  <c r="Y320" i="65"/>
  <c r="AG320" i="65"/>
  <c r="AI320" i="65"/>
  <c r="BV320" i="65"/>
  <c r="AN320" i="65"/>
  <c r="BO320" i="65"/>
  <c r="BM320" i="65"/>
  <c r="BG320" i="65"/>
  <c r="AR320" i="65"/>
  <c r="BE320" i="65"/>
  <c r="BK320" i="65"/>
  <c r="AX320" i="65"/>
  <c r="BY320" i="65"/>
  <c r="AU320" i="65"/>
  <c r="BJ320" i="65"/>
  <c r="BB320" i="65"/>
  <c r="BD320" i="65"/>
  <c r="BZ320" i="65"/>
  <c r="BU320" i="65"/>
  <c r="BN320" i="65"/>
  <c r="BS320" i="65"/>
  <c r="BF320" i="65"/>
  <c r="AP320" i="65"/>
  <c r="AT320" i="65"/>
  <c r="AV320" i="65"/>
  <c r="BR320" i="65"/>
  <c r="BP320" i="65"/>
  <c r="AQ320" i="65"/>
  <c r="AS320" i="65"/>
  <c r="BT320" i="65"/>
  <c r="BC320" i="65"/>
  <c r="AZ320" i="65"/>
  <c r="AW320" i="65"/>
  <c r="BQ320" i="65"/>
  <c r="AY320" i="65"/>
  <c r="BH320" i="65"/>
  <c r="BI320" i="65"/>
  <c r="BA320" i="65"/>
  <c r="AO320" i="65"/>
  <c r="BL320" i="65"/>
  <c r="Q320" i="65" l="1"/>
  <c r="AF320" i="65"/>
  <c r="AE320" i="65"/>
  <c r="AD320" i="65"/>
  <c r="AC320" i="65"/>
  <c r="R321" i="65"/>
  <c r="S321" i="65"/>
  <c r="T321" i="65"/>
  <c r="U321" i="65"/>
  <c r="V321" i="65"/>
  <c r="W321" i="65"/>
  <c r="X321" i="65"/>
  <c r="Y321" i="65"/>
  <c r="AG321" i="65"/>
  <c r="AI321" i="65"/>
  <c r="BO321" i="65"/>
  <c r="BG321" i="65"/>
  <c r="BV321" i="65"/>
  <c r="BP321" i="65"/>
  <c r="BC321" i="65"/>
  <c r="BY321" i="65"/>
  <c r="AS321" i="65"/>
  <c r="BZ321" i="65"/>
  <c r="BA321" i="65"/>
  <c r="BJ321" i="65"/>
  <c r="AV321" i="65"/>
  <c r="BU321" i="65"/>
  <c r="BT321" i="65"/>
  <c r="BI321" i="65"/>
  <c r="BH321" i="65"/>
  <c r="BE321" i="65"/>
  <c r="AU321" i="65"/>
  <c r="AX321" i="65"/>
  <c r="BN321" i="65"/>
  <c r="BQ321" i="65"/>
  <c r="BK321" i="65"/>
  <c r="BL321" i="65"/>
  <c r="AZ321" i="65"/>
  <c r="AN321" i="65"/>
  <c r="AR321" i="65"/>
  <c r="AY321" i="65"/>
  <c r="AP321" i="65"/>
  <c r="BD321" i="65"/>
  <c r="AO321" i="65"/>
  <c r="BS321" i="65"/>
  <c r="AW321" i="65"/>
  <c r="AQ321" i="65"/>
  <c r="AT321" i="65"/>
  <c r="BB321" i="65"/>
  <c r="BF321" i="65"/>
  <c r="BR321" i="65"/>
  <c r="BM321" i="65"/>
  <c r="Q321" i="65" l="1"/>
  <c r="AF321" i="65"/>
  <c r="AE321" i="65"/>
  <c r="AD321" i="65"/>
  <c r="AC321" i="65"/>
  <c r="R322" i="65"/>
  <c r="S322" i="65"/>
  <c r="T322" i="65"/>
  <c r="U322" i="65"/>
  <c r="V322" i="65"/>
  <c r="W322" i="65"/>
  <c r="X322" i="65"/>
  <c r="Y322" i="65"/>
  <c r="AG322" i="65"/>
  <c r="AI322" i="65"/>
  <c r="BH322" i="65"/>
  <c r="AR322" i="65"/>
  <c r="BO322" i="65"/>
  <c r="BY322" i="65"/>
  <c r="AZ322" i="65"/>
  <c r="BP322" i="65"/>
  <c r="BL322" i="65"/>
  <c r="BT322" i="65"/>
  <c r="BB322" i="65"/>
  <c r="BR322" i="65"/>
  <c r="BQ322" i="65"/>
  <c r="AY322" i="65"/>
  <c r="AT322" i="65"/>
  <c r="AS322" i="65"/>
  <c r="BA322" i="65"/>
  <c r="AQ322" i="65"/>
  <c r="BF322" i="65"/>
  <c r="AO322" i="65"/>
  <c r="BI322" i="65"/>
  <c r="AW322" i="65"/>
  <c r="BS322" i="65"/>
  <c r="BM322" i="65"/>
  <c r="AN322" i="65"/>
  <c r="AV322" i="65"/>
  <c r="BV322" i="65"/>
  <c r="AX322" i="65"/>
  <c r="BZ322" i="65"/>
  <c r="BK322" i="65"/>
  <c r="AU322" i="65"/>
  <c r="BN322" i="65"/>
  <c r="BG322" i="65"/>
  <c r="AP322" i="65"/>
  <c r="BD322" i="65"/>
  <c r="BC322" i="65"/>
  <c r="BU322" i="65"/>
  <c r="BJ322" i="65"/>
  <c r="BE322" i="65"/>
  <c r="Q322" i="65" l="1"/>
  <c r="AF322" i="65"/>
  <c r="AE322" i="65"/>
  <c r="AD322" i="65"/>
  <c r="AC322" i="65"/>
  <c r="R323" i="65"/>
  <c r="S323" i="65"/>
  <c r="T323" i="65"/>
  <c r="U323" i="65"/>
  <c r="V323" i="65"/>
  <c r="W323" i="65"/>
  <c r="X323" i="65"/>
  <c r="Y323" i="65"/>
  <c r="AG323" i="65"/>
  <c r="AI323" i="65"/>
  <c r="AS323" i="65"/>
  <c r="BU323" i="65"/>
  <c r="BQ323" i="65"/>
  <c r="BA323" i="65"/>
  <c r="BY323" i="65"/>
  <c r="AX323" i="65"/>
  <c r="BM323" i="65"/>
  <c r="BI323" i="65"/>
  <c r="AZ323" i="65"/>
  <c r="BZ323" i="65"/>
  <c r="BT323" i="65"/>
  <c r="AQ323" i="65"/>
  <c r="BR323" i="65"/>
  <c r="BF323" i="65"/>
  <c r="BC323" i="65"/>
  <c r="BS323" i="65"/>
  <c r="AO323" i="65"/>
  <c r="BK323" i="65"/>
  <c r="BP323" i="65"/>
  <c r="BN323" i="65"/>
  <c r="AY323" i="65"/>
  <c r="AR323" i="65"/>
  <c r="BJ323" i="65"/>
  <c r="BB323" i="65"/>
  <c r="BV323" i="65"/>
  <c r="AW323" i="65"/>
  <c r="AT323" i="65"/>
  <c r="BG323" i="65"/>
  <c r="BD323" i="65"/>
  <c r="AV323" i="65"/>
  <c r="AU323" i="65"/>
  <c r="BO323" i="65"/>
  <c r="AP323" i="65"/>
  <c r="AN323" i="65"/>
  <c r="BE323" i="65"/>
  <c r="BH323" i="65"/>
  <c r="BL323" i="65"/>
  <c r="Q323" i="65" l="1"/>
  <c r="AF323" i="65"/>
  <c r="AE323" i="65"/>
  <c r="AD323" i="65"/>
  <c r="AC323" i="65"/>
  <c r="R324" i="65"/>
  <c r="S324" i="65"/>
  <c r="T324" i="65"/>
  <c r="U324" i="65"/>
  <c r="V324" i="65"/>
  <c r="W324" i="65"/>
  <c r="X324" i="65"/>
  <c r="Y324" i="65"/>
  <c r="AG324" i="65"/>
  <c r="AI324" i="65"/>
  <c r="BM324" i="65"/>
  <c r="AX324" i="65"/>
  <c r="BS324" i="65"/>
  <c r="BO324" i="65"/>
  <c r="BN324" i="65"/>
  <c r="BK324" i="65"/>
  <c r="BC324" i="65"/>
  <c r="BH324" i="65"/>
  <c r="AW324" i="65"/>
  <c r="BF324" i="65"/>
  <c r="BZ324" i="65"/>
  <c r="AV324" i="65"/>
  <c r="BL324" i="65"/>
  <c r="BR324" i="65"/>
  <c r="AY324" i="65"/>
  <c r="AR324" i="65"/>
  <c r="AO324" i="65"/>
  <c r="BP324" i="65"/>
  <c r="BQ324" i="65"/>
  <c r="AU324" i="65"/>
  <c r="AN324" i="65"/>
  <c r="AS324" i="65"/>
  <c r="BI324" i="65"/>
  <c r="BA324" i="65"/>
  <c r="BU324" i="65"/>
  <c r="AQ324" i="65"/>
  <c r="BD324" i="65"/>
  <c r="AP324" i="65"/>
  <c r="BV324" i="65"/>
  <c r="AT324" i="65"/>
  <c r="BT324" i="65"/>
  <c r="BG324" i="65"/>
  <c r="BE324" i="65"/>
  <c r="BJ324" i="65"/>
  <c r="AZ324" i="65"/>
  <c r="BY324" i="65"/>
  <c r="BB324" i="65"/>
  <c r="Q324" i="65" l="1"/>
  <c r="AF324" i="65"/>
  <c r="AE324" i="65"/>
  <c r="AD324" i="65"/>
  <c r="AC324" i="65"/>
  <c r="R325" i="65"/>
  <c r="S325" i="65"/>
  <c r="T325" i="65"/>
  <c r="U325" i="65"/>
  <c r="V325" i="65"/>
  <c r="W325" i="65"/>
  <c r="X325" i="65"/>
  <c r="Y325" i="65"/>
  <c r="AG325" i="65"/>
  <c r="AI325" i="65"/>
  <c r="BN325" i="65"/>
  <c r="BZ325" i="65"/>
  <c r="BJ325" i="65"/>
  <c r="BR325" i="65"/>
  <c r="BG325" i="65"/>
  <c r="AO325" i="65"/>
  <c r="BH325" i="65"/>
  <c r="AZ325" i="65"/>
  <c r="AQ325" i="65"/>
  <c r="BO325" i="65"/>
  <c r="BM325" i="65"/>
  <c r="AP325" i="65"/>
  <c r="BU325" i="65"/>
  <c r="AY325" i="65"/>
  <c r="BA325" i="65"/>
  <c r="BT325" i="65"/>
  <c r="BD325" i="65"/>
  <c r="AS325" i="65"/>
  <c r="BL325" i="65"/>
  <c r="BP325" i="65"/>
  <c r="BQ325" i="65"/>
  <c r="AW325" i="65"/>
  <c r="BK325" i="65"/>
  <c r="BV325" i="65"/>
  <c r="AT325" i="65"/>
  <c r="AU325" i="65"/>
  <c r="AV325" i="65"/>
  <c r="BF325" i="65"/>
  <c r="AN325" i="65"/>
  <c r="BY325" i="65"/>
  <c r="BC325" i="65"/>
  <c r="AX325" i="65"/>
  <c r="BS325" i="65"/>
  <c r="BI325" i="65"/>
  <c r="AR325" i="65"/>
  <c r="BE325" i="65"/>
  <c r="BB325" i="65"/>
  <c r="Q325" i="65" l="1"/>
  <c r="AF325" i="65"/>
  <c r="AE325" i="65"/>
  <c r="AD325" i="65"/>
  <c r="AC325" i="65"/>
  <c r="D326" i="65"/>
  <c r="R326" i="65"/>
  <c r="S326" i="65"/>
  <c r="T326" i="65"/>
  <c r="U326" i="65"/>
  <c r="V326" i="65"/>
  <c r="W326" i="65"/>
  <c r="X326" i="65"/>
  <c r="Y326" i="65"/>
  <c r="AG326" i="65"/>
  <c r="AI326" i="65"/>
  <c r="BQ326" i="65"/>
  <c r="AN326" i="65"/>
  <c r="AX326" i="65"/>
  <c r="BE326" i="65"/>
  <c r="AQ326" i="65"/>
  <c r="BU326" i="65"/>
  <c r="BS326" i="65"/>
  <c r="BZ326" i="65"/>
  <c r="BJ326" i="65"/>
  <c r="BC326" i="65"/>
  <c r="BP326" i="65"/>
  <c r="BM326" i="65"/>
  <c r="BA326" i="65"/>
  <c r="BK326" i="65"/>
  <c r="BT326" i="65"/>
  <c r="BH326" i="65"/>
  <c r="BI326" i="65"/>
  <c r="AW326" i="65"/>
  <c r="AV326" i="65"/>
  <c r="BY326" i="65"/>
  <c r="BF326" i="65"/>
  <c r="BO326" i="65"/>
  <c r="BN326" i="65"/>
  <c r="BG326" i="65"/>
  <c r="AZ326" i="65"/>
  <c r="BB326" i="65"/>
  <c r="AO326" i="65"/>
  <c r="AR326" i="65"/>
  <c r="BV326" i="65"/>
  <c r="AP326" i="65"/>
  <c r="AT326" i="65"/>
  <c r="AY326" i="65"/>
  <c r="AU326" i="65"/>
  <c r="BD326" i="65"/>
  <c r="AS326" i="65"/>
  <c r="BL326" i="65"/>
  <c r="BR326" i="65"/>
  <c r="Q326" i="65" l="1"/>
  <c r="AF326" i="65"/>
  <c r="AE326" i="65"/>
  <c r="AD326" i="65"/>
  <c r="AC326" i="65"/>
  <c r="D327" i="65"/>
  <c r="R327" i="65"/>
  <c r="S327" i="65"/>
  <c r="T327" i="65"/>
  <c r="U327" i="65"/>
  <c r="V327" i="65"/>
  <c r="W327" i="65"/>
  <c r="X327" i="65"/>
  <c r="Y327" i="65"/>
  <c r="AG327" i="65"/>
  <c r="AI327" i="65"/>
  <c r="BI327" i="65"/>
  <c r="BF327" i="65"/>
  <c r="BM327" i="65"/>
  <c r="BU327" i="65"/>
  <c r="AN327" i="65"/>
  <c r="BP327" i="65"/>
  <c r="BD327" i="65"/>
  <c r="BH327" i="65"/>
  <c r="BR327" i="65"/>
  <c r="AP327" i="65"/>
  <c r="AS327" i="65"/>
  <c r="BK327" i="65"/>
  <c r="BC327" i="65"/>
  <c r="AW327" i="65"/>
  <c r="AU327" i="65"/>
  <c r="BJ327" i="65"/>
  <c r="AY327" i="65"/>
  <c r="BB327" i="65"/>
  <c r="AQ327" i="65"/>
  <c r="BZ327" i="65"/>
  <c r="AR327" i="65"/>
  <c r="AV327" i="65"/>
  <c r="AO327" i="65"/>
  <c r="BT327" i="65"/>
  <c r="BL327" i="65"/>
  <c r="BV327" i="65"/>
  <c r="AZ327" i="65"/>
  <c r="BE327" i="65"/>
  <c r="BA327" i="65"/>
  <c r="BY327" i="65"/>
  <c r="BS327" i="65"/>
  <c r="AT327" i="65"/>
  <c r="BN327" i="65"/>
  <c r="BO327" i="65"/>
  <c r="AX327" i="65"/>
  <c r="BG327" i="65"/>
  <c r="BQ327" i="65"/>
  <c r="Q327" i="65" l="1"/>
  <c r="AF327" i="65"/>
  <c r="AE327" i="65"/>
  <c r="AD327" i="65"/>
  <c r="AC327" i="65"/>
  <c r="R328" i="65"/>
  <c r="S328" i="65"/>
  <c r="T328" i="65"/>
  <c r="U328" i="65"/>
  <c r="V328" i="65"/>
  <c r="W328" i="65"/>
  <c r="X328" i="65"/>
  <c r="Y328" i="65"/>
  <c r="AG328" i="65"/>
  <c r="AI328" i="65"/>
  <c r="BP328" i="65"/>
  <c r="BI328" i="65"/>
  <c r="BH328" i="65"/>
  <c r="BQ328" i="65"/>
  <c r="BK328" i="65"/>
  <c r="BZ328" i="65"/>
  <c r="BF328" i="65"/>
  <c r="AQ328" i="65"/>
  <c r="BC328" i="65"/>
  <c r="AS328" i="65"/>
  <c r="BE328" i="65"/>
  <c r="BY328" i="65"/>
  <c r="AW328" i="65"/>
  <c r="BL328" i="65"/>
  <c r="BO328" i="65"/>
  <c r="AX328" i="65"/>
  <c r="BR328" i="65"/>
  <c r="BN328" i="65"/>
  <c r="AZ328" i="65"/>
  <c r="BB328" i="65"/>
  <c r="BV328" i="65"/>
  <c r="AO328" i="65"/>
  <c r="AP328" i="65"/>
  <c r="AY328" i="65"/>
  <c r="AR328" i="65"/>
  <c r="BJ328" i="65"/>
  <c r="AU328" i="65"/>
  <c r="BG328" i="65"/>
  <c r="BD328" i="65"/>
  <c r="BS328" i="65"/>
  <c r="BT328" i="65"/>
  <c r="AN328" i="65"/>
  <c r="BM328" i="65"/>
  <c r="AT328" i="65"/>
  <c r="BA328" i="65"/>
  <c r="BU328" i="65"/>
  <c r="AV328" i="65"/>
  <c r="Q328" i="65" l="1"/>
  <c r="AF328" i="65"/>
  <c r="AE328" i="65"/>
  <c r="AD328" i="65"/>
  <c r="AC328" i="65"/>
  <c r="D329" i="65"/>
  <c r="R329" i="65"/>
  <c r="S329" i="65"/>
  <c r="T329" i="65"/>
  <c r="U329" i="65"/>
  <c r="V329" i="65"/>
  <c r="W329" i="65"/>
  <c r="X329" i="65"/>
  <c r="Y329" i="65"/>
  <c r="AG329" i="65"/>
  <c r="AI329" i="65"/>
  <c r="BJ329" i="65"/>
  <c r="AN329" i="65"/>
  <c r="BV329" i="65"/>
  <c r="BG329" i="65"/>
  <c r="BT329" i="65"/>
  <c r="AY329" i="65"/>
  <c r="AZ329" i="65"/>
  <c r="BU329" i="65"/>
  <c r="BO329" i="65"/>
  <c r="BM329" i="65"/>
  <c r="BH329" i="65"/>
  <c r="BK329" i="65"/>
  <c r="BQ329" i="65"/>
  <c r="BI329" i="65"/>
  <c r="AO329" i="65"/>
  <c r="AS329" i="65"/>
  <c r="BN329" i="65"/>
  <c r="AX329" i="65"/>
  <c r="BB329" i="65"/>
  <c r="BP329" i="65"/>
  <c r="BD329" i="65"/>
  <c r="BL329" i="65"/>
  <c r="AU329" i="65"/>
  <c r="BA329" i="65"/>
  <c r="BS329" i="65"/>
  <c r="AQ329" i="65"/>
  <c r="BF329" i="65"/>
  <c r="BR329" i="65"/>
  <c r="BC329" i="65"/>
  <c r="AP329" i="65"/>
  <c r="AR329" i="65"/>
  <c r="BY329" i="65"/>
  <c r="AV329" i="65"/>
  <c r="BE329" i="65"/>
  <c r="AW329" i="65"/>
  <c r="AT329" i="65"/>
  <c r="BZ329" i="65"/>
  <c r="Q329" i="65" l="1"/>
  <c r="AF329" i="65"/>
  <c r="AE329" i="65"/>
  <c r="AD329" i="65"/>
  <c r="AC329" i="65"/>
  <c r="D330" i="65"/>
  <c r="R330" i="65"/>
  <c r="S330" i="65"/>
  <c r="T330" i="65"/>
  <c r="U330" i="65"/>
  <c r="V330" i="65"/>
  <c r="W330" i="65"/>
  <c r="X330" i="65"/>
  <c r="Y330" i="65"/>
  <c r="AG330" i="65"/>
  <c r="AI330" i="65"/>
  <c r="AY330" i="65"/>
  <c r="BH330" i="65"/>
  <c r="BF330" i="65"/>
  <c r="BT330" i="65"/>
  <c r="BR330" i="65"/>
  <c r="BU330" i="65"/>
  <c r="BA330" i="65"/>
  <c r="BO330" i="65"/>
  <c r="AU330" i="65"/>
  <c r="BK330" i="65"/>
  <c r="BG330" i="65"/>
  <c r="BI330" i="65"/>
  <c r="AR330" i="65"/>
  <c r="BL330" i="65"/>
  <c r="BE330" i="65"/>
  <c r="AN330" i="65"/>
  <c r="AO330" i="65"/>
  <c r="AW330" i="65"/>
  <c r="BQ330" i="65"/>
  <c r="BB330" i="65"/>
  <c r="BN330" i="65"/>
  <c r="BD330" i="65"/>
  <c r="BM330" i="65"/>
  <c r="AQ330" i="65"/>
  <c r="AX330" i="65"/>
  <c r="BZ330" i="65"/>
  <c r="BV330" i="65"/>
  <c r="AT330" i="65"/>
  <c r="AS330" i="65"/>
  <c r="BC330" i="65"/>
  <c r="BY330" i="65"/>
  <c r="BP330" i="65"/>
  <c r="AZ330" i="65"/>
  <c r="AP330" i="65"/>
  <c r="BJ330" i="65"/>
  <c r="BS330" i="65"/>
  <c r="AV330" i="65"/>
  <c r="Q330" i="65" l="1"/>
  <c r="AF330" i="65"/>
  <c r="AE330" i="65"/>
  <c r="AD330" i="65"/>
  <c r="AC330" i="65"/>
  <c r="R331" i="65"/>
  <c r="S331" i="65"/>
  <c r="T331" i="65"/>
  <c r="U331" i="65"/>
  <c r="V331" i="65"/>
  <c r="W331" i="65"/>
  <c r="X331" i="65"/>
  <c r="Y331" i="65"/>
  <c r="AG331" i="65"/>
  <c r="AI331" i="65"/>
  <c r="BJ331" i="65"/>
  <c r="BQ331" i="65"/>
  <c r="AU331" i="65"/>
  <c r="BM331" i="65"/>
  <c r="BT331" i="65"/>
  <c r="AX331" i="65"/>
  <c r="BA331" i="65"/>
  <c r="BU331" i="65"/>
  <c r="BR331" i="65"/>
  <c r="BE331" i="65"/>
  <c r="BY331" i="65"/>
  <c r="BP331" i="65"/>
  <c r="AP331" i="65"/>
  <c r="AO331" i="65"/>
  <c r="BN331" i="65"/>
  <c r="BB331" i="65"/>
  <c r="AQ331" i="65"/>
  <c r="AR331" i="65"/>
  <c r="BC331" i="65"/>
  <c r="BO331" i="65"/>
  <c r="AZ331" i="65"/>
  <c r="AW331" i="65"/>
  <c r="BK331" i="65"/>
  <c r="BG331" i="65"/>
  <c r="BI331" i="65"/>
  <c r="BL331" i="65"/>
  <c r="BH331" i="65"/>
  <c r="BV331" i="65"/>
  <c r="BF331" i="65"/>
  <c r="BS331" i="65"/>
  <c r="AS331" i="65"/>
  <c r="BZ331" i="65"/>
  <c r="AT331" i="65"/>
  <c r="AY331" i="65"/>
  <c r="AV331" i="65"/>
  <c r="AN331" i="65"/>
  <c r="BD331" i="65"/>
  <c r="Q331" i="65" l="1"/>
  <c r="AF331" i="65"/>
  <c r="AE331" i="65"/>
  <c r="AD331" i="65"/>
  <c r="AC331" i="65"/>
  <c r="D332" i="65"/>
  <c r="R332" i="65"/>
  <c r="S332" i="65"/>
  <c r="T332" i="65"/>
  <c r="U332" i="65"/>
  <c r="V332" i="65"/>
  <c r="W332" i="65"/>
  <c r="X332" i="65"/>
  <c r="Y332" i="65"/>
  <c r="AG332" i="65"/>
  <c r="AI332" i="65"/>
  <c r="AU332" i="65"/>
  <c r="BE332" i="65"/>
  <c r="BD332" i="65"/>
  <c r="AN332" i="65"/>
  <c r="BU332" i="65"/>
  <c r="BL332" i="65"/>
  <c r="BC332" i="65"/>
  <c r="BA332" i="65"/>
  <c r="BG332" i="65"/>
  <c r="AZ332" i="65"/>
  <c r="BK332" i="65"/>
  <c r="BT332" i="65"/>
  <c r="AO332" i="65"/>
  <c r="BO332" i="65"/>
  <c r="BS332" i="65"/>
  <c r="BV332" i="65"/>
  <c r="AS332" i="65"/>
  <c r="BJ332" i="65"/>
  <c r="AX332" i="65"/>
  <c r="BR332" i="65"/>
  <c r="BI332" i="65"/>
  <c r="AV332" i="65"/>
  <c r="AY332" i="65"/>
  <c r="BQ332" i="65"/>
  <c r="AP332" i="65"/>
  <c r="BZ332" i="65"/>
  <c r="BF332" i="65"/>
  <c r="BH332" i="65"/>
  <c r="AQ332" i="65"/>
  <c r="BB332" i="65"/>
  <c r="AW332" i="65"/>
  <c r="BN332" i="65"/>
  <c r="BY332" i="65"/>
  <c r="BP332" i="65"/>
  <c r="AT332" i="65"/>
  <c r="BM332" i="65"/>
  <c r="AR332" i="65"/>
  <c r="Q332" i="65" l="1"/>
  <c r="AF332" i="65"/>
  <c r="AE332" i="65"/>
  <c r="AD332" i="65"/>
  <c r="AC332" i="65"/>
  <c r="D333" i="65"/>
  <c r="R333" i="65"/>
  <c r="S333" i="65"/>
  <c r="T333" i="65"/>
  <c r="U333" i="65"/>
  <c r="V333" i="65"/>
  <c r="W333" i="65"/>
  <c r="X333" i="65"/>
  <c r="Y333" i="65"/>
  <c r="AG333" i="65"/>
  <c r="AI333" i="65"/>
  <c r="BG333" i="65"/>
  <c r="AW333" i="65"/>
  <c r="BF333" i="65"/>
  <c r="BV333" i="65"/>
  <c r="AV333" i="65"/>
  <c r="BE333" i="65"/>
  <c r="AY333" i="65"/>
  <c r="BO333" i="65"/>
  <c r="BA333" i="65"/>
  <c r="AX333" i="65"/>
  <c r="BI333" i="65"/>
  <c r="BL333" i="65"/>
  <c r="BM333" i="65"/>
  <c r="BZ333" i="65"/>
  <c r="BY333" i="65"/>
  <c r="AO333" i="65"/>
  <c r="BN333" i="65"/>
  <c r="BS333" i="65"/>
  <c r="AS333" i="65"/>
  <c r="AR333" i="65"/>
  <c r="AT333" i="65"/>
  <c r="BK333" i="65"/>
  <c r="AZ333" i="65"/>
  <c r="AP333" i="65"/>
  <c r="BQ333" i="65"/>
  <c r="BD333" i="65"/>
  <c r="BJ333" i="65"/>
  <c r="AN333" i="65"/>
  <c r="BR333" i="65"/>
  <c r="BB333" i="65"/>
  <c r="BP333" i="65"/>
  <c r="AU333" i="65"/>
  <c r="BH333" i="65"/>
  <c r="BC333" i="65"/>
  <c r="AQ333" i="65"/>
  <c r="BT333" i="65"/>
  <c r="BU333" i="65"/>
  <c r="Q333" i="65" l="1"/>
  <c r="AF333" i="65"/>
  <c r="AE333" i="65"/>
  <c r="AD333" i="65"/>
  <c r="AC333" i="65"/>
  <c r="D335" i="65" l="1"/>
  <c r="D336" i="65" l="1"/>
  <c r="D338" i="65" l="1"/>
  <c r="D339" i="65"/>
  <c r="AN354" i="65"/>
  <c r="AO354" i="65"/>
  <c r="AP354" i="65"/>
  <c r="AQ354" i="65"/>
  <c r="AR354" i="65"/>
  <c r="AS354" i="65"/>
  <c r="AT354" i="65"/>
  <c r="AU354" i="65"/>
  <c r="AV354" i="65"/>
  <c r="AW354" i="65"/>
  <c r="AX354" i="65"/>
  <c r="AZ354" i="65"/>
  <c r="BA354" i="65"/>
  <c r="BB354" i="65"/>
  <c r="AC355" i="65"/>
  <c r="AI355" i="65"/>
  <c r="BT355" i="65"/>
  <c r="BV355" i="65"/>
  <c r="BF355" i="65"/>
  <c r="AX355" i="65"/>
  <c r="AU355" i="65"/>
  <c r="BJ355" i="65"/>
  <c r="BY355" i="65"/>
  <c r="BP355" i="65"/>
  <c r="AR355" i="65"/>
  <c r="AO355" i="65"/>
  <c r="BC355" i="65"/>
  <c r="AS355" i="65"/>
  <c r="BD355" i="65"/>
  <c r="BG355" i="65"/>
  <c r="BB355" i="65"/>
  <c r="BK355" i="65"/>
  <c r="BL355" i="65"/>
  <c r="AT355" i="65"/>
  <c r="BE355" i="65"/>
  <c r="BI355" i="65"/>
  <c r="BS355" i="65"/>
  <c r="AP355" i="65"/>
  <c r="BU355" i="65"/>
  <c r="AN355" i="65"/>
  <c r="AZ355" i="65"/>
  <c r="BA355" i="65"/>
  <c r="BO355" i="65"/>
  <c r="AV355" i="65"/>
  <c r="AQ355" i="65"/>
  <c r="BQ355" i="65"/>
  <c r="BH355" i="65"/>
  <c r="BR355" i="65"/>
  <c r="AW355" i="65"/>
  <c r="BN355" i="65"/>
  <c r="BZ355" i="65"/>
  <c r="AY355" i="65"/>
  <c r="AH355" i="65" l="1"/>
  <c r="AG355" i="65"/>
  <c r="AF355" i="65"/>
  <c r="AE355" i="65"/>
  <c r="AD355" i="65"/>
  <c r="AB355" i="65"/>
  <c r="R357" i="65"/>
  <c r="S357" i="65"/>
  <c r="T357" i="65"/>
  <c r="U357" i="65"/>
  <c r="V357" i="65"/>
  <c r="W357" i="65"/>
  <c r="X357" i="65"/>
  <c r="Y357" i="65"/>
  <c r="AG357" i="65"/>
  <c r="AI357" i="65"/>
  <c r="AU357" i="65"/>
  <c r="BM357" i="65"/>
  <c r="AZ357" i="65"/>
  <c r="AO357" i="65"/>
  <c r="BR357" i="65"/>
  <c r="BQ357" i="65"/>
  <c r="BT357" i="65"/>
  <c r="BO357" i="65"/>
  <c r="BV357" i="65"/>
  <c r="AP357" i="65"/>
  <c r="BY357" i="65"/>
  <c r="BJ357" i="65"/>
  <c r="BE357" i="65"/>
  <c r="BN357" i="65"/>
  <c r="BH357" i="65"/>
  <c r="AN357" i="65"/>
  <c r="AY357" i="65"/>
  <c r="BA357" i="65"/>
  <c r="AS357" i="65"/>
  <c r="AR357" i="65"/>
  <c r="AQ357" i="65"/>
  <c r="BK357" i="65"/>
  <c r="BG357" i="65"/>
  <c r="BU357" i="65"/>
  <c r="BC357" i="65"/>
  <c r="BP357" i="65"/>
  <c r="BS357" i="65"/>
  <c r="AV357" i="65"/>
  <c r="AX357" i="65"/>
  <c r="BF357" i="65"/>
  <c r="BL357" i="65"/>
  <c r="BZ357" i="65"/>
  <c r="BB357" i="65"/>
  <c r="AT357" i="65"/>
  <c r="BD357" i="65"/>
  <c r="AW357" i="65"/>
  <c r="BI357" i="65"/>
  <c r="Q357" i="65" l="1"/>
  <c r="AA355" i="65"/>
  <c r="AF357" i="65"/>
  <c r="AE357" i="65"/>
  <c r="AD357" i="65"/>
  <c r="AC357" i="65"/>
  <c r="R358" i="65"/>
  <c r="S358" i="65"/>
  <c r="T358" i="65"/>
  <c r="U358" i="65"/>
  <c r="V358" i="65"/>
  <c r="W358" i="65"/>
  <c r="X358" i="65"/>
  <c r="Y358" i="65"/>
  <c r="AG358" i="65"/>
  <c r="AI358" i="65"/>
  <c r="AZ358" i="65"/>
  <c r="BL358" i="65"/>
  <c r="BF358" i="65"/>
  <c r="BY358" i="65"/>
  <c r="AP358" i="65"/>
  <c r="AT358" i="65"/>
  <c r="AN358" i="65"/>
  <c r="AU358" i="65"/>
  <c r="AR358" i="65"/>
  <c r="BA358" i="65"/>
  <c r="BM358" i="65"/>
  <c r="BK358" i="65"/>
  <c r="BV358" i="65"/>
  <c r="BP358" i="65"/>
  <c r="AX358" i="65"/>
  <c r="BQ358" i="65"/>
  <c r="BS358" i="65"/>
  <c r="AY358" i="65"/>
  <c r="BN358" i="65"/>
  <c r="BH358" i="65"/>
  <c r="AO358" i="65"/>
  <c r="BG358" i="65"/>
  <c r="BT358" i="65"/>
  <c r="AS358" i="65"/>
  <c r="BO358" i="65"/>
  <c r="BJ358" i="65"/>
  <c r="BZ358" i="65"/>
  <c r="BI358" i="65"/>
  <c r="BD358" i="65"/>
  <c r="AV358" i="65"/>
  <c r="AW358" i="65"/>
  <c r="BB358" i="65"/>
  <c r="BR358" i="65"/>
  <c r="AQ358" i="65"/>
  <c r="BE358" i="65"/>
  <c r="BU358" i="65"/>
  <c r="BC358" i="65"/>
  <c r="Q358" i="65" l="1"/>
  <c r="AF358" i="65"/>
  <c r="AE358" i="65"/>
  <c r="AD358" i="65"/>
  <c r="AC358" i="65"/>
  <c r="R359" i="65"/>
  <c r="S359" i="65"/>
  <c r="T359" i="65"/>
  <c r="U359" i="65"/>
  <c r="V359" i="65"/>
  <c r="W359" i="65"/>
  <c r="X359" i="65"/>
  <c r="Y359" i="65"/>
  <c r="AG359" i="65"/>
  <c r="AI359" i="65"/>
  <c r="BF359" i="65"/>
  <c r="AN359" i="65"/>
  <c r="BY359" i="65"/>
  <c r="BB359" i="65"/>
  <c r="AU359" i="65"/>
  <c r="BP359" i="65"/>
  <c r="BZ359" i="65"/>
  <c r="BL359" i="65"/>
  <c r="BQ359" i="65"/>
  <c r="AO359" i="65"/>
  <c r="BC359" i="65"/>
  <c r="BO359" i="65"/>
  <c r="AW359" i="65"/>
  <c r="BM359" i="65"/>
  <c r="BV359" i="65"/>
  <c r="AP359" i="65"/>
  <c r="BA359" i="65"/>
  <c r="AR359" i="65"/>
  <c r="BU359" i="65"/>
  <c r="BT359" i="65"/>
  <c r="AS359" i="65"/>
  <c r="BD359" i="65"/>
  <c r="BJ359" i="65"/>
  <c r="AY359" i="65"/>
  <c r="BS359" i="65"/>
  <c r="AQ359" i="65"/>
  <c r="BH359" i="65"/>
  <c r="AX359" i="65"/>
  <c r="AT359" i="65"/>
  <c r="AZ359" i="65"/>
  <c r="BK359" i="65"/>
  <c r="AV359" i="65"/>
  <c r="BG359" i="65"/>
  <c r="BR359" i="65"/>
  <c r="BE359" i="65"/>
  <c r="BN359" i="65"/>
  <c r="BI359" i="65"/>
  <c r="Q359" i="65" l="1"/>
  <c r="AF359" i="65"/>
  <c r="AE359" i="65"/>
  <c r="AD359" i="65"/>
  <c r="AC359" i="65"/>
  <c r="R360" i="65"/>
  <c r="S360" i="65"/>
  <c r="T360" i="65"/>
  <c r="U360" i="65"/>
  <c r="V360" i="65"/>
  <c r="W360" i="65"/>
  <c r="X360" i="65"/>
  <c r="Y360" i="65"/>
  <c r="AG360" i="65"/>
  <c r="AI360" i="65"/>
  <c r="BZ360" i="65"/>
  <c r="BY360" i="65"/>
  <c r="BG360" i="65"/>
  <c r="AR360" i="65"/>
  <c r="AO360" i="65"/>
  <c r="BK360" i="65"/>
  <c r="AQ360" i="65"/>
  <c r="BS360" i="65"/>
  <c r="BI360" i="65"/>
  <c r="AZ360" i="65"/>
  <c r="BQ360" i="65"/>
  <c r="BU360" i="65"/>
  <c r="AT360" i="65"/>
  <c r="BD360" i="65"/>
  <c r="AV360" i="65"/>
  <c r="BH360" i="65"/>
  <c r="BT360" i="65"/>
  <c r="BF360" i="65"/>
  <c r="BE360" i="65"/>
  <c r="AX360" i="65"/>
  <c r="BB360" i="65"/>
  <c r="AY360" i="65"/>
  <c r="AU360" i="65"/>
  <c r="BA360" i="65"/>
  <c r="BJ360" i="65"/>
  <c r="BV360" i="65"/>
  <c r="AN360" i="65"/>
  <c r="AP360" i="65"/>
  <c r="BM360" i="65"/>
  <c r="AS360" i="65"/>
  <c r="BR360" i="65"/>
  <c r="BO360" i="65"/>
  <c r="BN360" i="65"/>
  <c r="BC360" i="65"/>
  <c r="BL360" i="65"/>
  <c r="AW360" i="65"/>
  <c r="BP360" i="65"/>
  <c r="Q360" i="65" l="1"/>
  <c r="AF360" i="65"/>
  <c r="AE360" i="65"/>
  <c r="AD360" i="65"/>
  <c r="AC360" i="65"/>
  <c r="R361" i="65"/>
  <c r="S361" i="65"/>
  <c r="T361" i="65"/>
  <c r="U361" i="65"/>
  <c r="V361" i="65"/>
  <c r="W361" i="65"/>
  <c r="X361" i="65"/>
  <c r="Y361" i="65"/>
  <c r="AG361" i="65"/>
  <c r="AI361" i="65"/>
  <c r="BB361" i="65"/>
  <c r="AY361" i="65"/>
  <c r="BF361" i="65"/>
  <c r="BM361" i="65"/>
  <c r="BI361" i="65"/>
  <c r="AW361" i="65"/>
  <c r="AX361" i="65"/>
  <c r="AN361" i="65"/>
  <c r="BS361" i="65"/>
  <c r="BZ361" i="65"/>
  <c r="BY361" i="65"/>
  <c r="AR361" i="65"/>
  <c r="AV361" i="65"/>
  <c r="AZ361" i="65"/>
  <c r="BN361" i="65"/>
  <c r="AQ361" i="65"/>
  <c r="AS361" i="65"/>
  <c r="BE361" i="65"/>
  <c r="BO361" i="65"/>
  <c r="BP361" i="65"/>
  <c r="BL361" i="65"/>
  <c r="BD361" i="65"/>
  <c r="AP361" i="65"/>
  <c r="BT361" i="65"/>
  <c r="BV361" i="65"/>
  <c r="BK361" i="65"/>
  <c r="BH361" i="65"/>
  <c r="BC361" i="65"/>
  <c r="AO361" i="65"/>
  <c r="BA361" i="65"/>
  <c r="BU361" i="65"/>
  <c r="BJ361" i="65"/>
  <c r="AU361" i="65"/>
  <c r="BR361" i="65"/>
  <c r="AT361" i="65"/>
  <c r="BQ361" i="65"/>
  <c r="BG361" i="65"/>
  <c r="Q361" i="65" l="1"/>
  <c r="AF361" i="65"/>
  <c r="AE361" i="65"/>
  <c r="AD361" i="65"/>
  <c r="AC361" i="65"/>
  <c r="R362" i="65"/>
  <c r="S362" i="65"/>
  <c r="T362" i="65"/>
  <c r="U362" i="65"/>
  <c r="V362" i="65"/>
  <c r="W362" i="65"/>
  <c r="X362" i="65"/>
  <c r="Y362" i="65"/>
  <c r="AG362" i="65"/>
  <c r="AI362" i="65"/>
  <c r="BC362" i="65"/>
  <c r="AW362" i="65"/>
  <c r="BK362" i="65"/>
  <c r="BZ362" i="65"/>
  <c r="BG362" i="65"/>
  <c r="BQ362" i="65"/>
  <c r="AY362" i="65"/>
  <c r="BH362" i="65"/>
  <c r="BA362" i="65"/>
  <c r="AR362" i="65"/>
  <c r="BN362" i="65"/>
  <c r="BP362" i="65"/>
  <c r="BD362" i="65"/>
  <c r="AS362" i="65"/>
  <c r="AZ362" i="65"/>
  <c r="BS362" i="65"/>
  <c r="AU362" i="65"/>
  <c r="BR362" i="65"/>
  <c r="AO362" i="65"/>
  <c r="BY362" i="65"/>
  <c r="BO362" i="65"/>
  <c r="BU362" i="65"/>
  <c r="AQ362" i="65"/>
  <c r="BJ362" i="65"/>
  <c r="BI362" i="65"/>
  <c r="BT362" i="65"/>
  <c r="BL362" i="65"/>
  <c r="BM362" i="65"/>
  <c r="AT362" i="65"/>
  <c r="BV362" i="65"/>
  <c r="AP362" i="65"/>
  <c r="AV362" i="65"/>
  <c r="AX362" i="65"/>
  <c r="BE362" i="65"/>
  <c r="AN362" i="65"/>
  <c r="BB362" i="65"/>
  <c r="BF362" i="65"/>
  <c r="Q362" i="65" l="1"/>
  <c r="AF362" i="65"/>
  <c r="AE362" i="65"/>
  <c r="AD362" i="65"/>
  <c r="AC362" i="65"/>
  <c r="R363" i="65"/>
  <c r="S363" i="65"/>
  <c r="T363" i="65"/>
  <c r="U363" i="65"/>
  <c r="V363" i="65"/>
  <c r="W363" i="65"/>
  <c r="X363" i="65"/>
  <c r="Y363" i="65"/>
  <c r="AG363" i="65"/>
  <c r="AI363" i="65"/>
  <c r="BE363" i="65"/>
  <c r="BI363" i="65"/>
  <c r="BU363" i="65"/>
  <c r="AT363" i="65"/>
  <c r="BK363" i="65"/>
  <c r="BA363" i="65"/>
  <c r="AU363" i="65"/>
  <c r="BS363" i="65"/>
  <c r="BC363" i="65"/>
  <c r="AW363" i="65"/>
  <c r="BZ363" i="65"/>
  <c r="AV363" i="65"/>
  <c r="AQ363" i="65"/>
  <c r="BD363" i="65"/>
  <c r="BP363" i="65"/>
  <c r="BN363" i="65"/>
  <c r="BH363" i="65"/>
  <c r="BY363" i="65"/>
  <c r="BO363" i="65"/>
  <c r="AP363" i="65"/>
  <c r="AZ363" i="65"/>
  <c r="BQ363" i="65"/>
  <c r="BM363" i="65"/>
  <c r="AN363" i="65"/>
  <c r="AY363" i="65"/>
  <c r="AS363" i="65"/>
  <c r="AX363" i="65"/>
  <c r="AR363" i="65"/>
  <c r="BG363" i="65"/>
  <c r="BR363" i="65"/>
  <c r="BV363" i="65"/>
  <c r="BT363" i="65"/>
  <c r="BL363" i="65"/>
  <c r="BF363" i="65"/>
  <c r="BB363" i="65"/>
  <c r="BJ363" i="65"/>
  <c r="AO363" i="65"/>
  <c r="Q363" i="65" l="1"/>
  <c r="AF363" i="65"/>
  <c r="AE363" i="65"/>
  <c r="AD363" i="65"/>
  <c r="AC363" i="65"/>
  <c r="R364" i="65"/>
  <c r="S364" i="65"/>
  <c r="T364" i="65"/>
  <c r="U364" i="65"/>
  <c r="V364" i="65"/>
  <c r="W364" i="65"/>
  <c r="X364" i="65"/>
  <c r="Y364" i="65"/>
  <c r="AG364" i="65"/>
  <c r="AI364" i="65"/>
  <c r="BG364" i="65"/>
  <c r="BN364" i="65"/>
  <c r="AT364" i="65"/>
  <c r="AU364" i="65"/>
  <c r="BS364" i="65"/>
  <c r="BH364" i="65"/>
  <c r="AR364" i="65"/>
  <c r="BB364" i="65"/>
  <c r="BA364" i="65"/>
  <c r="BD364" i="65"/>
  <c r="BI364" i="65"/>
  <c r="BM364" i="65"/>
  <c r="BP364" i="65"/>
  <c r="BQ364" i="65"/>
  <c r="BC364" i="65"/>
  <c r="AP364" i="65"/>
  <c r="BE364" i="65"/>
  <c r="BY364" i="65"/>
  <c r="AN364" i="65"/>
  <c r="BK364" i="65"/>
  <c r="BU364" i="65"/>
  <c r="BV364" i="65"/>
  <c r="AO364" i="65"/>
  <c r="BZ364" i="65"/>
  <c r="BT364" i="65"/>
  <c r="BF364" i="65"/>
  <c r="AS364" i="65"/>
  <c r="AV364" i="65"/>
  <c r="BL364" i="65"/>
  <c r="AZ364" i="65"/>
  <c r="BJ364" i="65"/>
  <c r="AY364" i="65"/>
  <c r="AQ364" i="65"/>
  <c r="BR364" i="65"/>
  <c r="AX364" i="65"/>
  <c r="AW364" i="65"/>
  <c r="BO364" i="65"/>
  <c r="Q364" i="65" l="1"/>
  <c r="AF364" i="65"/>
  <c r="AE364" i="65"/>
  <c r="AD364" i="65"/>
  <c r="AC364" i="65"/>
  <c r="R365" i="65"/>
  <c r="S365" i="65"/>
  <c r="T365" i="65"/>
  <c r="U365" i="65"/>
  <c r="V365" i="65"/>
  <c r="W365" i="65"/>
  <c r="X365" i="65"/>
  <c r="Y365" i="65"/>
  <c r="AG365" i="65"/>
  <c r="AI365" i="65"/>
  <c r="BH365" i="65"/>
  <c r="AP365" i="65"/>
  <c r="AN365" i="65"/>
  <c r="BL365" i="65"/>
  <c r="BP365" i="65"/>
  <c r="AX365" i="65"/>
  <c r="BE365" i="65"/>
  <c r="BT365" i="65"/>
  <c r="BY365" i="65"/>
  <c r="BO365" i="65"/>
  <c r="BA365" i="65"/>
  <c r="BC365" i="65"/>
  <c r="AV365" i="65"/>
  <c r="AZ365" i="65"/>
  <c r="BZ365" i="65"/>
  <c r="BK365" i="65"/>
  <c r="BD365" i="65"/>
  <c r="BS365" i="65"/>
  <c r="BM365" i="65"/>
  <c r="BN365" i="65"/>
  <c r="BQ365" i="65"/>
  <c r="BU365" i="65"/>
  <c r="BG365" i="65"/>
  <c r="BF365" i="65"/>
  <c r="BB365" i="65"/>
  <c r="BI365" i="65"/>
  <c r="AO365" i="65"/>
  <c r="AY365" i="65"/>
  <c r="BV365" i="65"/>
  <c r="AQ365" i="65"/>
  <c r="AW365" i="65"/>
  <c r="AU365" i="65"/>
  <c r="AS365" i="65"/>
  <c r="AT365" i="65"/>
  <c r="BJ365" i="65"/>
  <c r="AR365" i="65"/>
  <c r="BR365" i="65"/>
  <c r="Q365" i="65" l="1"/>
  <c r="AF365" i="65"/>
  <c r="AE365" i="65"/>
  <c r="AD365" i="65"/>
  <c r="AC365" i="65"/>
  <c r="R366" i="65"/>
  <c r="S366" i="65"/>
  <c r="T366" i="65"/>
  <c r="U366" i="65"/>
  <c r="V366" i="65"/>
  <c r="W366" i="65"/>
  <c r="X366" i="65"/>
  <c r="Y366" i="65"/>
  <c r="AG366" i="65"/>
  <c r="AI366" i="65"/>
  <c r="BG366" i="65"/>
  <c r="AT366" i="65"/>
  <c r="AP366" i="65"/>
  <c r="AZ366" i="65"/>
  <c r="BH366" i="65"/>
  <c r="BN366" i="65"/>
  <c r="BS366" i="65"/>
  <c r="AO366" i="65"/>
  <c r="AY366" i="65"/>
  <c r="AQ366" i="65"/>
  <c r="BJ366" i="65"/>
  <c r="BM366" i="65"/>
  <c r="BC366" i="65"/>
  <c r="AU366" i="65"/>
  <c r="AV366" i="65"/>
  <c r="AR366" i="65"/>
  <c r="BL366" i="65"/>
  <c r="BZ366" i="65"/>
  <c r="BA366" i="65"/>
  <c r="BF366" i="65"/>
  <c r="BQ366" i="65"/>
  <c r="AN366" i="65"/>
  <c r="BR366" i="65"/>
  <c r="BY366" i="65"/>
  <c r="BB366" i="65"/>
  <c r="BP366" i="65"/>
  <c r="BU366" i="65"/>
  <c r="BO366" i="65"/>
  <c r="BE366" i="65"/>
  <c r="AW366" i="65"/>
  <c r="BD366" i="65"/>
  <c r="BT366" i="65"/>
  <c r="AX366" i="65"/>
  <c r="BV366" i="65"/>
  <c r="BI366" i="65"/>
  <c r="BK366" i="65"/>
  <c r="AS366" i="65"/>
  <c r="Q366" i="65" l="1"/>
  <c r="AF366" i="65"/>
  <c r="AE366" i="65"/>
  <c r="AD366" i="65"/>
  <c r="AC366" i="65"/>
  <c r="R367" i="65"/>
  <c r="S367" i="65"/>
  <c r="T367" i="65"/>
  <c r="U367" i="65"/>
  <c r="V367" i="65"/>
  <c r="W367" i="65"/>
  <c r="X367" i="65"/>
  <c r="Y367" i="65"/>
  <c r="AG367" i="65"/>
  <c r="AI367" i="65"/>
  <c r="AN367" i="65"/>
  <c r="BV367" i="65"/>
  <c r="AR367" i="65"/>
  <c r="BL367" i="65"/>
  <c r="BN367" i="65"/>
  <c r="AV367" i="65"/>
  <c r="BQ367" i="65"/>
  <c r="AP367" i="65"/>
  <c r="AX367" i="65"/>
  <c r="BJ367" i="65"/>
  <c r="AU367" i="65"/>
  <c r="BR367" i="65"/>
  <c r="BM367" i="65"/>
  <c r="AT367" i="65"/>
  <c r="AY367" i="65"/>
  <c r="BY367" i="65"/>
  <c r="AQ367" i="65"/>
  <c r="BH367" i="65"/>
  <c r="BD367" i="65"/>
  <c r="BP367" i="65"/>
  <c r="BO367" i="65"/>
  <c r="BC367" i="65"/>
  <c r="AZ367" i="65"/>
  <c r="BU367" i="65"/>
  <c r="BE367" i="65"/>
  <c r="AO367" i="65"/>
  <c r="BA367" i="65"/>
  <c r="BT367" i="65"/>
  <c r="BG367" i="65"/>
  <c r="BB367" i="65"/>
  <c r="BF367" i="65"/>
  <c r="BZ367" i="65"/>
  <c r="AS367" i="65"/>
  <c r="BS367" i="65"/>
  <c r="BK367" i="65"/>
  <c r="BI367" i="65"/>
  <c r="AW367" i="65"/>
  <c r="Q367" i="65" l="1"/>
  <c r="AF367" i="65"/>
  <c r="AE367" i="65"/>
  <c r="AD367" i="65"/>
  <c r="AC367" i="65"/>
  <c r="R368" i="65"/>
  <c r="S368" i="65"/>
  <c r="T368" i="65"/>
  <c r="U368" i="65"/>
  <c r="V368" i="65"/>
  <c r="W368" i="65"/>
  <c r="X368" i="65"/>
  <c r="Y368" i="65"/>
  <c r="AG368" i="65"/>
  <c r="AI368" i="65"/>
  <c r="AP368" i="65"/>
  <c r="BV368" i="65"/>
  <c r="BR368" i="65"/>
  <c r="AW368" i="65"/>
  <c r="AU368" i="65"/>
  <c r="AT368" i="65"/>
  <c r="BU368" i="65"/>
  <c r="AX368" i="65"/>
  <c r="BQ368" i="65"/>
  <c r="BG368" i="65"/>
  <c r="BS368" i="65"/>
  <c r="BA368" i="65"/>
  <c r="AS368" i="65"/>
  <c r="BC368" i="65"/>
  <c r="BF368" i="65"/>
  <c r="BM368" i="65"/>
  <c r="BP368" i="65"/>
  <c r="BO368" i="65"/>
  <c r="AQ368" i="65"/>
  <c r="BB368" i="65"/>
  <c r="AZ368" i="65"/>
  <c r="BZ368" i="65"/>
  <c r="AV368" i="65"/>
  <c r="BH368" i="65"/>
  <c r="BY368" i="65"/>
  <c r="BL368" i="65"/>
  <c r="BJ368" i="65"/>
  <c r="BK368" i="65"/>
  <c r="BN368" i="65"/>
  <c r="AO368" i="65"/>
  <c r="AY368" i="65"/>
  <c r="BD368" i="65"/>
  <c r="AR368" i="65"/>
  <c r="BE368" i="65"/>
  <c r="BI368" i="65"/>
  <c r="BT368" i="65"/>
  <c r="AN368" i="65"/>
  <c r="Q368" i="65" l="1"/>
  <c r="AF368" i="65"/>
  <c r="AE368" i="65"/>
  <c r="AD368" i="65"/>
  <c r="AC368" i="65"/>
  <c r="D369" i="65"/>
  <c r="R369" i="65"/>
  <c r="S369" i="65"/>
  <c r="T369" i="65"/>
  <c r="U369" i="65"/>
  <c r="V369" i="65"/>
  <c r="W369" i="65"/>
  <c r="X369" i="65"/>
  <c r="Y369" i="65"/>
  <c r="AG369" i="65"/>
  <c r="AI369" i="65"/>
  <c r="BY369" i="65"/>
  <c r="BE369" i="65"/>
  <c r="BL369" i="65"/>
  <c r="BD369" i="65"/>
  <c r="AZ369" i="65"/>
  <c r="AV369" i="65"/>
  <c r="BK369" i="65"/>
  <c r="AS369" i="65"/>
  <c r="AO369" i="65"/>
  <c r="BT369" i="65"/>
  <c r="BF369" i="65"/>
  <c r="BP369" i="65"/>
  <c r="AY369" i="65"/>
  <c r="BO369" i="65"/>
  <c r="AT369" i="65"/>
  <c r="BH369" i="65"/>
  <c r="BN369" i="65"/>
  <c r="BB369" i="65"/>
  <c r="BJ369" i="65"/>
  <c r="AW369" i="65"/>
  <c r="BI369" i="65"/>
  <c r="AN369" i="65"/>
  <c r="AU369" i="65"/>
  <c r="AR369" i="65"/>
  <c r="BG369" i="65"/>
  <c r="BA369" i="65"/>
  <c r="BZ369" i="65"/>
  <c r="BS369" i="65"/>
  <c r="BU369" i="65"/>
  <c r="BR369" i="65"/>
  <c r="AX369" i="65"/>
  <c r="BC369" i="65"/>
  <c r="AQ369" i="65"/>
  <c r="AP369" i="65"/>
  <c r="BM369" i="65"/>
  <c r="BQ369" i="65"/>
  <c r="BV369" i="65"/>
  <c r="Q369" i="65" l="1"/>
  <c r="AF369" i="65"/>
  <c r="AE369" i="65"/>
  <c r="AD369" i="65"/>
  <c r="AC369" i="65"/>
  <c r="D370" i="65"/>
  <c r="R370" i="65"/>
  <c r="S370" i="65"/>
  <c r="T370" i="65"/>
  <c r="U370" i="65"/>
  <c r="V370" i="65"/>
  <c r="W370" i="65"/>
  <c r="X370" i="65"/>
  <c r="Y370" i="65"/>
  <c r="AG370" i="65"/>
  <c r="AI370" i="65"/>
  <c r="BT370" i="65"/>
  <c r="BC370" i="65"/>
  <c r="AW370" i="65"/>
  <c r="BB370" i="65"/>
  <c r="BV370" i="65"/>
  <c r="BK370" i="65"/>
  <c r="BA370" i="65"/>
  <c r="BF370" i="65"/>
  <c r="AR370" i="65"/>
  <c r="BS370" i="65"/>
  <c r="BE370" i="65"/>
  <c r="BU370" i="65"/>
  <c r="AX370" i="65"/>
  <c r="BL370" i="65"/>
  <c r="BP370" i="65"/>
  <c r="AU370" i="65"/>
  <c r="BY370" i="65"/>
  <c r="BI370" i="65"/>
  <c r="BQ370" i="65"/>
  <c r="BD370" i="65"/>
  <c r="BM370" i="65"/>
  <c r="AY370" i="65"/>
  <c r="BR370" i="65"/>
  <c r="BO370" i="65"/>
  <c r="BH370" i="65"/>
  <c r="AZ370" i="65"/>
  <c r="BZ370" i="65"/>
  <c r="BJ370" i="65"/>
  <c r="BN370" i="65"/>
  <c r="BG370" i="65"/>
  <c r="AQ370" i="65"/>
  <c r="AV370" i="65"/>
  <c r="AP370" i="65"/>
  <c r="AO370" i="65"/>
  <c r="AS370" i="65"/>
  <c r="AN370" i="65"/>
  <c r="AT370" i="65"/>
  <c r="Q370" i="65" l="1"/>
  <c r="AF370" i="65"/>
  <c r="AE370" i="65"/>
  <c r="AD370" i="65"/>
  <c r="AC370" i="65"/>
  <c r="R371" i="65"/>
  <c r="S371" i="65"/>
  <c r="T371" i="65"/>
  <c r="U371" i="65"/>
  <c r="V371" i="65"/>
  <c r="W371" i="65"/>
  <c r="X371" i="65"/>
  <c r="Y371" i="65"/>
  <c r="AG371" i="65"/>
  <c r="AI371" i="65"/>
  <c r="AZ371" i="65"/>
  <c r="BL371" i="65"/>
  <c r="BY371" i="65"/>
  <c r="BE371" i="65"/>
  <c r="BZ371" i="65"/>
  <c r="BM371" i="65"/>
  <c r="AP371" i="65"/>
  <c r="BO371" i="65"/>
  <c r="BK371" i="65"/>
  <c r="BN371" i="65"/>
  <c r="AX371" i="65"/>
  <c r="AT371" i="65"/>
  <c r="BG371" i="65"/>
  <c r="AW371" i="65"/>
  <c r="BC371" i="65"/>
  <c r="BQ371" i="65"/>
  <c r="AN371" i="65"/>
  <c r="BD371" i="65"/>
  <c r="BA371" i="65"/>
  <c r="BR371" i="65"/>
  <c r="AO371" i="65"/>
  <c r="BH371" i="65"/>
  <c r="AR371" i="65"/>
  <c r="BU371" i="65"/>
  <c r="AU371" i="65"/>
  <c r="BJ371" i="65"/>
  <c r="AS371" i="65"/>
  <c r="BV371" i="65"/>
  <c r="BP371" i="65"/>
  <c r="BF371" i="65"/>
  <c r="AV371" i="65"/>
  <c r="BI371" i="65"/>
  <c r="BB371" i="65"/>
  <c r="BT371" i="65"/>
  <c r="AY371" i="65"/>
  <c r="AQ371" i="65"/>
  <c r="BS371" i="65"/>
  <c r="Q371" i="65" l="1"/>
  <c r="AF371" i="65"/>
  <c r="AE371" i="65"/>
  <c r="AD371" i="65"/>
  <c r="AC371" i="65"/>
  <c r="D372" i="65"/>
  <c r="R372" i="65"/>
  <c r="S372" i="65"/>
  <c r="T372" i="65"/>
  <c r="U372" i="65"/>
  <c r="V372" i="65"/>
  <c r="W372" i="65"/>
  <c r="X372" i="65"/>
  <c r="Y372" i="65"/>
  <c r="AG372" i="65"/>
  <c r="AI372" i="65"/>
  <c r="BR372" i="65"/>
  <c r="BS372" i="65"/>
  <c r="AR372" i="65"/>
  <c r="AS372" i="65"/>
  <c r="AN372" i="65"/>
  <c r="AQ372" i="65"/>
  <c r="BM372" i="65"/>
  <c r="BZ372" i="65"/>
  <c r="BP372" i="65"/>
  <c r="AW372" i="65"/>
  <c r="BL372" i="65"/>
  <c r="AZ372" i="65"/>
  <c r="BB372" i="65"/>
  <c r="AV372" i="65"/>
  <c r="BC372" i="65"/>
  <c r="BD372" i="65"/>
  <c r="BG372" i="65"/>
  <c r="BF372" i="65"/>
  <c r="BE372" i="65"/>
  <c r="AU372" i="65"/>
  <c r="AY372" i="65"/>
  <c r="AO372" i="65"/>
  <c r="BK372" i="65"/>
  <c r="BT372" i="65"/>
  <c r="BU372" i="65"/>
  <c r="BV372" i="65"/>
  <c r="BQ372" i="65"/>
  <c r="AX372" i="65"/>
  <c r="BA372" i="65"/>
  <c r="BI372" i="65"/>
  <c r="BY372" i="65"/>
  <c r="BH372" i="65"/>
  <c r="AT372" i="65"/>
  <c r="BO372" i="65"/>
  <c r="BN372" i="65"/>
  <c r="AP372" i="65"/>
  <c r="BJ372" i="65"/>
  <c r="Q372" i="65" l="1"/>
  <c r="AF372" i="65"/>
  <c r="AE372" i="65"/>
  <c r="AD372" i="65"/>
  <c r="AC372" i="65"/>
  <c r="D373" i="65"/>
  <c r="R373" i="65"/>
  <c r="S373" i="65"/>
  <c r="T373" i="65"/>
  <c r="U373" i="65"/>
  <c r="V373" i="65"/>
  <c r="W373" i="65"/>
  <c r="X373" i="65"/>
  <c r="Y373" i="65"/>
  <c r="AG373" i="65"/>
  <c r="AI373" i="65"/>
  <c r="BM373" i="65"/>
  <c r="BI373" i="65"/>
  <c r="AP373" i="65"/>
  <c r="BS373" i="65"/>
  <c r="AW373" i="65"/>
  <c r="BZ373" i="65"/>
  <c r="BN373" i="65"/>
  <c r="BK373" i="65"/>
  <c r="BE373" i="65"/>
  <c r="BB373" i="65"/>
  <c r="BL373" i="65"/>
  <c r="BD373" i="65"/>
  <c r="BV373" i="65"/>
  <c r="AX373" i="65"/>
  <c r="AQ373" i="65"/>
  <c r="BT373" i="65"/>
  <c r="BH373" i="65"/>
  <c r="BO373" i="65"/>
  <c r="AU373" i="65"/>
  <c r="AY373" i="65"/>
  <c r="AZ373" i="65"/>
  <c r="BJ373" i="65"/>
  <c r="BY373" i="65"/>
  <c r="BR373" i="65"/>
  <c r="AV373" i="65"/>
  <c r="BU373" i="65"/>
  <c r="AN373" i="65"/>
  <c r="BQ373" i="65"/>
  <c r="AT373" i="65"/>
  <c r="BP373" i="65"/>
  <c r="BA373" i="65"/>
  <c r="AS373" i="65"/>
  <c r="BC373" i="65"/>
  <c r="AR373" i="65"/>
  <c r="AO373" i="65"/>
  <c r="BG373" i="65"/>
  <c r="BF373" i="65"/>
  <c r="Q373" i="65" l="1"/>
  <c r="AF373" i="65"/>
  <c r="AE373" i="65"/>
  <c r="AD373" i="65"/>
  <c r="AC373" i="65"/>
  <c r="R374" i="65"/>
  <c r="S374" i="65"/>
  <c r="T374" i="65"/>
  <c r="U374" i="65"/>
  <c r="V374" i="65"/>
  <c r="W374" i="65"/>
  <c r="X374" i="65"/>
  <c r="Y374" i="65"/>
  <c r="AG374" i="65"/>
  <c r="AI374" i="65"/>
  <c r="BK374" i="65"/>
  <c r="AX374" i="65"/>
  <c r="AP374" i="65"/>
  <c r="BP374" i="65"/>
  <c r="AV374" i="65"/>
  <c r="BU374" i="65"/>
  <c r="BR374" i="65"/>
  <c r="BQ374" i="65"/>
  <c r="AY374" i="65"/>
  <c r="BM374" i="65"/>
  <c r="BC374" i="65"/>
  <c r="BL374" i="65"/>
  <c r="BJ374" i="65"/>
  <c r="BN374" i="65"/>
  <c r="AW374" i="65"/>
  <c r="AN374" i="65"/>
  <c r="BH374" i="65"/>
  <c r="BS374" i="65"/>
  <c r="AT374" i="65"/>
  <c r="BO374" i="65"/>
  <c r="AU374" i="65"/>
  <c r="BD374" i="65"/>
  <c r="BG374" i="65"/>
  <c r="BB374" i="65"/>
  <c r="BZ374" i="65"/>
  <c r="AR374" i="65"/>
  <c r="BE374" i="65"/>
  <c r="BI374" i="65"/>
  <c r="AQ374" i="65"/>
  <c r="BF374" i="65"/>
  <c r="BV374" i="65"/>
  <c r="AS374" i="65"/>
  <c r="AZ374" i="65"/>
  <c r="BA374" i="65"/>
  <c r="BY374" i="65"/>
  <c r="AO374" i="65"/>
  <c r="BT374" i="65"/>
  <c r="Q374" i="65" l="1"/>
  <c r="AF374" i="65"/>
  <c r="AE374" i="65"/>
  <c r="AD374" i="65"/>
  <c r="AC374" i="65"/>
  <c r="D375" i="65"/>
  <c r="R375" i="65"/>
  <c r="S375" i="65"/>
  <c r="T375" i="65"/>
  <c r="U375" i="65"/>
  <c r="V375" i="65"/>
  <c r="W375" i="65"/>
  <c r="X375" i="65"/>
  <c r="Y375" i="65"/>
  <c r="AG375" i="65"/>
  <c r="AI375" i="65"/>
  <c r="AY375" i="65"/>
  <c r="AS375" i="65"/>
  <c r="BP375" i="65"/>
  <c r="BL375" i="65"/>
  <c r="BA375" i="65"/>
  <c r="BZ375" i="65"/>
  <c r="BO375" i="65"/>
  <c r="BH375" i="65"/>
  <c r="BD375" i="65"/>
  <c r="AP375" i="65"/>
  <c r="BI375" i="65"/>
  <c r="AO375" i="65"/>
  <c r="BS375" i="65"/>
  <c r="AN375" i="65"/>
  <c r="AR375" i="65"/>
  <c r="BT375" i="65"/>
  <c r="BM375" i="65"/>
  <c r="AV375" i="65"/>
  <c r="BY375" i="65"/>
  <c r="AQ375" i="65"/>
  <c r="AZ375" i="65"/>
  <c r="AX375" i="65"/>
  <c r="AW375" i="65"/>
  <c r="BF375" i="65"/>
  <c r="BB375" i="65"/>
  <c r="BK375" i="65"/>
  <c r="BG375" i="65"/>
  <c r="BN375" i="65"/>
  <c r="BE375" i="65"/>
  <c r="BU375" i="65"/>
  <c r="BC375" i="65"/>
  <c r="BV375" i="65"/>
  <c r="BR375" i="65"/>
  <c r="BQ375" i="65"/>
  <c r="AT375" i="65"/>
  <c r="AU375" i="65"/>
  <c r="BJ375" i="65"/>
  <c r="Q375" i="65" l="1"/>
  <c r="AF375" i="65"/>
  <c r="AE375" i="65"/>
  <c r="AD375" i="65"/>
  <c r="AC375" i="65"/>
  <c r="D376" i="65"/>
  <c r="R376" i="65"/>
  <c r="S376" i="65"/>
  <c r="T376" i="65"/>
  <c r="U376" i="65"/>
  <c r="V376" i="65"/>
  <c r="W376" i="65"/>
  <c r="X376" i="65"/>
  <c r="Y376" i="65"/>
  <c r="AG376" i="65"/>
  <c r="AI376" i="65"/>
  <c r="BS376" i="65"/>
  <c r="AS376" i="65"/>
  <c r="AN376" i="65"/>
  <c r="BP376" i="65"/>
  <c r="BG376" i="65"/>
  <c r="BQ376" i="65"/>
  <c r="AZ376" i="65"/>
  <c r="BI376" i="65"/>
  <c r="BE376" i="65"/>
  <c r="BH376" i="65"/>
  <c r="BA376" i="65"/>
  <c r="AW376" i="65"/>
  <c r="AP376" i="65"/>
  <c r="BV376" i="65"/>
  <c r="BD376" i="65"/>
  <c r="BU376" i="65"/>
  <c r="BK376" i="65"/>
  <c r="BT376" i="65"/>
  <c r="BO376" i="65"/>
  <c r="BC376" i="65"/>
  <c r="BJ376" i="65"/>
  <c r="BN376" i="65"/>
  <c r="AY376" i="65"/>
  <c r="AR376" i="65"/>
  <c r="BL376" i="65"/>
  <c r="AT376" i="65"/>
  <c r="BR376" i="65"/>
  <c r="AO376" i="65"/>
  <c r="BF376" i="65"/>
  <c r="AX376" i="65"/>
  <c r="BB376" i="65"/>
  <c r="AQ376" i="65"/>
  <c r="BM376" i="65"/>
  <c r="BY376" i="65"/>
  <c r="AV376" i="65"/>
  <c r="BZ376" i="65"/>
  <c r="AU376" i="65"/>
  <c r="Q376" i="65" l="1"/>
  <c r="AF376" i="65"/>
  <c r="AE376" i="65"/>
  <c r="AD376" i="65"/>
  <c r="AC376" i="65"/>
  <c r="D378" i="65" l="1"/>
  <c r="D379" i="65" l="1"/>
  <c r="D381" i="65" l="1"/>
  <c r="D382" i="65"/>
  <c r="AN398" i="65"/>
  <c r="AO398" i="65"/>
  <c r="AP398" i="65"/>
  <c r="AQ398" i="65"/>
  <c r="AR398" i="65"/>
  <c r="AS398" i="65"/>
  <c r="AT398" i="65"/>
  <c r="AU398" i="65"/>
  <c r="AV398" i="65"/>
  <c r="AW398" i="65"/>
  <c r="AX398" i="65"/>
  <c r="AZ398" i="65"/>
  <c r="BA398" i="65"/>
  <c r="BB398" i="65"/>
  <c r="AC399" i="65"/>
  <c r="AI399" i="65"/>
  <c r="AR399" i="65"/>
  <c r="AZ399" i="65"/>
  <c r="BN399" i="65"/>
  <c r="BZ399" i="65"/>
  <c r="BB399" i="65"/>
  <c r="AP399" i="65"/>
  <c r="BO399" i="65"/>
  <c r="AN399" i="65"/>
  <c r="AW399" i="65"/>
  <c r="AV399" i="65"/>
  <c r="AT399" i="65"/>
  <c r="BJ399" i="65"/>
  <c r="BY399" i="65"/>
  <c r="BP399" i="65"/>
  <c r="AY399" i="65"/>
  <c r="BE399" i="65"/>
  <c r="BK399" i="65"/>
  <c r="BC399" i="65"/>
  <c r="BR399" i="65"/>
  <c r="AU399" i="65"/>
  <c r="BD399" i="65"/>
  <c r="BT399" i="65"/>
  <c r="BQ399" i="65"/>
  <c r="AX399" i="65"/>
  <c r="AS399" i="65"/>
  <c r="BH399" i="65"/>
  <c r="BG399" i="65"/>
  <c r="BS399" i="65"/>
  <c r="AO399" i="65"/>
  <c r="BI399" i="65"/>
  <c r="BA399" i="65"/>
  <c r="BV399" i="65"/>
  <c r="BU399" i="65"/>
  <c r="BF399" i="65"/>
  <c r="BL399" i="65"/>
  <c r="AQ399" i="65"/>
  <c r="AH399" i="65" l="1"/>
  <c r="AG399" i="65"/>
  <c r="AF399" i="65"/>
  <c r="AE399" i="65"/>
  <c r="AD399" i="65"/>
  <c r="AB399" i="65"/>
  <c r="R401" i="65"/>
  <c r="S401" i="65"/>
  <c r="T401" i="65"/>
  <c r="U401" i="65"/>
  <c r="V401" i="65"/>
  <c r="W401" i="65"/>
  <c r="X401" i="65"/>
  <c r="Y401" i="65"/>
  <c r="AG401" i="65"/>
  <c r="AI401" i="65"/>
  <c r="BN401" i="65"/>
  <c r="AZ401" i="65"/>
  <c r="BM401" i="65"/>
  <c r="AW401" i="65"/>
  <c r="AN401" i="65"/>
  <c r="BC401" i="65"/>
  <c r="BZ401" i="65"/>
  <c r="BF401" i="65"/>
  <c r="BH401" i="65"/>
  <c r="BQ401" i="65"/>
  <c r="BB401" i="65"/>
  <c r="AU401" i="65"/>
  <c r="BV401" i="65"/>
  <c r="BD401" i="65"/>
  <c r="AP401" i="65"/>
  <c r="BS401" i="65"/>
  <c r="BU401" i="65"/>
  <c r="AO401" i="65"/>
  <c r="BR401" i="65"/>
  <c r="BL401" i="65"/>
  <c r="BT401" i="65"/>
  <c r="BI401" i="65"/>
  <c r="AT401" i="65"/>
  <c r="BJ401" i="65"/>
  <c r="BK401" i="65"/>
  <c r="AX401" i="65"/>
  <c r="AS401" i="65"/>
  <c r="AR401" i="65"/>
  <c r="AV401" i="65"/>
  <c r="BY401" i="65"/>
  <c r="AY401" i="65"/>
  <c r="BO401" i="65"/>
  <c r="BE401" i="65"/>
  <c r="AQ401" i="65"/>
  <c r="BA401" i="65"/>
  <c r="BP401" i="65"/>
  <c r="BG401" i="65"/>
  <c r="AA399" i="65" l="1"/>
  <c r="Q401" i="65"/>
  <c r="AF401" i="65"/>
  <c r="AE401" i="65"/>
  <c r="AD401" i="65"/>
  <c r="AC401" i="65"/>
  <c r="R402" i="65"/>
  <c r="S402" i="65"/>
  <c r="T402" i="65"/>
  <c r="U402" i="65"/>
  <c r="V402" i="65"/>
  <c r="W402" i="65"/>
  <c r="X402" i="65"/>
  <c r="Y402" i="65"/>
  <c r="AG402" i="65"/>
  <c r="AI402" i="65"/>
  <c r="BB402" i="65"/>
  <c r="BT402" i="65"/>
  <c r="BM402" i="65"/>
  <c r="BP402" i="65"/>
  <c r="AQ402" i="65"/>
  <c r="BD402" i="65"/>
  <c r="AN402" i="65"/>
  <c r="AU402" i="65"/>
  <c r="BI402" i="65"/>
  <c r="AT402" i="65"/>
  <c r="BS402" i="65"/>
  <c r="AR402" i="65"/>
  <c r="BL402" i="65"/>
  <c r="BR402" i="65"/>
  <c r="BZ402" i="65"/>
  <c r="AP402" i="65"/>
  <c r="BU402" i="65"/>
  <c r="BQ402" i="65"/>
  <c r="AO402" i="65"/>
  <c r="AY402" i="65"/>
  <c r="BN402" i="65"/>
  <c r="AS402" i="65"/>
  <c r="BG402" i="65"/>
  <c r="BA402" i="65"/>
  <c r="BV402" i="65"/>
  <c r="BC402" i="65"/>
  <c r="BY402" i="65"/>
  <c r="BK402" i="65"/>
  <c r="AX402" i="65"/>
  <c r="AV402" i="65"/>
  <c r="BH402" i="65"/>
  <c r="BF402" i="65"/>
  <c r="BJ402" i="65"/>
  <c r="AW402" i="65"/>
  <c r="AZ402" i="65"/>
  <c r="BO402" i="65"/>
  <c r="BE402" i="65"/>
  <c r="Q402" i="65" l="1"/>
  <c r="AF402" i="65"/>
  <c r="AE402" i="65"/>
  <c r="AD402" i="65"/>
  <c r="AC402" i="65"/>
  <c r="R403" i="65"/>
  <c r="S403" i="65"/>
  <c r="T403" i="65"/>
  <c r="U403" i="65"/>
  <c r="V403" i="65"/>
  <c r="W403" i="65"/>
  <c r="X403" i="65"/>
  <c r="Y403" i="65"/>
  <c r="AG403" i="65"/>
  <c r="AI403" i="65"/>
  <c r="AU403" i="65"/>
  <c r="BY403" i="65"/>
  <c r="AP403" i="65"/>
  <c r="BF403" i="65"/>
  <c r="BL403" i="65"/>
  <c r="AV403" i="65"/>
  <c r="BC403" i="65"/>
  <c r="AT403" i="65"/>
  <c r="AR403" i="65"/>
  <c r="BZ403" i="65"/>
  <c r="BH403" i="65"/>
  <c r="BB403" i="65"/>
  <c r="AN403" i="65"/>
  <c r="BE403" i="65"/>
  <c r="BG403" i="65"/>
  <c r="BI403" i="65"/>
  <c r="BT403" i="65"/>
  <c r="BM403" i="65"/>
  <c r="BR403" i="65"/>
  <c r="BJ403" i="65"/>
  <c r="AS403" i="65"/>
  <c r="AZ403" i="65"/>
  <c r="AX403" i="65"/>
  <c r="BV403" i="65"/>
  <c r="AQ403" i="65"/>
  <c r="BS403" i="65"/>
  <c r="AW403" i="65"/>
  <c r="BA403" i="65"/>
  <c r="BD403" i="65"/>
  <c r="AO403" i="65"/>
  <c r="AY403" i="65"/>
  <c r="BK403" i="65"/>
  <c r="BO403" i="65"/>
  <c r="BP403" i="65"/>
  <c r="BU403" i="65"/>
  <c r="BN403" i="65"/>
  <c r="BQ403" i="65"/>
  <c r="Q403" i="65" l="1"/>
  <c r="AF403" i="65"/>
  <c r="AE403" i="65"/>
  <c r="AD403" i="65"/>
  <c r="AC403" i="65"/>
  <c r="R404" i="65"/>
  <c r="S404" i="65"/>
  <c r="T404" i="65"/>
  <c r="U404" i="65"/>
  <c r="V404" i="65"/>
  <c r="W404" i="65"/>
  <c r="X404" i="65"/>
  <c r="Y404" i="65"/>
  <c r="AG404" i="65"/>
  <c r="AI404" i="65"/>
  <c r="BG404" i="65"/>
  <c r="AV404" i="65"/>
  <c r="BR404" i="65"/>
  <c r="AN404" i="65"/>
  <c r="AR404" i="65"/>
  <c r="BM404" i="65"/>
  <c r="BC404" i="65"/>
  <c r="AW404" i="65"/>
  <c r="AZ404" i="65"/>
  <c r="AO404" i="65"/>
  <c r="BV404" i="65"/>
  <c r="BQ404" i="65"/>
  <c r="BE404" i="65"/>
  <c r="AX404" i="65"/>
  <c r="BN404" i="65"/>
  <c r="BJ404" i="65"/>
  <c r="BH404" i="65"/>
  <c r="BO404" i="65"/>
  <c r="AU404" i="65"/>
  <c r="AQ404" i="65"/>
  <c r="AS404" i="65"/>
  <c r="BL404" i="65"/>
  <c r="BP404" i="65"/>
  <c r="BZ404" i="65"/>
  <c r="BD404" i="65"/>
  <c r="AT404" i="65"/>
  <c r="BI404" i="65"/>
  <c r="BS404" i="65"/>
  <c r="BT404" i="65"/>
  <c r="BB404" i="65"/>
  <c r="BA404" i="65"/>
  <c r="AP404" i="65"/>
  <c r="BU404" i="65"/>
  <c r="BK404" i="65"/>
  <c r="BF404" i="65"/>
  <c r="AY404" i="65"/>
  <c r="BY404" i="65"/>
  <c r="Q404" i="65" l="1"/>
  <c r="AF404" i="65"/>
  <c r="AE404" i="65"/>
  <c r="AD404" i="65"/>
  <c r="AC404" i="65"/>
  <c r="R405" i="65"/>
  <c r="S405" i="65"/>
  <c r="T405" i="65"/>
  <c r="U405" i="65"/>
  <c r="V405" i="65"/>
  <c r="W405" i="65"/>
  <c r="X405" i="65"/>
  <c r="Y405" i="65"/>
  <c r="AG405" i="65"/>
  <c r="AI405" i="65"/>
  <c r="BM405" i="65"/>
  <c r="BP405" i="65"/>
  <c r="BC405" i="65"/>
  <c r="BF405" i="65"/>
  <c r="BG405" i="65"/>
  <c r="BE405" i="65"/>
  <c r="BJ405" i="65"/>
  <c r="BS405" i="65"/>
  <c r="BY405" i="65"/>
  <c r="AW405" i="65"/>
  <c r="BR405" i="65"/>
  <c r="BU405" i="65"/>
  <c r="BT405" i="65"/>
  <c r="AX405" i="65"/>
  <c r="BZ405" i="65"/>
  <c r="AN405" i="65"/>
  <c r="AZ405" i="65"/>
  <c r="BK405" i="65"/>
  <c r="BN405" i="65"/>
  <c r="BL405" i="65"/>
  <c r="BO405" i="65"/>
  <c r="BV405" i="65"/>
  <c r="AY405" i="65"/>
  <c r="BQ405" i="65"/>
  <c r="AT405" i="65"/>
  <c r="BD405" i="65"/>
  <c r="BH405" i="65"/>
  <c r="AU405" i="65"/>
  <c r="AR405" i="65"/>
  <c r="AO405" i="65"/>
  <c r="BA405" i="65"/>
  <c r="BI405" i="65"/>
  <c r="AQ405" i="65"/>
  <c r="AS405" i="65"/>
  <c r="AV405" i="65"/>
  <c r="BB405" i="65"/>
  <c r="AP405" i="65"/>
  <c r="Q405" i="65" l="1"/>
  <c r="AF405" i="65"/>
  <c r="AE405" i="65"/>
  <c r="AD405" i="65"/>
  <c r="AC405" i="65"/>
  <c r="R406" i="65"/>
  <c r="S406" i="65"/>
  <c r="T406" i="65"/>
  <c r="U406" i="65"/>
  <c r="V406" i="65"/>
  <c r="W406" i="65"/>
  <c r="X406" i="65"/>
  <c r="Y406" i="65"/>
  <c r="AG406" i="65"/>
  <c r="AI406" i="65"/>
  <c r="BM406" i="65"/>
  <c r="BB406" i="65"/>
  <c r="BR406" i="65"/>
  <c r="BL406" i="65"/>
  <c r="BK406" i="65"/>
  <c r="AU406" i="65"/>
  <c r="AQ406" i="65"/>
  <c r="BD406" i="65"/>
  <c r="BC406" i="65"/>
  <c r="BH406" i="65"/>
  <c r="AZ406" i="65"/>
  <c r="BF406" i="65"/>
  <c r="AY406" i="65"/>
  <c r="BZ406" i="65"/>
  <c r="AS406" i="65"/>
  <c r="AX406" i="65"/>
  <c r="BS406" i="65"/>
  <c r="BQ406" i="65"/>
  <c r="AN406" i="65"/>
  <c r="AR406" i="65"/>
  <c r="BI406" i="65"/>
  <c r="BP406" i="65"/>
  <c r="AT406" i="65"/>
  <c r="AP406" i="65"/>
  <c r="BG406" i="65"/>
  <c r="BU406" i="65"/>
  <c r="AW406" i="65"/>
  <c r="BN406" i="65"/>
  <c r="AV406" i="65"/>
  <c r="BO406" i="65"/>
  <c r="AO406" i="65"/>
  <c r="BA406" i="65"/>
  <c r="BT406" i="65"/>
  <c r="BY406" i="65"/>
  <c r="BJ406" i="65"/>
  <c r="BE406" i="65"/>
  <c r="BV406" i="65"/>
  <c r="Q406" i="65" l="1"/>
  <c r="AF406" i="65"/>
  <c r="AE406" i="65"/>
  <c r="AD406" i="65"/>
  <c r="AC406" i="65"/>
  <c r="R407" i="65"/>
  <c r="S407" i="65"/>
  <c r="T407" i="65"/>
  <c r="U407" i="65"/>
  <c r="V407" i="65"/>
  <c r="W407" i="65"/>
  <c r="X407" i="65"/>
  <c r="Y407" i="65"/>
  <c r="AG407" i="65"/>
  <c r="AI407" i="65"/>
  <c r="AV407" i="65"/>
  <c r="BM407" i="65"/>
  <c r="BI407" i="65"/>
  <c r="AO407" i="65"/>
  <c r="AU407" i="65"/>
  <c r="AP407" i="65"/>
  <c r="AS407" i="65"/>
  <c r="AY407" i="65"/>
  <c r="BT407" i="65"/>
  <c r="BE407" i="65"/>
  <c r="BR407" i="65"/>
  <c r="AT407" i="65"/>
  <c r="BG407" i="65"/>
  <c r="BP407" i="65"/>
  <c r="BD407" i="65"/>
  <c r="AN407" i="65"/>
  <c r="BH407" i="65"/>
  <c r="BL407" i="65"/>
  <c r="BN407" i="65"/>
  <c r="BA407" i="65"/>
  <c r="AQ407" i="65"/>
  <c r="BK407" i="65"/>
  <c r="BF407" i="65"/>
  <c r="BU407" i="65"/>
  <c r="BS407" i="65"/>
  <c r="BZ407" i="65"/>
  <c r="BO407" i="65"/>
  <c r="AR407" i="65"/>
  <c r="BY407" i="65"/>
  <c r="BV407" i="65"/>
  <c r="BJ407" i="65"/>
  <c r="AZ407" i="65"/>
  <c r="BC407" i="65"/>
  <c r="BB407" i="65"/>
  <c r="AX407" i="65"/>
  <c r="BQ407" i="65"/>
  <c r="AW407" i="65"/>
  <c r="Q407" i="65" l="1"/>
  <c r="AF407" i="65"/>
  <c r="AE407" i="65"/>
  <c r="AD407" i="65"/>
  <c r="AC407" i="65"/>
  <c r="R408" i="65"/>
  <c r="S408" i="65"/>
  <c r="T408" i="65"/>
  <c r="U408" i="65"/>
  <c r="V408" i="65"/>
  <c r="W408" i="65"/>
  <c r="X408" i="65"/>
  <c r="Y408" i="65"/>
  <c r="AG408" i="65"/>
  <c r="AI408" i="65"/>
  <c r="AZ408" i="65"/>
  <c r="AV408" i="65"/>
  <c r="BO408" i="65"/>
  <c r="AO408" i="65"/>
  <c r="BH408" i="65"/>
  <c r="BM408" i="65"/>
  <c r="BB408" i="65"/>
  <c r="BQ408" i="65"/>
  <c r="BJ408" i="65"/>
  <c r="AT408" i="65"/>
  <c r="BE408" i="65"/>
  <c r="BT408" i="65"/>
  <c r="BK408" i="65"/>
  <c r="BL408" i="65"/>
  <c r="BF408" i="65"/>
  <c r="BR408" i="65"/>
  <c r="BY408" i="65"/>
  <c r="BS408" i="65"/>
  <c r="AY408" i="65"/>
  <c r="BG408" i="65"/>
  <c r="BU408" i="65"/>
  <c r="AN408" i="65"/>
  <c r="BI408" i="65"/>
  <c r="AQ408" i="65"/>
  <c r="BA408" i="65"/>
  <c r="AU408" i="65"/>
  <c r="BD408" i="65"/>
  <c r="AX408" i="65"/>
  <c r="AP408" i="65"/>
  <c r="BP408" i="65"/>
  <c r="BC408" i="65"/>
  <c r="BN408" i="65"/>
  <c r="AS408" i="65"/>
  <c r="AR408" i="65"/>
  <c r="AW408" i="65"/>
  <c r="BZ408" i="65"/>
  <c r="BV408" i="65"/>
  <c r="Q408" i="65" l="1"/>
  <c r="AF408" i="65"/>
  <c r="AE408" i="65"/>
  <c r="AD408" i="65"/>
  <c r="AC408" i="65"/>
  <c r="R409" i="65"/>
  <c r="S409" i="65"/>
  <c r="T409" i="65"/>
  <c r="U409" i="65"/>
  <c r="V409" i="65"/>
  <c r="W409" i="65"/>
  <c r="X409" i="65"/>
  <c r="Y409" i="65"/>
  <c r="AG409" i="65"/>
  <c r="AI409" i="65"/>
  <c r="BC409" i="65"/>
  <c r="AP409" i="65"/>
  <c r="BY409" i="65"/>
  <c r="BQ409" i="65"/>
  <c r="AQ409" i="65"/>
  <c r="BJ409" i="65"/>
  <c r="BF409" i="65"/>
  <c r="BK409" i="65"/>
  <c r="BH409" i="65"/>
  <c r="BG409" i="65"/>
  <c r="AU409" i="65"/>
  <c r="BR409" i="65"/>
  <c r="BV409" i="65"/>
  <c r="AT409" i="65"/>
  <c r="AX409" i="65"/>
  <c r="BT409" i="65"/>
  <c r="BL409" i="65"/>
  <c r="AY409" i="65"/>
  <c r="AR409" i="65"/>
  <c r="BN409" i="65"/>
  <c r="BA409" i="65"/>
  <c r="AN409" i="65"/>
  <c r="BE409" i="65"/>
  <c r="BS409" i="65"/>
  <c r="BD409" i="65"/>
  <c r="AS409" i="65"/>
  <c r="AV409" i="65"/>
  <c r="BU409" i="65"/>
  <c r="BM409" i="65"/>
  <c r="BZ409" i="65"/>
  <c r="BO409" i="65"/>
  <c r="AW409" i="65"/>
  <c r="BB409" i="65"/>
  <c r="AO409" i="65"/>
  <c r="BI409" i="65"/>
  <c r="AZ409" i="65"/>
  <c r="BP409" i="65"/>
  <c r="Q409" i="65" l="1"/>
  <c r="AF409" i="65"/>
  <c r="AE409" i="65"/>
  <c r="AD409" i="65"/>
  <c r="AC409" i="65"/>
  <c r="R410" i="65"/>
  <c r="S410" i="65"/>
  <c r="T410" i="65"/>
  <c r="U410" i="65"/>
  <c r="V410" i="65"/>
  <c r="W410" i="65"/>
  <c r="X410" i="65"/>
  <c r="Y410" i="65"/>
  <c r="AG410" i="65"/>
  <c r="AI410" i="65"/>
  <c r="BU410" i="65"/>
  <c r="AN410" i="65"/>
  <c r="BG410" i="65"/>
  <c r="AX410" i="65"/>
  <c r="BQ410" i="65"/>
  <c r="BB410" i="65"/>
  <c r="BD410" i="65"/>
  <c r="BR410" i="65"/>
  <c r="BH410" i="65"/>
  <c r="BT410" i="65"/>
  <c r="AW410" i="65"/>
  <c r="AP410" i="65"/>
  <c r="BA410" i="65"/>
  <c r="AZ410" i="65"/>
  <c r="BK410" i="65"/>
  <c r="AQ410" i="65"/>
  <c r="AT410" i="65"/>
  <c r="BP410" i="65"/>
  <c r="BM410" i="65"/>
  <c r="AO410" i="65"/>
  <c r="BI410" i="65"/>
  <c r="BY410" i="65"/>
  <c r="BZ410" i="65"/>
  <c r="BE410" i="65"/>
  <c r="BN410" i="65"/>
  <c r="BJ410" i="65"/>
  <c r="AU410" i="65"/>
  <c r="AY410" i="65"/>
  <c r="BS410" i="65"/>
  <c r="AV410" i="65"/>
  <c r="BV410" i="65"/>
  <c r="BO410" i="65"/>
  <c r="AS410" i="65"/>
  <c r="BL410" i="65"/>
  <c r="AR410" i="65"/>
  <c r="BC410" i="65"/>
  <c r="BF410" i="65"/>
  <c r="Q410" i="65" l="1"/>
  <c r="AF410" i="65"/>
  <c r="AE410" i="65"/>
  <c r="AD410" i="65"/>
  <c r="AC410" i="65"/>
  <c r="R411" i="65"/>
  <c r="S411" i="65"/>
  <c r="T411" i="65"/>
  <c r="U411" i="65"/>
  <c r="V411" i="65"/>
  <c r="W411" i="65"/>
  <c r="X411" i="65"/>
  <c r="Y411" i="65"/>
  <c r="AG411" i="65"/>
  <c r="AI411" i="65"/>
  <c r="BJ411" i="65"/>
  <c r="AT411" i="65"/>
  <c r="BL411" i="65"/>
  <c r="AP411" i="65"/>
  <c r="AQ411" i="65"/>
  <c r="BQ411" i="65"/>
  <c r="BY411" i="65"/>
  <c r="AV411" i="65"/>
  <c r="BG411" i="65"/>
  <c r="AY411" i="65"/>
  <c r="AN411" i="65"/>
  <c r="AS411" i="65"/>
  <c r="BP411" i="65"/>
  <c r="BR411" i="65"/>
  <c r="BZ411" i="65"/>
  <c r="BF411" i="65"/>
  <c r="BV411" i="65"/>
  <c r="BN411" i="65"/>
  <c r="BA411" i="65"/>
  <c r="AZ411" i="65"/>
  <c r="BI411" i="65"/>
  <c r="AX411" i="65"/>
  <c r="BU411" i="65"/>
  <c r="BO411" i="65"/>
  <c r="BC411" i="65"/>
  <c r="BM411" i="65"/>
  <c r="BE411" i="65"/>
  <c r="BD411" i="65"/>
  <c r="BB411" i="65"/>
  <c r="AU411" i="65"/>
  <c r="AR411" i="65"/>
  <c r="BH411" i="65"/>
  <c r="AW411" i="65"/>
  <c r="BS411" i="65"/>
  <c r="AO411" i="65"/>
  <c r="BK411" i="65"/>
  <c r="BT411" i="65"/>
  <c r="Q411" i="65" l="1"/>
  <c r="AF411" i="65"/>
  <c r="AE411" i="65"/>
  <c r="AD411" i="65"/>
  <c r="AC411" i="65"/>
  <c r="R412" i="65"/>
  <c r="S412" i="65"/>
  <c r="T412" i="65"/>
  <c r="U412" i="65"/>
  <c r="V412" i="65"/>
  <c r="W412" i="65"/>
  <c r="X412" i="65"/>
  <c r="Y412" i="65"/>
  <c r="AG412" i="65"/>
  <c r="AI412" i="65"/>
  <c r="BE412" i="65"/>
  <c r="AY412" i="65"/>
  <c r="BR412" i="65"/>
  <c r="BT412" i="65"/>
  <c r="BD412" i="65"/>
  <c r="BS412" i="65"/>
  <c r="BI412" i="65"/>
  <c r="BH412" i="65"/>
  <c r="BM412" i="65"/>
  <c r="AZ412" i="65"/>
  <c r="BQ412" i="65"/>
  <c r="BF412" i="65"/>
  <c r="BB412" i="65"/>
  <c r="AS412" i="65"/>
  <c r="AQ412" i="65"/>
  <c r="BU412" i="65"/>
  <c r="BV412" i="65"/>
  <c r="AX412" i="65"/>
  <c r="AP412" i="65"/>
  <c r="BY412" i="65"/>
  <c r="BO412" i="65"/>
  <c r="AR412" i="65"/>
  <c r="BG412" i="65"/>
  <c r="BP412" i="65"/>
  <c r="BJ412" i="65"/>
  <c r="AN412" i="65"/>
  <c r="BN412" i="65"/>
  <c r="BZ412" i="65"/>
  <c r="AW412" i="65"/>
  <c r="AU412" i="65"/>
  <c r="BA412" i="65"/>
  <c r="AO412" i="65"/>
  <c r="BL412" i="65"/>
  <c r="BC412" i="65"/>
  <c r="AT412" i="65"/>
  <c r="BK412" i="65"/>
  <c r="AV412" i="65"/>
  <c r="Q412" i="65" l="1"/>
  <c r="AF412" i="65"/>
  <c r="AE412" i="65"/>
  <c r="AD412" i="65"/>
  <c r="AC412" i="65"/>
  <c r="D413" i="65"/>
  <c r="R413" i="65"/>
  <c r="S413" i="65"/>
  <c r="T413" i="65"/>
  <c r="U413" i="65"/>
  <c r="V413" i="65"/>
  <c r="W413" i="65"/>
  <c r="X413" i="65"/>
  <c r="Y413" i="65"/>
  <c r="AG413" i="65"/>
  <c r="AI413" i="65"/>
  <c r="BV413" i="65"/>
  <c r="BP413" i="65"/>
  <c r="BA413" i="65"/>
  <c r="AP413" i="65"/>
  <c r="BD413" i="65"/>
  <c r="BU413" i="65"/>
  <c r="BJ413" i="65"/>
  <c r="BS413" i="65"/>
  <c r="BT413" i="65"/>
  <c r="AN413" i="65"/>
  <c r="AW413" i="65"/>
  <c r="BE413" i="65"/>
  <c r="AZ413" i="65"/>
  <c r="AS413" i="65"/>
  <c r="BG413" i="65"/>
  <c r="BR413" i="65"/>
  <c r="BB413" i="65"/>
  <c r="AV413" i="65"/>
  <c r="AX413" i="65"/>
  <c r="BY413" i="65"/>
  <c r="BH413" i="65"/>
  <c r="BL413" i="65"/>
  <c r="AU413" i="65"/>
  <c r="AO413" i="65"/>
  <c r="AR413" i="65"/>
  <c r="BK413" i="65"/>
  <c r="BZ413" i="65"/>
  <c r="BC413" i="65"/>
  <c r="AY413" i="65"/>
  <c r="AT413" i="65"/>
  <c r="AQ413" i="65"/>
  <c r="BQ413" i="65"/>
  <c r="BN413" i="65"/>
  <c r="BF413" i="65"/>
  <c r="BI413" i="65"/>
  <c r="BM413" i="65"/>
  <c r="BO413" i="65"/>
  <c r="Q413" i="65" l="1"/>
  <c r="AF413" i="65"/>
  <c r="AE413" i="65"/>
  <c r="AD413" i="65"/>
  <c r="AC413" i="65"/>
  <c r="D414" i="65"/>
  <c r="R414" i="65"/>
  <c r="S414" i="65"/>
  <c r="T414" i="65"/>
  <c r="U414" i="65"/>
  <c r="V414" i="65"/>
  <c r="W414" i="65"/>
  <c r="X414" i="65"/>
  <c r="Y414" i="65"/>
  <c r="AG414" i="65"/>
  <c r="AI414" i="65"/>
  <c r="AN414" i="65"/>
  <c r="BC414" i="65"/>
  <c r="AO414" i="65"/>
  <c r="AW414" i="65"/>
  <c r="AX414" i="65"/>
  <c r="BL414" i="65"/>
  <c r="AU414" i="65"/>
  <c r="BR414" i="65"/>
  <c r="AQ414" i="65"/>
  <c r="AP414" i="65"/>
  <c r="BG414" i="65"/>
  <c r="BP414" i="65"/>
  <c r="BO414" i="65"/>
  <c r="BN414" i="65"/>
  <c r="BM414" i="65"/>
  <c r="BH414" i="65"/>
  <c r="BE414" i="65"/>
  <c r="BA414" i="65"/>
  <c r="AT414" i="65"/>
  <c r="BD414" i="65"/>
  <c r="AZ414" i="65"/>
  <c r="BI414" i="65"/>
  <c r="BF414" i="65"/>
  <c r="BS414" i="65"/>
  <c r="BY414" i="65"/>
  <c r="BB414" i="65"/>
  <c r="AR414" i="65"/>
  <c r="BT414" i="65"/>
  <c r="BZ414" i="65"/>
  <c r="AS414" i="65"/>
  <c r="BJ414" i="65"/>
  <c r="BV414" i="65"/>
  <c r="AV414" i="65"/>
  <c r="BK414" i="65"/>
  <c r="AY414" i="65"/>
  <c r="BQ414" i="65"/>
  <c r="BU414" i="65"/>
  <c r="Q414" i="65" l="1"/>
  <c r="AF414" i="65"/>
  <c r="AE414" i="65"/>
  <c r="AD414" i="65"/>
  <c r="AC414" i="65"/>
  <c r="R415" i="65"/>
  <c r="S415" i="65"/>
  <c r="T415" i="65"/>
  <c r="U415" i="65"/>
  <c r="V415" i="65"/>
  <c r="W415" i="65"/>
  <c r="X415" i="65"/>
  <c r="Y415" i="65"/>
  <c r="AG415" i="65"/>
  <c r="AI415" i="65"/>
  <c r="BS415" i="65"/>
  <c r="BQ415" i="65"/>
  <c r="BO415" i="65"/>
  <c r="AY415" i="65"/>
  <c r="BV415" i="65"/>
  <c r="AP415" i="65"/>
  <c r="AR415" i="65"/>
  <c r="BP415" i="65"/>
  <c r="BY415" i="65"/>
  <c r="BF415" i="65"/>
  <c r="BI415" i="65"/>
  <c r="BJ415" i="65"/>
  <c r="BD415" i="65"/>
  <c r="BK415" i="65"/>
  <c r="BT415" i="65"/>
  <c r="AW415" i="65"/>
  <c r="AZ415" i="65"/>
  <c r="BR415" i="65"/>
  <c r="AU415" i="65"/>
  <c r="AQ415" i="65"/>
  <c r="BH415" i="65"/>
  <c r="BU415" i="65"/>
  <c r="BL415" i="65"/>
  <c r="BE415" i="65"/>
  <c r="AX415" i="65"/>
  <c r="BB415" i="65"/>
  <c r="BG415" i="65"/>
  <c r="AT415" i="65"/>
  <c r="BZ415" i="65"/>
  <c r="AV415" i="65"/>
  <c r="BA415" i="65"/>
  <c r="AO415" i="65"/>
  <c r="AN415" i="65"/>
  <c r="AS415" i="65"/>
  <c r="BM415" i="65"/>
  <c r="BC415" i="65"/>
  <c r="BN415" i="65"/>
  <c r="Q415" i="65" l="1"/>
  <c r="AF415" i="65"/>
  <c r="AE415" i="65"/>
  <c r="AD415" i="65"/>
  <c r="AC415" i="65"/>
  <c r="D416" i="65"/>
  <c r="R416" i="65"/>
  <c r="S416" i="65"/>
  <c r="T416" i="65"/>
  <c r="U416" i="65"/>
  <c r="V416" i="65"/>
  <c r="W416" i="65"/>
  <c r="X416" i="65"/>
  <c r="Y416" i="65"/>
  <c r="AG416" i="65"/>
  <c r="AI416" i="65"/>
  <c r="BC416" i="65"/>
  <c r="BZ416" i="65"/>
  <c r="AW416" i="65"/>
  <c r="AP416" i="65"/>
  <c r="BY416" i="65"/>
  <c r="BJ416" i="65"/>
  <c r="AX416" i="65"/>
  <c r="AY416" i="65"/>
  <c r="AN416" i="65"/>
  <c r="AS416" i="65"/>
  <c r="BG416" i="65"/>
  <c r="BL416" i="65"/>
  <c r="BH416" i="65"/>
  <c r="AU416" i="65"/>
  <c r="BR416" i="65"/>
  <c r="BE416" i="65"/>
  <c r="BI416" i="65"/>
  <c r="BT416" i="65"/>
  <c r="AT416" i="65"/>
  <c r="AO416" i="65"/>
  <c r="BV416" i="65"/>
  <c r="BF416" i="65"/>
  <c r="BA416" i="65"/>
  <c r="BU416" i="65"/>
  <c r="BD416" i="65"/>
  <c r="AQ416" i="65"/>
  <c r="BS416" i="65"/>
  <c r="AR416" i="65"/>
  <c r="AV416" i="65"/>
  <c r="AZ416" i="65"/>
  <c r="BQ416" i="65"/>
  <c r="BB416" i="65"/>
  <c r="BP416" i="65"/>
  <c r="BK416" i="65"/>
  <c r="BM416" i="65"/>
  <c r="BN416" i="65"/>
  <c r="BO416" i="65"/>
  <c r="Q416" i="65" l="1"/>
  <c r="AF416" i="65"/>
  <c r="AE416" i="65"/>
  <c r="AD416" i="65"/>
  <c r="AC416" i="65"/>
  <c r="D417" i="65"/>
  <c r="R417" i="65"/>
  <c r="S417" i="65"/>
  <c r="T417" i="65"/>
  <c r="U417" i="65"/>
  <c r="V417" i="65"/>
  <c r="W417" i="65"/>
  <c r="X417" i="65"/>
  <c r="Y417" i="65"/>
  <c r="AG417" i="65"/>
  <c r="AI417" i="65"/>
  <c r="BD417" i="65"/>
  <c r="BK417" i="65"/>
  <c r="AV417" i="65"/>
  <c r="AX417" i="65"/>
  <c r="BZ417" i="65"/>
  <c r="BE417" i="65"/>
  <c r="AN417" i="65"/>
  <c r="AY417" i="65"/>
  <c r="AR417" i="65"/>
  <c r="BO417" i="65"/>
  <c r="AS417" i="65"/>
  <c r="BC417" i="65"/>
  <c r="BN417" i="65"/>
  <c r="BA417" i="65"/>
  <c r="BH417" i="65"/>
  <c r="BG417" i="65"/>
  <c r="BP417" i="65"/>
  <c r="BL417" i="65"/>
  <c r="BY417" i="65"/>
  <c r="AZ417" i="65"/>
  <c r="BJ417" i="65"/>
  <c r="BT417" i="65"/>
  <c r="AQ417" i="65"/>
  <c r="AU417" i="65"/>
  <c r="AT417" i="65"/>
  <c r="AP417" i="65"/>
  <c r="BQ417" i="65"/>
  <c r="BU417" i="65"/>
  <c r="BS417" i="65"/>
  <c r="AW417" i="65"/>
  <c r="BI417" i="65"/>
  <c r="AO417" i="65"/>
  <c r="BB417" i="65"/>
  <c r="BR417" i="65"/>
  <c r="BM417" i="65"/>
  <c r="BV417" i="65"/>
  <c r="BF417" i="65"/>
  <c r="Q417" i="65" l="1"/>
  <c r="AF417" i="65"/>
  <c r="AE417" i="65"/>
  <c r="AD417" i="65"/>
  <c r="AC417" i="65"/>
  <c r="R418" i="65"/>
  <c r="S418" i="65"/>
  <c r="T418" i="65"/>
  <c r="U418" i="65"/>
  <c r="V418" i="65"/>
  <c r="W418" i="65"/>
  <c r="X418" i="65"/>
  <c r="Y418" i="65"/>
  <c r="AG418" i="65"/>
  <c r="AI418" i="65"/>
  <c r="BV418" i="65"/>
  <c r="BR418" i="65"/>
  <c r="BB418" i="65"/>
  <c r="AQ418" i="65"/>
  <c r="AS418" i="65"/>
  <c r="BP418" i="65"/>
  <c r="AZ418" i="65"/>
  <c r="AR418" i="65"/>
  <c r="BS418" i="65"/>
  <c r="BI418" i="65"/>
  <c r="BG418" i="65"/>
  <c r="AV418" i="65"/>
  <c r="BL418" i="65"/>
  <c r="BO418" i="65"/>
  <c r="BY418" i="65"/>
  <c r="BN418" i="65"/>
  <c r="AT418" i="65"/>
  <c r="BT418" i="65"/>
  <c r="AX418" i="65"/>
  <c r="AP418" i="65"/>
  <c r="AW418" i="65"/>
  <c r="BF418" i="65"/>
  <c r="BQ418" i="65"/>
  <c r="BH418" i="65"/>
  <c r="BM418" i="65"/>
  <c r="BZ418" i="65"/>
  <c r="BK418" i="65"/>
  <c r="BJ418" i="65"/>
  <c r="AY418" i="65"/>
  <c r="BE418" i="65"/>
  <c r="AU418" i="65"/>
  <c r="BD418" i="65"/>
  <c r="BU418" i="65"/>
  <c r="AO418" i="65"/>
  <c r="AN418" i="65"/>
  <c r="BA418" i="65"/>
  <c r="BC418" i="65"/>
  <c r="Q418" i="65" l="1"/>
  <c r="AF418" i="65"/>
  <c r="AE418" i="65"/>
  <c r="AD418" i="65"/>
  <c r="AC418" i="65"/>
  <c r="D419" i="65"/>
  <c r="R419" i="65"/>
  <c r="S419" i="65"/>
  <c r="T419" i="65"/>
  <c r="U419" i="65"/>
  <c r="V419" i="65"/>
  <c r="W419" i="65"/>
  <c r="X419" i="65"/>
  <c r="Y419" i="65"/>
  <c r="AG419" i="65"/>
  <c r="AI419" i="65"/>
  <c r="AQ419" i="65"/>
  <c r="AY419" i="65"/>
  <c r="BZ419" i="65"/>
  <c r="AW419" i="65"/>
  <c r="AN419" i="65"/>
  <c r="BJ419" i="65"/>
  <c r="BQ419" i="65"/>
  <c r="AO419" i="65"/>
  <c r="BA419" i="65"/>
  <c r="AS419" i="65"/>
  <c r="BM419" i="65"/>
  <c r="BC419" i="65"/>
  <c r="BF419" i="65"/>
  <c r="AV419" i="65"/>
  <c r="BK419" i="65"/>
  <c r="BY419" i="65"/>
  <c r="AZ419" i="65"/>
  <c r="BT419" i="65"/>
  <c r="AR419" i="65"/>
  <c r="BB419" i="65"/>
  <c r="AU419" i="65"/>
  <c r="AX419" i="65"/>
  <c r="BP419" i="65"/>
  <c r="BH419" i="65"/>
  <c r="AT419" i="65"/>
  <c r="BI419" i="65"/>
  <c r="BO419" i="65"/>
  <c r="BG419" i="65"/>
  <c r="BV419" i="65"/>
  <c r="BN419" i="65"/>
  <c r="BD419" i="65"/>
  <c r="BR419" i="65"/>
  <c r="BE419" i="65"/>
  <c r="BS419" i="65"/>
  <c r="BU419" i="65"/>
  <c r="BL419" i="65"/>
  <c r="AP419" i="65"/>
  <c r="Q419" i="65" l="1"/>
  <c r="AF419" i="65"/>
  <c r="AE419" i="65"/>
  <c r="AD419" i="65"/>
  <c r="AC419" i="65"/>
  <c r="D420" i="65"/>
  <c r="R420" i="65"/>
  <c r="S420" i="65"/>
  <c r="T420" i="65"/>
  <c r="U420" i="65"/>
  <c r="V420" i="65"/>
  <c r="W420" i="65"/>
  <c r="X420" i="65"/>
  <c r="Y420" i="65"/>
  <c r="AG420" i="65"/>
  <c r="AI420" i="65"/>
  <c r="AO420" i="65"/>
  <c r="AU420" i="65"/>
  <c r="AT420" i="65"/>
  <c r="BS420" i="65"/>
  <c r="AX420" i="65"/>
  <c r="AV420" i="65"/>
  <c r="AZ420" i="65"/>
  <c r="BK420" i="65"/>
  <c r="BY420" i="65"/>
  <c r="BZ420" i="65"/>
  <c r="BD420" i="65"/>
  <c r="BA420" i="65"/>
  <c r="BF420" i="65"/>
  <c r="BM420" i="65"/>
  <c r="AR420" i="65"/>
  <c r="BG420" i="65"/>
  <c r="AN420" i="65"/>
  <c r="AQ420" i="65"/>
  <c r="AP420" i="65"/>
  <c r="BJ420" i="65"/>
  <c r="BQ420" i="65"/>
  <c r="BO420" i="65"/>
  <c r="AS420" i="65"/>
  <c r="BI420" i="65"/>
  <c r="BP420" i="65"/>
  <c r="BT420" i="65"/>
  <c r="BR420" i="65"/>
  <c r="BC420" i="65"/>
  <c r="AY420" i="65"/>
  <c r="BB420" i="65"/>
  <c r="BE420" i="65"/>
  <c r="AW420" i="65"/>
  <c r="BV420" i="65"/>
  <c r="BL420" i="65"/>
  <c r="BH420" i="65"/>
  <c r="BN420" i="65"/>
  <c r="BU420" i="65"/>
  <c r="Q420" i="65" l="1"/>
  <c r="AF420" i="65"/>
  <c r="AE420" i="65"/>
  <c r="AD420" i="65"/>
  <c r="AC420" i="65"/>
  <c r="D422" i="65" l="1"/>
  <c r="D423" i="65" l="1"/>
  <c r="D425" i="65" l="1"/>
  <c r="D426" i="65"/>
  <c r="AN139" i="65"/>
  <c r="AO139" i="65"/>
  <c r="AP139" i="65"/>
  <c r="AQ139" i="65"/>
  <c r="AR139" i="65"/>
  <c r="AS139" i="65"/>
  <c r="AT139" i="65"/>
  <c r="AU139" i="65"/>
  <c r="AV139" i="65"/>
  <c r="AW139" i="65"/>
  <c r="AX139" i="65"/>
  <c r="AZ139" i="65"/>
  <c r="BA139" i="65"/>
  <c r="BB139" i="65"/>
  <c r="AI140" i="65"/>
  <c r="BT140" i="65"/>
  <c r="AV140" i="65"/>
  <c r="BF140" i="65"/>
  <c r="BB140" i="65"/>
  <c r="BE140" i="65"/>
  <c r="AZ140" i="65"/>
  <c r="AP140" i="65"/>
  <c r="AO140" i="65"/>
  <c r="BL140" i="65"/>
  <c r="BV140" i="65"/>
  <c r="AW140" i="65"/>
  <c r="BQ140" i="65"/>
  <c r="BJ140" i="65"/>
  <c r="BH140" i="65"/>
  <c r="BN140" i="65"/>
  <c r="BY140" i="65"/>
  <c r="BC140" i="65"/>
  <c r="AQ140" i="65"/>
  <c r="BU140" i="65"/>
  <c r="AT140" i="65"/>
  <c r="BG140" i="65"/>
  <c r="AN140" i="65"/>
  <c r="BS140" i="65"/>
  <c r="BA140" i="65"/>
  <c r="AY140" i="65"/>
  <c r="BI140" i="65"/>
  <c r="BO140" i="65"/>
  <c r="BR140" i="65"/>
  <c r="AU140" i="65"/>
  <c r="BP140" i="65"/>
  <c r="BK140" i="65"/>
  <c r="AR140" i="65"/>
  <c r="AS140" i="65"/>
  <c r="BD140" i="65"/>
  <c r="AX140" i="65"/>
  <c r="BZ140" i="65"/>
  <c r="AB140" i="65" l="1"/>
  <c r="AH140" i="65"/>
  <c r="AG140" i="65"/>
  <c r="AF140" i="65"/>
  <c r="AE140" i="65"/>
  <c r="AD140" i="65"/>
  <c r="R142" i="65"/>
  <c r="S142" i="65"/>
  <c r="T142" i="65"/>
  <c r="U142" i="65"/>
  <c r="V142" i="65"/>
  <c r="W142" i="65"/>
  <c r="X142" i="65"/>
  <c r="Y142" i="65"/>
  <c r="AI142" i="65"/>
  <c r="BY142" i="65"/>
  <c r="AX142" i="65"/>
  <c r="BJ142" i="65"/>
  <c r="BL142" i="65"/>
  <c r="BE142" i="65"/>
  <c r="AR142" i="65"/>
  <c r="BQ142" i="65"/>
  <c r="AV142" i="65"/>
  <c r="BR142" i="65"/>
  <c r="BT142" i="65"/>
  <c r="AY142" i="65"/>
  <c r="AZ142" i="65"/>
  <c r="BP142" i="65"/>
  <c r="BI142" i="65"/>
  <c r="BG142" i="65"/>
  <c r="AP142" i="65"/>
  <c r="AU142" i="65"/>
  <c r="BB142" i="65"/>
  <c r="AW142" i="65"/>
  <c r="BF142" i="65"/>
  <c r="BS142" i="65"/>
  <c r="AN142" i="65"/>
  <c r="AO142" i="65"/>
  <c r="BD142" i="65"/>
  <c r="BA142" i="65"/>
  <c r="BZ142" i="65"/>
  <c r="BN142" i="65"/>
  <c r="AT142" i="65"/>
  <c r="BO142" i="65"/>
  <c r="BU142" i="65"/>
  <c r="AS142" i="65"/>
  <c r="BH142" i="65"/>
  <c r="BM142" i="65"/>
  <c r="AQ142" i="65"/>
  <c r="BK142" i="65"/>
  <c r="BV142" i="65"/>
  <c r="BC142" i="65"/>
  <c r="AD142" i="65" l="1"/>
  <c r="AF142" i="65"/>
  <c r="AC142" i="65"/>
  <c r="AE142" i="65"/>
  <c r="Q142" i="65"/>
  <c r="AA140" i="65"/>
  <c r="R143" i="65"/>
  <c r="S143" i="65"/>
  <c r="T143" i="65"/>
  <c r="U143" i="65"/>
  <c r="V143" i="65"/>
  <c r="W143" i="65"/>
  <c r="X143" i="65"/>
  <c r="Y143" i="65"/>
  <c r="AI143" i="65"/>
  <c r="AO143" i="65"/>
  <c r="BJ143" i="65"/>
  <c r="AZ143" i="65"/>
  <c r="BV143" i="65"/>
  <c r="AV143" i="65"/>
  <c r="BS143" i="65"/>
  <c r="BC143" i="65"/>
  <c r="BY143" i="65"/>
  <c r="BH143" i="65"/>
  <c r="BT143" i="65"/>
  <c r="BR143" i="65"/>
  <c r="BM143" i="65"/>
  <c r="AP143" i="65"/>
  <c r="AQ143" i="65"/>
  <c r="BO143" i="65"/>
  <c r="BN143" i="65"/>
  <c r="AW143" i="65"/>
  <c r="BF143" i="65"/>
  <c r="AN143" i="65"/>
  <c r="AX143" i="65"/>
  <c r="AY143" i="65"/>
  <c r="BI143" i="65"/>
  <c r="BL143" i="65"/>
  <c r="BP143" i="65"/>
  <c r="BG143" i="65"/>
  <c r="AT143" i="65"/>
  <c r="BZ143" i="65"/>
  <c r="BB143" i="65"/>
  <c r="AS143" i="65"/>
  <c r="BA143" i="65"/>
  <c r="BD143" i="65"/>
  <c r="AR143" i="65"/>
  <c r="BE143" i="65"/>
  <c r="BU143" i="65"/>
  <c r="BQ143" i="65"/>
  <c r="BK143" i="65"/>
  <c r="AU143" i="65"/>
  <c r="AD143" i="65" l="1"/>
  <c r="AE143" i="65"/>
  <c r="AF143" i="65"/>
  <c r="AC143" i="65"/>
  <c r="Q143" i="65"/>
  <c r="R144" i="65"/>
  <c r="S144" i="65"/>
  <c r="T144" i="65"/>
  <c r="U144" i="65"/>
  <c r="V144" i="65"/>
  <c r="W144" i="65"/>
  <c r="X144" i="65"/>
  <c r="Y144" i="65"/>
  <c r="AI144" i="65"/>
  <c r="AX144" i="65"/>
  <c r="BG144" i="65"/>
  <c r="BL144" i="65"/>
  <c r="AT144" i="65"/>
  <c r="AN144" i="65"/>
  <c r="BD144" i="65"/>
  <c r="BN144" i="65"/>
  <c r="AQ144" i="65"/>
  <c r="BQ144" i="65"/>
  <c r="AS144" i="65"/>
  <c r="BZ144" i="65"/>
  <c r="BT144" i="65"/>
  <c r="BP144" i="65"/>
  <c r="BR144" i="65"/>
  <c r="AU144" i="65"/>
  <c r="BI144" i="65"/>
  <c r="BU144" i="65"/>
  <c r="AY144" i="65"/>
  <c r="AR144" i="65"/>
  <c r="BM144" i="65"/>
  <c r="BE144" i="65"/>
  <c r="AV144" i="65"/>
  <c r="BB144" i="65"/>
  <c r="BA144" i="65"/>
  <c r="AP144" i="65"/>
  <c r="AW144" i="65"/>
  <c r="AZ144" i="65"/>
  <c r="BO144" i="65"/>
  <c r="BF144" i="65"/>
  <c r="AO144" i="65"/>
  <c r="BS144" i="65"/>
  <c r="BK144" i="65"/>
  <c r="BJ144" i="65"/>
  <c r="BH144" i="65"/>
  <c r="BC144" i="65"/>
  <c r="BV144" i="65"/>
  <c r="BY144" i="65"/>
  <c r="AF144" i="65" l="1"/>
  <c r="AD144" i="65"/>
  <c r="AC144" i="65"/>
  <c r="AE144" i="65"/>
  <c r="Q144" i="65"/>
  <c r="R145" i="65"/>
  <c r="S145" i="65"/>
  <c r="T145" i="65"/>
  <c r="U145" i="65"/>
  <c r="V145" i="65"/>
  <c r="W145" i="65"/>
  <c r="X145" i="65"/>
  <c r="Y145" i="65"/>
  <c r="AI145" i="65"/>
  <c r="BS145" i="65"/>
  <c r="BA145" i="65"/>
  <c r="AS145" i="65"/>
  <c r="BR145" i="65"/>
  <c r="BL145" i="65"/>
  <c r="AR145" i="65"/>
  <c r="AX145" i="65"/>
  <c r="BC145" i="65"/>
  <c r="BD145" i="65"/>
  <c r="AT145" i="65"/>
  <c r="BF145" i="65"/>
  <c r="AU145" i="65"/>
  <c r="BN145" i="65"/>
  <c r="AV145" i="65"/>
  <c r="BQ145" i="65"/>
  <c r="BM145" i="65"/>
  <c r="AO145" i="65"/>
  <c r="BI145" i="65"/>
  <c r="BH145" i="65"/>
  <c r="AY145" i="65"/>
  <c r="BV145" i="65"/>
  <c r="BB145" i="65"/>
  <c r="AP145" i="65"/>
  <c r="BG145" i="65"/>
  <c r="BK145" i="65"/>
  <c r="AW145" i="65"/>
  <c r="BO145" i="65"/>
  <c r="AZ145" i="65"/>
  <c r="BU145" i="65"/>
  <c r="BJ145" i="65"/>
  <c r="BZ145" i="65"/>
  <c r="BP145" i="65"/>
  <c r="BY145" i="65"/>
  <c r="AQ145" i="65"/>
  <c r="BT145" i="65"/>
  <c r="AN145" i="65"/>
  <c r="BE145" i="65"/>
  <c r="AE145" i="65" l="1"/>
  <c r="AC145" i="65"/>
  <c r="AD145" i="65"/>
  <c r="AF145" i="65"/>
  <c r="Q145" i="65"/>
  <c r="R146" i="65"/>
  <c r="S146" i="65"/>
  <c r="T146" i="65"/>
  <c r="U146" i="65"/>
  <c r="V146" i="65"/>
  <c r="W146" i="65"/>
  <c r="X146" i="65"/>
  <c r="Y146" i="65"/>
  <c r="AI146" i="65"/>
  <c r="AU146" i="65"/>
  <c r="AW146" i="65"/>
  <c r="BZ146" i="65"/>
  <c r="BK146" i="65"/>
  <c r="BG146" i="65"/>
  <c r="BE146" i="65"/>
  <c r="AX146" i="65"/>
  <c r="BS146" i="65"/>
  <c r="BY146" i="65"/>
  <c r="BA146" i="65"/>
  <c r="BN146" i="65"/>
  <c r="BD146" i="65"/>
  <c r="BT146" i="65"/>
  <c r="BU146" i="65"/>
  <c r="AV146" i="65"/>
  <c r="BF146" i="65"/>
  <c r="BM146" i="65"/>
  <c r="AQ146" i="65"/>
  <c r="BQ146" i="65"/>
  <c r="AS146" i="65"/>
  <c r="BJ146" i="65"/>
  <c r="AP146" i="65"/>
  <c r="BO146" i="65"/>
  <c r="BH146" i="65"/>
  <c r="AN146" i="65"/>
  <c r="AO146" i="65"/>
  <c r="BR146" i="65"/>
  <c r="BL146" i="65"/>
  <c r="BC146" i="65"/>
  <c r="BV146" i="65"/>
  <c r="AY146" i="65"/>
  <c r="BB146" i="65"/>
  <c r="AT146" i="65"/>
  <c r="BI146" i="65"/>
  <c r="AZ146" i="65"/>
  <c r="AR146" i="65"/>
  <c r="BP146" i="65"/>
  <c r="AE146" i="65" l="1"/>
  <c r="AD146" i="65"/>
  <c r="AC146" i="65"/>
  <c r="AF146" i="65"/>
  <c r="Q146" i="65"/>
  <c r="R147" i="65"/>
  <c r="S147" i="65"/>
  <c r="T147" i="65"/>
  <c r="U147" i="65"/>
  <c r="V147" i="65"/>
  <c r="W147" i="65"/>
  <c r="X147" i="65"/>
  <c r="Y147" i="65"/>
  <c r="AI147" i="65"/>
  <c r="BF147" i="65"/>
  <c r="BJ147" i="65"/>
  <c r="BD147" i="65"/>
  <c r="AZ147" i="65"/>
  <c r="BN147" i="65"/>
  <c r="AW147" i="65"/>
  <c r="BL147" i="65"/>
  <c r="AQ147" i="65"/>
  <c r="BU147" i="65"/>
  <c r="AV147" i="65"/>
  <c r="BI147" i="65"/>
  <c r="BE147" i="65"/>
  <c r="AY147" i="65"/>
  <c r="BM147" i="65"/>
  <c r="BT147" i="65"/>
  <c r="AT147" i="65"/>
  <c r="BR147" i="65"/>
  <c r="AP147" i="65"/>
  <c r="BC147" i="65"/>
  <c r="BK147" i="65"/>
  <c r="AO147" i="65"/>
  <c r="AX147" i="65"/>
  <c r="BP147" i="65"/>
  <c r="BB147" i="65"/>
  <c r="BH147" i="65"/>
  <c r="AR147" i="65"/>
  <c r="BV147" i="65"/>
  <c r="BZ147" i="65"/>
  <c r="BQ147" i="65"/>
  <c r="AU147" i="65"/>
  <c r="BA147" i="65"/>
  <c r="BS147" i="65"/>
  <c r="BO147" i="65"/>
  <c r="AN147" i="65"/>
  <c r="BY147" i="65"/>
  <c r="AS147" i="65"/>
  <c r="BG147" i="65"/>
  <c r="AD147" i="65" l="1"/>
  <c r="AE147" i="65"/>
  <c r="AF147" i="65"/>
  <c r="AC147" i="65"/>
  <c r="Q147" i="65"/>
  <c r="R148" i="65"/>
  <c r="S148" i="65"/>
  <c r="T148" i="65"/>
  <c r="U148" i="65"/>
  <c r="V148" i="65"/>
  <c r="W148" i="65"/>
  <c r="X148" i="65"/>
  <c r="Y148" i="65"/>
  <c r="AI148" i="65"/>
  <c r="BF148" i="65"/>
  <c r="BI148" i="65"/>
  <c r="BL148" i="65"/>
  <c r="BE148" i="65"/>
  <c r="BG148" i="65"/>
  <c r="AR148" i="65"/>
  <c r="BK148" i="65"/>
  <c r="AZ148" i="65"/>
  <c r="AW148" i="65"/>
  <c r="BQ148" i="65"/>
  <c r="BR148" i="65"/>
  <c r="BP148" i="65"/>
  <c r="AP148" i="65"/>
  <c r="BB148" i="65"/>
  <c r="AT148" i="65"/>
  <c r="AQ148" i="65"/>
  <c r="BV148" i="65"/>
  <c r="BY148" i="65"/>
  <c r="AU148" i="65"/>
  <c r="AX148" i="65"/>
  <c r="BA148" i="65"/>
  <c r="BD148" i="65"/>
  <c r="BC148" i="65"/>
  <c r="AO148" i="65"/>
  <c r="AS148" i="65"/>
  <c r="BH148" i="65"/>
  <c r="BM148" i="65"/>
  <c r="AN148" i="65"/>
  <c r="BZ148" i="65"/>
  <c r="BJ148" i="65"/>
  <c r="BU148" i="65"/>
  <c r="AV148" i="65"/>
  <c r="BN148" i="65"/>
  <c r="BS148" i="65"/>
  <c r="BO148" i="65"/>
  <c r="AY148" i="65"/>
  <c r="BT148" i="65"/>
  <c r="AE148" i="65" l="1"/>
  <c r="AC148" i="65"/>
  <c r="AD148" i="65"/>
  <c r="AF148" i="65"/>
  <c r="Q148" i="65"/>
  <c r="R149" i="65"/>
  <c r="S149" i="65"/>
  <c r="T149" i="65"/>
  <c r="U149" i="65"/>
  <c r="V149" i="65"/>
  <c r="W149" i="65"/>
  <c r="X149" i="65"/>
  <c r="Y149" i="65"/>
  <c r="AI149" i="65"/>
  <c r="BA149" i="65"/>
  <c r="BO149" i="65"/>
  <c r="AS149" i="65"/>
  <c r="AU149" i="65"/>
  <c r="BJ149" i="65"/>
  <c r="AP149" i="65"/>
  <c r="BH149" i="65"/>
  <c r="AQ149" i="65"/>
  <c r="AO149" i="65"/>
  <c r="AR149" i="65"/>
  <c r="BE149" i="65"/>
  <c r="BN149" i="65"/>
  <c r="AW149" i="65"/>
  <c r="BS149" i="65"/>
  <c r="BM149" i="65"/>
  <c r="BB149" i="65"/>
  <c r="BF149" i="65"/>
  <c r="BR149" i="65"/>
  <c r="BZ149" i="65"/>
  <c r="BC149" i="65"/>
  <c r="BY149" i="65"/>
  <c r="BU149" i="65"/>
  <c r="AT149" i="65"/>
  <c r="BI149" i="65"/>
  <c r="BP149" i="65"/>
  <c r="BV149" i="65"/>
  <c r="AZ149" i="65"/>
  <c r="BK149" i="65"/>
  <c r="BD149" i="65"/>
  <c r="AN149" i="65"/>
  <c r="BT149" i="65"/>
  <c r="BG149" i="65"/>
  <c r="AY149" i="65"/>
  <c r="AX149" i="65"/>
  <c r="AV149" i="65"/>
  <c r="BL149" i="65"/>
  <c r="BQ149" i="65"/>
  <c r="AD149" i="65" l="1"/>
  <c r="AE149" i="65"/>
  <c r="AF149" i="65"/>
  <c r="AC149" i="65"/>
  <c r="Q149" i="65"/>
  <c r="R150" i="65"/>
  <c r="S150" i="65"/>
  <c r="T150" i="65"/>
  <c r="U150" i="65"/>
  <c r="V150" i="65"/>
  <c r="W150" i="65"/>
  <c r="X150" i="65"/>
  <c r="Y150" i="65"/>
  <c r="AI150" i="65"/>
  <c r="BC150" i="65"/>
  <c r="AW150" i="65"/>
  <c r="BI150" i="65"/>
  <c r="AV150" i="65"/>
  <c r="BR150" i="65"/>
  <c r="BK150" i="65"/>
  <c r="AQ150" i="65"/>
  <c r="BQ150" i="65"/>
  <c r="BO150" i="65"/>
  <c r="AX150" i="65"/>
  <c r="BF150" i="65"/>
  <c r="BT150" i="65"/>
  <c r="BS150" i="65"/>
  <c r="AR150" i="65"/>
  <c r="AO150" i="65"/>
  <c r="BJ150" i="65"/>
  <c r="BD150" i="65"/>
  <c r="AS150" i="65"/>
  <c r="AT150" i="65"/>
  <c r="AY150" i="65"/>
  <c r="AZ150" i="65"/>
  <c r="BU150" i="65"/>
  <c r="BA150" i="65"/>
  <c r="BE150" i="65"/>
  <c r="BV150" i="65"/>
  <c r="BM150" i="65"/>
  <c r="AN150" i="65"/>
  <c r="BB150" i="65"/>
  <c r="BG150" i="65"/>
  <c r="AU150" i="65"/>
  <c r="BP150" i="65"/>
  <c r="BN150" i="65"/>
  <c r="BL150" i="65"/>
  <c r="BZ150" i="65"/>
  <c r="BH150" i="65"/>
  <c r="AP150" i="65"/>
  <c r="BY150" i="65"/>
  <c r="AC150" i="65" l="1"/>
  <c r="AF150" i="65"/>
  <c r="AD150" i="65"/>
  <c r="AE150" i="65"/>
  <c r="Q150" i="65"/>
  <c r="R151" i="65"/>
  <c r="S151" i="65"/>
  <c r="T151" i="65"/>
  <c r="U151" i="65"/>
  <c r="V151" i="65"/>
  <c r="W151" i="65"/>
  <c r="X151" i="65"/>
  <c r="Y151" i="65"/>
  <c r="AI151" i="65"/>
  <c r="AS151" i="65"/>
  <c r="AY151" i="65"/>
  <c r="AZ151" i="65"/>
  <c r="BJ151" i="65"/>
  <c r="BY151" i="65"/>
  <c r="BZ151" i="65"/>
  <c r="BO151" i="65"/>
  <c r="BV151" i="65"/>
  <c r="BC151" i="65"/>
  <c r="AW151" i="65"/>
  <c r="BA151" i="65"/>
  <c r="AX151" i="65"/>
  <c r="AO151" i="65"/>
  <c r="BE151" i="65"/>
  <c r="AR151" i="65"/>
  <c r="BL151" i="65"/>
  <c r="AT151" i="65"/>
  <c r="BN151" i="65"/>
  <c r="BP151" i="65"/>
  <c r="BU151" i="65"/>
  <c r="BI151" i="65"/>
  <c r="BT151" i="65"/>
  <c r="BR151" i="65"/>
  <c r="AQ151" i="65"/>
  <c r="BD151" i="65"/>
  <c r="AN151" i="65"/>
  <c r="BB151" i="65"/>
  <c r="AV151" i="65"/>
  <c r="BQ151" i="65"/>
  <c r="BF151" i="65"/>
  <c r="BS151" i="65"/>
  <c r="BK151" i="65"/>
  <c r="AU151" i="65"/>
  <c r="BM151" i="65"/>
  <c r="AP151" i="65"/>
  <c r="BG151" i="65"/>
  <c r="BH151" i="65"/>
  <c r="AD151" i="65" l="1"/>
  <c r="AE151" i="65"/>
  <c r="AF151" i="65"/>
  <c r="AC151" i="65"/>
  <c r="Q151" i="65"/>
  <c r="R152" i="65"/>
  <c r="S152" i="65"/>
  <c r="T152" i="65"/>
  <c r="U152" i="65"/>
  <c r="V152" i="65"/>
  <c r="W152" i="65"/>
  <c r="X152" i="65"/>
  <c r="Y152" i="65"/>
  <c r="AI152" i="65"/>
  <c r="BM152" i="65"/>
  <c r="BT152" i="65"/>
  <c r="BR152" i="65"/>
  <c r="BC152" i="65"/>
  <c r="BF152" i="65"/>
  <c r="BH152" i="65"/>
  <c r="BZ152" i="65"/>
  <c r="AR152" i="65"/>
  <c r="AS152" i="65"/>
  <c r="BE152" i="65"/>
  <c r="BL152" i="65"/>
  <c r="AN152" i="65"/>
  <c r="BP152" i="65"/>
  <c r="AQ152" i="65"/>
  <c r="BN152" i="65"/>
  <c r="BI152" i="65"/>
  <c r="AY152" i="65"/>
  <c r="AO152" i="65"/>
  <c r="BV152" i="65"/>
  <c r="AX152" i="65"/>
  <c r="AZ152" i="65"/>
  <c r="AV152" i="65"/>
  <c r="AT152" i="65"/>
  <c r="AP152" i="65"/>
  <c r="BY152" i="65"/>
  <c r="BG152" i="65"/>
  <c r="BJ152" i="65"/>
  <c r="BQ152" i="65"/>
  <c r="AW152" i="65"/>
  <c r="BD152" i="65"/>
  <c r="AU152" i="65"/>
  <c r="BU152" i="65"/>
  <c r="BB152" i="65"/>
  <c r="BK152" i="65"/>
  <c r="BO152" i="65"/>
  <c r="BA152" i="65"/>
  <c r="BS152" i="65"/>
  <c r="AC152" i="65" l="1"/>
  <c r="AF152" i="65"/>
  <c r="AE152" i="65"/>
  <c r="AD152" i="65"/>
  <c r="Q152" i="65"/>
  <c r="R153" i="65"/>
  <c r="S153" i="65"/>
  <c r="T153" i="65"/>
  <c r="U153" i="65"/>
  <c r="V153" i="65"/>
  <c r="W153" i="65"/>
  <c r="X153" i="65"/>
  <c r="Y153" i="65"/>
  <c r="AI153" i="65"/>
  <c r="BL153" i="65"/>
  <c r="BG153" i="65"/>
  <c r="BT153" i="65"/>
  <c r="BH153" i="65"/>
  <c r="AN153" i="65"/>
  <c r="AZ153" i="65"/>
  <c r="BU153" i="65"/>
  <c r="BO153" i="65"/>
  <c r="BD153" i="65"/>
  <c r="AO153" i="65"/>
  <c r="BK153" i="65"/>
  <c r="AY153" i="65"/>
  <c r="BR153" i="65"/>
  <c r="BE153" i="65"/>
  <c r="BP153" i="65"/>
  <c r="AX153" i="65"/>
  <c r="BZ153" i="65"/>
  <c r="BS153" i="65"/>
  <c r="AS153" i="65"/>
  <c r="BA153" i="65"/>
  <c r="BM153" i="65"/>
  <c r="BI153" i="65"/>
  <c r="BV153" i="65"/>
  <c r="AV153" i="65"/>
  <c r="AR153" i="65"/>
  <c r="AT153" i="65"/>
  <c r="BJ153" i="65"/>
  <c r="AW153" i="65"/>
  <c r="BC153" i="65"/>
  <c r="AU153" i="65"/>
  <c r="BF153" i="65"/>
  <c r="BY153" i="65"/>
  <c r="AP153" i="65"/>
  <c r="BQ153" i="65"/>
  <c r="BB153" i="65"/>
  <c r="BN153" i="65"/>
  <c r="AQ153" i="65"/>
  <c r="AE153" i="65" l="1"/>
  <c r="AF153" i="65"/>
  <c r="AD153" i="65"/>
  <c r="AC153" i="65"/>
  <c r="Q153" i="65"/>
  <c r="D154" i="65"/>
  <c r="R154" i="65"/>
  <c r="S154" i="65"/>
  <c r="T154" i="65"/>
  <c r="U154" i="65"/>
  <c r="V154" i="65"/>
  <c r="W154" i="65"/>
  <c r="X154" i="65"/>
  <c r="Y154" i="65"/>
  <c r="AI154" i="65"/>
  <c r="BZ154" i="65"/>
  <c r="BG154" i="65"/>
  <c r="BQ154" i="65"/>
  <c r="BH154" i="65"/>
  <c r="AZ154" i="65"/>
  <c r="BP154" i="65"/>
  <c r="BY154" i="65"/>
  <c r="BF154" i="65"/>
  <c r="AW154" i="65"/>
  <c r="BN154" i="65"/>
  <c r="AN154" i="65"/>
  <c r="BB154" i="65"/>
  <c r="BT154" i="65"/>
  <c r="AV154" i="65"/>
  <c r="AX154" i="65"/>
  <c r="BO154" i="65"/>
  <c r="BR154" i="65"/>
  <c r="BD154" i="65"/>
  <c r="BV154" i="65"/>
  <c r="BI154" i="65"/>
  <c r="BS154" i="65"/>
  <c r="BE154" i="65"/>
  <c r="AO154" i="65"/>
  <c r="BM154" i="65"/>
  <c r="AQ154" i="65"/>
  <c r="AU154" i="65"/>
  <c r="AY154" i="65"/>
  <c r="BJ154" i="65"/>
  <c r="BA154" i="65"/>
  <c r="BL154" i="65"/>
  <c r="BK154" i="65"/>
  <c r="AT154" i="65"/>
  <c r="BC154" i="65"/>
  <c r="BU154" i="65"/>
  <c r="AR154" i="65"/>
  <c r="AS154" i="65"/>
  <c r="AP154" i="65"/>
  <c r="AE154" i="65" l="1"/>
  <c r="AD154" i="65"/>
  <c r="AC154" i="65"/>
  <c r="AF154" i="65"/>
  <c r="Q154" i="65"/>
  <c r="D155" i="65"/>
  <c r="R155" i="65"/>
  <c r="S155" i="65"/>
  <c r="T155" i="65"/>
  <c r="U155" i="65"/>
  <c r="V155" i="65"/>
  <c r="W155" i="65"/>
  <c r="X155" i="65"/>
  <c r="Y155" i="65"/>
  <c r="AI155" i="65"/>
  <c r="AP155" i="65"/>
  <c r="BV155" i="65"/>
  <c r="AX155" i="65"/>
  <c r="BJ155" i="65"/>
  <c r="BK155" i="65"/>
  <c r="BN155" i="65"/>
  <c r="BZ155" i="65"/>
  <c r="BO155" i="65"/>
  <c r="BT155" i="65"/>
  <c r="AY155" i="65"/>
  <c r="AQ155" i="65"/>
  <c r="BE155" i="65"/>
  <c r="BF155" i="65"/>
  <c r="AU155" i="65"/>
  <c r="BB155" i="65"/>
  <c r="BQ155" i="65"/>
  <c r="AR155" i="65"/>
  <c r="BI155" i="65"/>
  <c r="BS155" i="65"/>
  <c r="BL155" i="65"/>
  <c r="BH155" i="65"/>
  <c r="AT155" i="65"/>
  <c r="BD155" i="65"/>
  <c r="AN155" i="65"/>
  <c r="BP155" i="65"/>
  <c r="AS155" i="65"/>
  <c r="AZ155" i="65"/>
  <c r="AV155" i="65"/>
  <c r="BU155" i="65"/>
  <c r="AO155" i="65"/>
  <c r="BA155" i="65"/>
  <c r="BY155" i="65"/>
  <c r="BG155" i="65"/>
  <c r="AW155" i="65"/>
  <c r="BM155" i="65"/>
  <c r="BR155" i="65"/>
  <c r="BC155" i="65"/>
  <c r="AD155" i="65" l="1"/>
  <c r="AF155" i="65"/>
  <c r="AE155" i="65"/>
  <c r="AC155" i="65"/>
  <c r="Q155" i="65"/>
  <c r="R156" i="65"/>
  <c r="S156" i="65"/>
  <c r="T156" i="65"/>
  <c r="U156" i="65"/>
  <c r="V156" i="65"/>
  <c r="W156" i="65"/>
  <c r="X156" i="65"/>
  <c r="Y156" i="65"/>
  <c r="AI156" i="65"/>
  <c r="BV156" i="65"/>
  <c r="BU156" i="65"/>
  <c r="AU156" i="65"/>
  <c r="AX156" i="65"/>
  <c r="AW156" i="65"/>
  <c r="AP156" i="65"/>
  <c r="BI156" i="65"/>
  <c r="BD156" i="65"/>
  <c r="BS156" i="65"/>
  <c r="BG156" i="65"/>
  <c r="BA156" i="65"/>
  <c r="BY156" i="65"/>
  <c r="BK156" i="65"/>
  <c r="AO156" i="65"/>
  <c r="BJ156" i="65"/>
  <c r="AQ156" i="65"/>
  <c r="BT156" i="65"/>
  <c r="BB156" i="65"/>
  <c r="BN156" i="65"/>
  <c r="BQ156" i="65"/>
  <c r="AS156" i="65"/>
  <c r="BL156" i="65"/>
  <c r="BH156" i="65"/>
  <c r="AY156" i="65"/>
  <c r="BC156" i="65"/>
  <c r="AT156" i="65"/>
  <c r="BF156" i="65"/>
  <c r="AZ156" i="65"/>
  <c r="AN156" i="65"/>
  <c r="BO156" i="65"/>
  <c r="BR156" i="65"/>
  <c r="AR156" i="65"/>
  <c r="BE156" i="65"/>
  <c r="BM156" i="65"/>
  <c r="BP156" i="65"/>
  <c r="AV156" i="65"/>
  <c r="BZ156" i="65"/>
  <c r="AE156" i="65" l="1"/>
  <c r="AF156" i="65"/>
  <c r="AC156" i="65"/>
  <c r="AD156" i="65"/>
  <c r="Q156" i="65"/>
  <c r="D157" i="65"/>
  <c r="R157" i="65"/>
  <c r="S157" i="65"/>
  <c r="T157" i="65"/>
  <c r="U157" i="65"/>
  <c r="V157" i="65"/>
  <c r="W157" i="65"/>
  <c r="X157" i="65"/>
  <c r="Y157" i="65"/>
  <c r="AI157" i="65"/>
  <c r="BP157" i="65"/>
  <c r="AN157" i="65"/>
  <c r="BE157" i="65"/>
  <c r="AS157" i="65"/>
  <c r="BN157" i="65"/>
  <c r="BQ157" i="65"/>
  <c r="BO157" i="65"/>
  <c r="BB157" i="65"/>
  <c r="AW157" i="65"/>
  <c r="AR157" i="65"/>
  <c r="AO157" i="65"/>
  <c r="AT157" i="65"/>
  <c r="BS157" i="65"/>
  <c r="BG157" i="65"/>
  <c r="BM157" i="65"/>
  <c r="AY157" i="65"/>
  <c r="BV157" i="65"/>
  <c r="BI157" i="65"/>
  <c r="BD157" i="65"/>
  <c r="BF157" i="65"/>
  <c r="AP157" i="65"/>
  <c r="AZ157" i="65"/>
  <c r="BY157" i="65"/>
  <c r="BK157" i="65"/>
  <c r="BR157" i="65"/>
  <c r="BU157" i="65"/>
  <c r="BJ157" i="65"/>
  <c r="BT157" i="65"/>
  <c r="AQ157" i="65"/>
  <c r="AX157" i="65"/>
  <c r="AV157" i="65"/>
  <c r="BL157" i="65"/>
  <c r="BZ157" i="65"/>
  <c r="BC157" i="65"/>
  <c r="BA157" i="65"/>
  <c r="AU157" i="65"/>
  <c r="BH157" i="65"/>
  <c r="AE157" i="65" l="1"/>
  <c r="AC157" i="65"/>
  <c r="AF157" i="65"/>
  <c r="AD157" i="65"/>
  <c r="Q157" i="65"/>
  <c r="D158" i="65"/>
  <c r="R158" i="65"/>
  <c r="S158" i="65"/>
  <c r="T158" i="65"/>
  <c r="U158" i="65"/>
  <c r="V158" i="65"/>
  <c r="W158" i="65"/>
  <c r="X158" i="65"/>
  <c r="Y158" i="65"/>
  <c r="AI158" i="65"/>
  <c r="BT158" i="65"/>
  <c r="BG158" i="65"/>
  <c r="AW158" i="65"/>
  <c r="AO158" i="65"/>
  <c r="BJ158" i="65"/>
  <c r="BA158" i="65"/>
  <c r="BF158" i="65"/>
  <c r="BQ158" i="65"/>
  <c r="BZ158" i="65"/>
  <c r="BB158" i="65"/>
  <c r="BU158" i="65"/>
  <c r="AV158" i="65"/>
  <c r="BY158" i="65"/>
  <c r="BP158" i="65"/>
  <c r="AN158" i="65"/>
  <c r="AY158" i="65"/>
  <c r="BS158" i="65"/>
  <c r="BR158" i="65"/>
  <c r="BD158" i="65"/>
  <c r="BH158" i="65"/>
  <c r="AX158" i="65"/>
  <c r="BM158" i="65"/>
  <c r="AZ158" i="65"/>
  <c r="BC158" i="65"/>
  <c r="BI158" i="65"/>
  <c r="AQ158" i="65"/>
  <c r="BL158" i="65"/>
  <c r="AP158" i="65"/>
  <c r="BK158" i="65"/>
  <c r="BV158" i="65"/>
  <c r="BE158" i="65"/>
  <c r="BN158" i="65"/>
  <c r="AU158" i="65"/>
  <c r="AT158" i="65"/>
  <c r="AR158" i="65"/>
  <c r="BO158" i="65"/>
  <c r="AS158" i="65"/>
  <c r="AC158" i="65" l="1"/>
  <c r="AD158" i="65"/>
  <c r="AF158" i="65"/>
  <c r="AE158" i="65"/>
  <c r="Q158" i="65"/>
  <c r="R159" i="65"/>
  <c r="S159" i="65"/>
  <c r="T159" i="65"/>
  <c r="U159" i="65"/>
  <c r="V159" i="65"/>
  <c r="W159" i="65"/>
  <c r="X159" i="65"/>
  <c r="Y159" i="65"/>
  <c r="AI159" i="65"/>
  <c r="BE159" i="65"/>
  <c r="AP159" i="65"/>
  <c r="BK159" i="65"/>
  <c r="AO159" i="65"/>
  <c r="BO159" i="65"/>
  <c r="BM159" i="65"/>
  <c r="BZ159" i="65"/>
  <c r="BR159" i="65"/>
  <c r="AR159" i="65"/>
  <c r="AW159" i="65"/>
  <c r="AS159" i="65"/>
  <c r="BJ159" i="65"/>
  <c r="AV159" i="65"/>
  <c r="BP159" i="65"/>
  <c r="BH159" i="65"/>
  <c r="BV159" i="65"/>
  <c r="AX159" i="65"/>
  <c r="BA159" i="65"/>
  <c r="BT159" i="65"/>
  <c r="BY159" i="65"/>
  <c r="BN159" i="65"/>
  <c r="AQ159" i="65"/>
  <c r="BS159" i="65"/>
  <c r="AY159" i="65"/>
  <c r="BQ159" i="65"/>
  <c r="AT159" i="65"/>
  <c r="BU159" i="65"/>
  <c r="BI159" i="65"/>
  <c r="BC159" i="65"/>
  <c r="BB159" i="65"/>
  <c r="BF159" i="65"/>
  <c r="BG159" i="65"/>
  <c r="BD159" i="65"/>
  <c r="AZ159" i="65"/>
  <c r="AU159" i="65"/>
  <c r="AN159" i="65"/>
  <c r="BL159" i="65"/>
  <c r="AF159" i="65" l="1"/>
  <c r="AD159" i="65"/>
  <c r="AC159" i="65"/>
  <c r="AE159" i="65"/>
  <c r="Q159" i="65"/>
  <c r="D160" i="65"/>
  <c r="R160" i="65"/>
  <c r="S160" i="65"/>
  <c r="T160" i="65"/>
  <c r="U160" i="65"/>
  <c r="V160" i="65"/>
  <c r="W160" i="65"/>
  <c r="X160" i="65"/>
  <c r="Y160" i="65"/>
  <c r="AI160" i="65"/>
  <c r="BI160" i="65"/>
  <c r="BA160" i="65"/>
  <c r="AX160" i="65"/>
  <c r="BG160" i="65"/>
  <c r="AN160" i="65"/>
  <c r="BB160" i="65"/>
  <c r="AY160" i="65"/>
  <c r="BD160" i="65"/>
  <c r="AU160" i="65"/>
  <c r="AR160" i="65"/>
  <c r="BO160" i="65"/>
  <c r="AW160" i="65"/>
  <c r="BY160" i="65"/>
  <c r="BK160" i="65"/>
  <c r="BP160" i="65"/>
  <c r="BT160" i="65"/>
  <c r="BM160" i="65"/>
  <c r="AO160" i="65"/>
  <c r="BH160" i="65"/>
  <c r="BS160" i="65"/>
  <c r="BC160" i="65"/>
  <c r="BF160" i="65"/>
  <c r="BQ160" i="65"/>
  <c r="BU160" i="65"/>
  <c r="AQ160" i="65"/>
  <c r="BZ160" i="65"/>
  <c r="AT160" i="65"/>
  <c r="AS160" i="65"/>
  <c r="BJ160" i="65"/>
  <c r="BE160" i="65"/>
  <c r="BL160" i="65"/>
  <c r="BV160" i="65"/>
  <c r="AZ160" i="65"/>
  <c r="AP160" i="65"/>
  <c r="AV160" i="65"/>
  <c r="BR160" i="65"/>
  <c r="BN160" i="65"/>
  <c r="AC160" i="65" l="1"/>
  <c r="AE160" i="65"/>
  <c r="AD160" i="65"/>
  <c r="AF160" i="65"/>
  <c r="Q160" i="65"/>
  <c r="D161" i="65"/>
  <c r="R161" i="65"/>
  <c r="S161" i="65"/>
  <c r="T161" i="65"/>
  <c r="U161" i="65"/>
  <c r="V161" i="65"/>
  <c r="W161" i="65"/>
  <c r="X161" i="65"/>
  <c r="Y161" i="65"/>
  <c r="AI161" i="65"/>
  <c r="BC161" i="65"/>
  <c r="BK161" i="65"/>
  <c r="AV161" i="65"/>
  <c r="BP161" i="65"/>
  <c r="AN161" i="65"/>
  <c r="BN161" i="65"/>
  <c r="BE161" i="65"/>
  <c r="BL161" i="65"/>
  <c r="AQ161" i="65"/>
  <c r="AT161" i="65"/>
  <c r="BA161" i="65"/>
  <c r="BF161" i="65"/>
  <c r="AW161" i="65"/>
  <c r="BR161" i="65"/>
  <c r="AU161" i="65"/>
  <c r="AP161" i="65"/>
  <c r="BB161" i="65"/>
  <c r="AZ161" i="65"/>
  <c r="BI161" i="65"/>
  <c r="BH161" i="65"/>
  <c r="AR161" i="65"/>
  <c r="AY161" i="65"/>
  <c r="AO161" i="65"/>
  <c r="AX161" i="65"/>
  <c r="BG161" i="65"/>
  <c r="BT161" i="65"/>
  <c r="BU161" i="65"/>
  <c r="BM161" i="65"/>
  <c r="AS161" i="65"/>
  <c r="BZ161" i="65"/>
  <c r="BS161" i="65"/>
  <c r="BQ161" i="65"/>
  <c r="BO161" i="65"/>
  <c r="BV161" i="65"/>
  <c r="BJ161" i="65"/>
  <c r="BD161" i="65"/>
  <c r="BY161" i="65"/>
  <c r="AE161" i="65" l="1"/>
  <c r="AD161" i="65"/>
  <c r="AF161" i="65"/>
  <c r="AC161" i="65"/>
  <c r="Q161" i="65"/>
  <c r="D163" i="65" l="1"/>
  <c r="D164" i="65" l="1"/>
  <c r="D166" i="65" l="1"/>
  <c r="D167" i="65"/>
  <c r="AN183" i="65"/>
  <c r="AO183" i="65"/>
  <c r="AP183" i="65"/>
  <c r="AQ183" i="65"/>
  <c r="AR183" i="65"/>
  <c r="AS183" i="65"/>
  <c r="AT183" i="65"/>
  <c r="AU183" i="65"/>
  <c r="AV183" i="65"/>
  <c r="AW183" i="65"/>
  <c r="AX183" i="65"/>
  <c r="AZ183" i="65"/>
  <c r="BA183" i="65"/>
  <c r="BB183" i="65"/>
  <c r="AC184" i="65"/>
  <c r="AI184" i="65"/>
  <c r="BF184" i="65"/>
  <c r="BT184" i="65"/>
  <c r="BD184" i="65"/>
  <c r="AN184" i="65"/>
  <c r="AX184" i="65"/>
  <c r="BV184" i="65"/>
  <c r="BG184" i="65"/>
  <c r="BB184" i="65"/>
  <c r="AW184" i="65"/>
  <c r="BN184" i="65"/>
  <c r="AY184" i="65"/>
  <c r="AV184" i="65"/>
  <c r="BI184" i="65"/>
  <c r="BJ184" i="65"/>
  <c r="BO184" i="65"/>
  <c r="AZ184" i="65"/>
  <c r="AO184" i="65"/>
  <c r="AU184" i="65"/>
  <c r="BP184" i="65"/>
  <c r="AT184" i="65"/>
  <c r="BQ184" i="65"/>
  <c r="BL184" i="65"/>
  <c r="BY184" i="65"/>
  <c r="AP184" i="65"/>
  <c r="BA184" i="65"/>
  <c r="BZ184" i="65"/>
  <c r="AQ184" i="65"/>
  <c r="BH184" i="65"/>
  <c r="BK184" i="65"/>
  <c r="BU184" i="65"/>
  <c r="BC184" i="65"/>
  <c r="AR184" i="65"/>
  <c r="BS184" i="65"/>
  <c r="AS184" i="65"/>
  <c r="BR184" i="65"/>
  <c r="BE184" i="65"/>
  <c r="AH184" i="65" l="1"/>
  <c r="AG184" i="65"/>
  <c r="AF184" i="65"/>
  <c r="AE184" i="65"/>
  <c r="AD184" i="65"/>
  <c r="AB184" i="65"/>
  <c r="R186" i="65"/>
  <c r="S186" i="65"/>
  <c r="T186" i="65"/>
  <c r="U186" i="65"/>
  <c r="V186" i="65"/>
  <c r="W186" i="65"/>
  <c r="X186" i="65"/>
  <c r="Y186" i="65"/>
  <c r="AG186" i="65"/>
  <c r="AI186" i="65"/>
  <c r="BH186" i="65"/>
  <c r="BI186" i="65"/>
  <c r="BC186" i="65"/>
  <c r="BQ186" i="65"/>
  <c r="BE186" i="65"/>
  <c r="AZ186" i="65"/>
  <c r="AS186" i="65"/>
  <c r="BK186" i="65"/>
  <c r="AY186" i="65"/>
  <c r="BG186" i="65"/>
  <c r="AX186" i="65"/>
  <c r="BM186" i="65"/>
  <c r="BZ186" i="65"/>
  <c r="BT186" i="65"/>
  <c r="AV186" i="65"/>
  <c r="BA186" i="65"/>
  <c r="BP186" i="65"/>
  <c r="BJ186" i="65"/>
  <c r="BV186" i="65"/>
  <c r="BR186" i="65"/>
  <c r="BD186" i="65"/>
  <c r="BO186" i="65"/>
  <c r="AO186" i="65"/>
  <c r="AW186" i="65"/>
  <c r="AU186" i="65"/>
  <c r="BS186" i="65"/>
  <c r="AN186" i="65"/>
  <c r="BN186" i="65"/>
  <c r="AR186" i="65"/>
  <c r="BF186" i="65"/>
  <c r="BY186" i="65"/>
  <c r="AQ186" i="65"/>
  <c r="AP186" i="65"/>
  <c r="BL186" i="65"/>
  <c r="BU186" i="65"/>
  <c r="AT186" i="65"/>
  <c r="BB186" i="65"/>
  <c r="Q186" i="65" l="1"/>
  <c r="AF186" i="65"/>
  <c r="AE186" i="65"/>
  <c r="AD186" i="65"/>
  <c r="AC186" i="65"/>
  <c r="AA184" i="65"/>
  <c r="R187" i="65"/>
  <c r="S187" i="65"/>
  <c r="T187" i="65"/>
  <c r="U187" i="65"/>
  <c r="V187" i="65"/>
  <c r="W187" i="65"/>
  <c r="X187" i="65"/>
  <c r="Y187" i="65"/>
  <c r="AG187" i="65"/>
  <c r="AI187" i="65"/>
  <c r="BN187" i="65"/>
  <c r="BJ187" i="65"/>
  <c r="BV187" i="65"/>
  <c r="AS187" i="65"/>
  <c r="AZ187" i="65"/>
  <c r="AQ187" i="65"/>
  <c r="BI187" i="65"/>
  <c r="AN187" i="65"/>
  <c r="BS187" i="65"/>
  <c r="BZ187" i="65"/>
  <c r="BD187" i="65"/>
  <c r="BG187" i="65"/>
  <c r="AW187" i="65"/>
  <c r="BO187" i="65"/>
  <c r="BU187" i="65"/>
  <c r="AR187" i="65"/>
  <c r="AX187" i="65"/>
  <c r="BP187" i="65"/>
  <c r="BR187" i="65"/>
  <c r="AV187" i="65"/>
  <c r="BY187" i="65"/>
  <c r="BE187" i="65"/>
  <c r="BL187" i="65"/>
  <c r="AT187" i="65"/>
  <c r="AY187" i="65"/>
  <c r="BQ187" i="65"/>
  <c r="BM187" i="65"/>
  <c r="BK187" i="65"/>
  <c r="BA187" i="65"/>
  <c r="BC187" i="65"/>
  <c r="AO187" i="65"/>
  <c r="BB187" i="65"/>
  <c r="AU187" i="65"/>
  <c r="BT187" i="65"/>
  <c r="AP187" i="65"/>
  <c r="BF187" i="65"/>
  <c r="BH187" i="65"/>
  <c r="Q187" i="65" l="1"/>
  <c r="AF187" i="65"/>
  <c r="AE187" i="65"/>
  <c r="AD187" i="65"/>
  <c r="AC187" i="65"/>
  <c r="R188" i="65"/>
  <c r="S188" i="65"/>
  <c r="T188" i="65"/>
  <c r="U188" i="65"/>
  <c r="V188" i="65"/>
  <c r="W188" i="65"/>
  <c r="X188" i="65"/>
  <c r="Y188" i="65"/>
  <c r="AG188" i="65"/>
  <c r="AI188" i="65"/>
  <c r="BK188" i="65"/>
  <c r="BS188" i="65"/>
  <c r="BU188" i="65"/>
  <c r="BC188" i="65"/>
  <c r="BM188" i="65"/>
  <c r="BZ188" i="65"/>
  <c r="BR188" i="65"/>
  <c r="AY188" i="65"/>
  <c r="AO188" i="65"/>
  <c r="AT188" i="65"/>
  <c r="AS188" i="65"/>
  <c r="BJ188" i="65"/>
  <c r="BO188" i="65"/>
  <c r="BL188" i="65"/>
  <c r="BG188" i="65"/>
  <c r="BV188" i="65"/>
  <c r="BD188" i="65"/>
  <c r="BH188" i="65"/>
  <c r="BT188" i="65"/>
  <c r="BI188" i="65"/>
  <c r="BY188" i="65"/>
  <c r="BQ188" i="65"/>
  <c r="AV188" i="65"/>
  <c r="BN188" i="65"/>
  <c r="BF188" i="65"/>
  <c r="AZ188" i="65"/>
  <c r="AN188" i="65"/>
  <c r="BP188" i="65"/>
  <c r="AW188" i="65"/>
  <c r="AR188" i="65"/>
  <c r="AU188" i="65"/>
  <c r="AX188" i="65"/>
  <c r="BB188" i="65"/>
  <c r="BE188" i="65"/>
  <c r="BA188" i="65"/>
  <c r="AQ188" i="65"/>
  <c r="AP188" i="65"/>
  <c r="Q188" i="65" l="1"/>
  <c r="AF188" i="65"/>
  <c r="AE188" i="65"/>
  <c r="AD188" i="65"/>
  <c r="AC188" i="65"/>
  <c r="R189" i="65"/>
  <c r="S189" i="65"/>
  <c r="T189" i="65"/>
  <c r="U189" i="65"/>
  <c r="V189" i="65"/>
  <c r="W189" i="65"/>
  <c r="X189" i="65"/>
  <c r="Y189" i="65"/>
  <c r="AG189" i="65"/>
  <c r="AI189" i="65"/>
  <c r="AV189" i="65"/>
  <c r="BQ189" i="65"/>
  <c r="BD189" i="65"/>
  <c r="AY189" i="65"/>
  <c r="BE189" i="65"/>
  <c r="AZ189" i="65"/>
  <c r="BB189" i="65"/>
  <c r="BA189" i="65"/>
  <c r="BN189" i="65"/>
  <c r="BC189" i="65"/>
  <c r="BK189" i="65"/>
  <c r="BG189" i="65"/>
  <c r="BS189" i="65"/>
  <c r="AX189" i="65"/>
  <c r="BF189" i="65"/>
  <c r="AR189" i="65"/>
  <c r="AT189" i="65"/>
  <c r="BR189" i="65"/>
  <c r="BZ189" i="65"/>
  <c r="BL189" i="65"/>
  <c r="BO189" i="65"/>
  <c r="BY189" i="65"/>
  <c r="BV189" i="65"/>
  <c r="AP189" i="65"/>
  <c r="BP189" i="65"/>
  <c r="AQ189" i="65"/>
  <c r="AO189" i="65"/>
  <c r="BH189" i="65"/>
  <c r="BM189" i="65"/>
  <c r="AW189" i="65"/>
  <c r="AN189" i="65"/>
  <c r="BU189" i="65"/>
  <c r="BJ189" i="65"/>
  <c r="BI189" i="65"/>
  <c r="BT189" i="65"/>
  <c r="AS189" i="65"/>
  <c r="AU189" i="65"/>
  <c r="Q189" i="65" l="1"/>
  <c r="AF189" i="65"/>
  <c r="AE189" i="65"/>
  <c r="AD189" i="65"/>
  <c r="AC189" i="65"/>
  <c r="R190" i="65"/>
  <c r="S190" i="65"/>
  <c r="T190" i="65"/>
  <c r="U190" i="65"/>
  <c r="V190" i="65"/>
  <c r="W190" i="65"/>
  <c r="X190" i="65"/>
  <c r="Y190" i="65"/>
  <c r="AG190" i="65"/>
  <c r="AI190" i="65"/>
  <c r="BP190" i="65"/>
  <c r="AO190" i="65"/>
  <c r="BO190" i="65"/>
  <c r="AX190" i="65"/>
  <c r="BJ190" i="65"/>
  <c r="AR190" i="65"/>
  <c r="BR190" i="65"/>
  <c r="BY190" i="65"/>
  <c r="AQ190" i="65"/>
  <c r="BA190" i="65"/>
  <c r="BS190" i="65"/>
  <c r="BZ190" i="65"/>
  <c r="BN190" i="65"/>
  <c r="BM190" i="65"/>
  <c r="AP190" i="65"/>
  <c r="BT190" i="65"/>
  <c r="BD190" i="65"/>
  <c r="BV190" i="65"/>
  <c r="BI190" i="65"/>
  <c r="AN190" i="65"/>
  <c r="BQ190" i="65"/>
  <c r="AU190" i="65"/>
  <c r="BE190" i="65"/>
  <c r="BF190" i="65"/>
  <c r="AS190" i="65"/>
  <c r="AY190" i="65"/>
  <c r="AW190" i="65"/>
  <c r="BH190" i="65"/>
  <c r="BU190" i="65"/>
  <c r="AZ190" i="65"/>
  <c r="BK190" i="65"/>
  <c r="BB190" i="65"/>
  <c r="BL190" i="65"/>
  <c r="AV190" i="65"/>
  <c r="BC190" i="65"/>
  <c r="BG190" i="65"/>
  <c r="AT190" i="65"/>
  <c r="Q190" i="65" l="1"/>
  <c r="AF190" i="65"/>
  <c r="AE190" i="65"/>
  <c r="AD190" i="65"/>
  <c r="AC190" i="65"/>
  <c r="R191" i="65"/>
  <c r="S191" i="65"/>
  <c r="T191" i="65"/>
  <c r="U191" i="65"/>
  <c r="V191" i="65"/>
  <c r="W191" i="65"/>
  <c r="X191" i="65"/>
  <c r="Y191" i="65"/>
  <c r="AG191" i="65"/>
  <c r="AI191" i="65"/>
  <c r="BV191" i="65"/>
  <c r="AO191" i="65"/>
  <c r="AW191" i="65"/>
  <c r="BS191" i="65"/>
  <c r="BQ191" i="65"/>
  <c r="AX191" i="65"/>
  <c r="BP191" i="65"/>
  <c r="AY191" i="65"/>
  <c r="AS191" i="65"/>
  <c r="AN191" i="65"/>
  <c r="AU191" i="65"/>
  <c r="AT191" i="65"/>
  <c r="BC191" i="65"/>
  <c r="BA191" i="65"/>
  <c r="AR191" i="65"/>
  <c r="BL191" i="65"/>
  <c r="BB191" i="65"/>
  <c r="BF191" i="65"/>
  <c r="AZ191" i="65"/>
  <c r="BT191" i="65"/>
  <c r="BJ191" i="65"/>
  <c r="BM191" i="65"/>
  <c r="BU191" i="65"/>
  <c r="BR191" i="65"/>
  <c r="AQ191" i="65"/>
  <c r="AV191" i="65"/>
  <c r="BD191" i="65"/>
  <c r="BZ191" i="65"/>
  <c r="BK191" i="65"/>
  <c r="AP191" i="65"/>
  <c r="BH191" i="65"/>
  <c r="BI191" i="65"/>
  <c r="BG191" i="65"/>
  <c r="BE191" i="65"/>
  <c r="BN191" i="65"/>
  <c r="BO191" i="65"/>
  <c r="BY191" i="65"/>
  <c r="Q191" i="65" l="1"/>
  <c r="AF191" i="65"/>
  <c r="AE191" i="65"/>
  <c r="AD191" i="65"/>
  <c r="AC191" i="65"/>
  <c r="R192" i="65"/>
  <c r="S192" i="65"/>
  <c r="T192" i="65"/>
  <c r="U192" i="65"/>
  <c r="V192" i="65"/>
  <c r="W192" i="65"/>
  <c r="X192" i="65"/>
  <c r="Y192" i="65"/>
  <c r="AG192" i="65"/>
  <c r="AI192" i="65"/>
  <c r="BN192" i="65"/>
  <c r="BS192" i="65"/>
  <c r="BC192" i="65"/>
  <c r="BM192" i="65"/>
  <c r="BT192" i="65"/>
  <c r="BY192" i="65"/>
  <c r="AZ192" i="65"/>
  <c r="BO192" i="65"/>
  <c r="AO192" i="65"/>
  <c r="BE192" i="65"/>
  <c r="BA192" i="65"/>
  <c r="BL192" i="65"/>
  <c r="AQ192" i="65"/>
  <c r="AN192" i="65"/>
  <c r="BJ192" i="65"/>
  <c r="AY192" i="65"/>
  <c r="AT192" i="65"/>
  <c r="BV192" i="65"/>
  <c r="BZ192" i="65"/>
  <c r="BF192" i="65"/>
  <c r="AX192" i="65"/>
  <c r="AP192" i="65"/>
  <c r="BK192" i="65"/>
  <c r="BQ192" i="65"/>
  <c r="BR192" i="65"/>
  <c r="BB192" i="65"/>
  <c r="BD192" i="65"/>
  <c r="BG192" i="65"/>
  <c r="BH192" i="65"/>
  <c r="AU192" i="65"/>
  <c r="AS192" i="65"/>
  <c r="BI192" i="65"/>
  <c r="BU192" i="65"/>
  <c r="AV192" i="65"/>
  <c r="BP192" i="65"/>
  <c r="AR192" i="65"/>
  <c r="AW192" i="65"/>
  <c r="Q192" i="65" l="1"/>
  <c r="AF192" i="65"/>
  <c r="AE192" i="65"/>
  <c r="AD192" i="65"/>
  <c r="AC192" i="65"/>
  <c r="R193" i="65"/>
  <c r="S193" i="65"/>
  <c r="T193" i="65"/>
  <c r="U193" i="65"/>
  <c r="V193" i="65"/>
  <c r="W193" i="65"/>
  <c r="X193" i="65"/>
  <c r="Y193" i="65"/>
  <c r="AG193" i="65"/>
  <c r="AI193" i="65"/>
  <c r="BF193" i="65"/>
  <c r="BP193" i="65"/>
  <c r="AU193" i="65"/>
  <c r="AO193" i="65"/>
  <c r="AP193" i="65"/>
  <c r="BR193" i="65"/>
  <c r="BH193" i="65"/>
  <c r="BN193" i="65"/>
  <c r="BT193" i="65"/>
  <c r="BV193" i="65"/>
  <c r="AN193" i="65"/>
  <c r="AQ193" i="65"/>
  <c r="BG193" i="65"/>
  <c r="BM193" i="65"/>
  <c r="AW193" i="65"/>
  <c r="AS193" i="65"/>
  <c r="BJ193" i="65"/>
  <c r="BO193" i="65"/>
  <c r="BS193" i="65"/>
  <c r="BB193" i="65"/>
  <c r="AY193" i="65"/>
  <c r="BU193" i="65"/>
  <c r="BY193" i="65"/>
  <c r="BA193" i="65"/>
  <c r="AZ193" i="65"/>
  <c r="AR193" i="65"/>
  <c r="AT193" i="65"/>
  <c r="BK193" i="65"/>
  <c r="BZ193" i="65"/>
  <c r="BD193" i="65"/>
  <c r="BQ193" i="65"/>
  <c r="BL193" i="65"/>
  <c r="BE193" i="65"/>
  <c r="BC193" i="65"/>
  <c r="BI193" i="65"/>
  <c r="AX193" i="65"/>
  <c r="AV193" i="65"/>
  <c r="Q193" i="65" l="1"/>
  <c r="AF193" i="65"/>
  <c r="AE193" i="65"/>
  <c r="AD193" i="65"/>
  <c r="AC193" i="65"/>
  <c r="R194" i="65"/>
  <c r="S194" i="65"/>
  <c r="T194" i="65"/>
  <c r="U194" i="65"/>
  <c r="V194" i="65"/>
  <c r="W194" i="65"/>
  <c r="X194" i="65"/>
  <c r="Y194" i="65"/>
  <c r="AG194" i="65"/>
  <c r="AI194" i="65"/>
  <c r="BF194" i="65"/>
  <c r="AS194" i="65"/>
  <c r="AP194" i="65"/>
  <c r="BC194" i="65"/>
  <c r="AW194" i="65"/>
  <c r="AR194" i="65"/>
  <c r="BK194" i="65"/>
  <c r="BQ194" i="65"/>
  <c r="BB194" i="65"/>
  <c r="BT194" i="65"/>
  <c r="BA194" i="65"/>
  <c r="BS194" i="65"/>
  <c r="BU194" i="65"/>
  <c r="BM194" i="65"/>
  <c r="BE194" i="65"/>
  <c r="BR194" i="65"/>
  <c r="BI194" i="65"/>
  <c r="BP194" i="65"/>
  <c r="BD194" i="65"/>
  <c r="AY194" i="65"/>
  <c r="AU194" i="65"/>
  <c r="BG194" i="65"/>
  <c r="BY194" i="65"/>
  <c r="AQ194" i="65"/>
  <c r="BL194" i="65"/>
  <c r="BO194" i="65"/>
  <c r="AZ194" i="65"/>
  <c r="BV194" i="65"/>
  <c r="BH194" i="65"/>
  <c r="BZ194" i="65"/>
  <c r="AO194" i="65"/>
  <c r="BN194" i="65"/>
  <c r="BJ194" i="65"/>
  <c r="AT194" i="65"/>
  <c r="AN194" i="65"/>
  <c r="AX194" i="65"/>
  <c r="AV194" i="65"/>
  <c r="Q194" i="65" l="1"/>
  <c r="AF194" i="65"/>
  <c r="AE194" i="65"/>
  <c r="AD194" i="65"/>
  <c r="AC194" i="65"/>
  <c r="R195" i="65"/>
  <c r="S195" i="65"/>
  <c r="T195" i="65"/>
  <c r="U195" i="65"/>
  <c r="V195" i="65"/>
  <c r="W195" i="65"/>
  <c r="X195" i="65"/>
  <c r="Y195" i="65"/>
  <c r="AG195" i="65"/>
  <c r="AI195" i="65"/>
  <c r="BB195" i="65"/>
  <c r="BA195" i="65"/>
  <c r="BF195" i="65"/>
  <c r="BM195" i="65"/>
  <c r="AN195" i="65"/>
  <c r="BT195" i="65"/>
  <c r="BL195" i="65"/>
  <c r="AX195" i="65"/>
  <c r="BR195" i="65"/>
  <c r="AT195" i="65"/>
  <c r="BD195" i="65"/>
  <c r="AR195" i="65"/>
  <c r="AQ195" i="65"/>
  <c r="AO195" i="65"/>
  <c r="BI195" i="65"/>
  <c r="BG195" i="65"/>
  <c r="BV195" i="65"/>
  <c r="AY195" i="65"/>
  <c r="BN195" i="65"/>
  <c r="AU195" i="65"/>
  <c r="BZ195" i="65"/>
  <c r="BY195" i="65"/>
  <c r="AW195" i="65"/>
  <c r="AS195" i="65"/>
  <c r="AZ195" i="65"/>
  <c r="BC195" i="65"/>
  <c r="BK195" i="65"/>
  <c r="BU195" i="65"/>
  <c r="BO195" i="65"/>
  <c r="BQ195" i="65"/>
  <c r="AV195" i="65"/>
  <c r="AP195" i="65"/>
  <c r="BJ195" i="65"/>
  <c r="BE195" i="65"/>
  <c r="BS195" i="65"/>
  <c r="BP195" i="65"/>
  <c r="BH195" i="65"/>
  <c r="Q195" i="65" l="1"/>
  <c r="AF195" i="65"/>
  <c r="AE195" i="65"/>
  <c r="AD195" i="65"/>
  <c r="AC195" i="65"/>
  <c r="R196" i="65"/>
  <c r="S196" i="65"/>
  <c r="T196" i="65"/>
  <c r="U196" i="65"/>
  <c r="V196" i="65"/>
  <c r="W196" i="65"/>
  <c r="X196" i="65"/>
  <c r="Y196" i="65"/>
  <c r="AG196" i="65"/>
  <c r="AI196" i="65"/>
  <c r="BT196" i="65"/>
  <c r="AU196" i="65"/>
  <c r="AT196" i="65"/>
  <c r="BS196" i="65"/>
  <c r="AX196" i="65"/>
  <c r="BK196" i="65"/>
  <c r="BU196" i="65"/>
  <c r="AQ196" i="65"/>
  <c r="AO196" i="65"/>
  <c r="AP196" i="65"/>
  <c r="BN196" i="65"/>
  <c r="BJ196" i="65"/>
  <c r="AR196" i="65"/>
  <c r="BQ196" i="65"/>
  <c r="BF196" i="65"/>
  <c r="BC196" i="65"/>
  <c r="BZ196" i="65"/>
  <c r="AS196" i="65"/>
  <c r="AY196" i="65"/>
  <c r="BA196" i="65"/>
  <c r="BY196" i="65"/>
  <c r="AV196" i="65"/>
  <c r="BD196" i="65"/>
  <c r="BG196" i="65"/>
  <c r="BV196" i="65"/>
  <c r="BI196" i="65"/>
  <c r="BH196" i="65"/>
  <c r="AN196" i="65"/>
  <c r="BP196" i="65"/>
  <c r="BM196" i="65"/>
  <c r="BR196" i="65"/>
  <c r="BL196" i="65"/>
  <c r="AZ196" i="65"/>
  <c r="AW196" i="65"/>
  <c r="BB196" i="65"/>
  <c r="BE196" i="65"/>
  <c r="BO196" i="65"/>
  <c r="Q196" i="65" l="1"/>
  <c r="AF196" i="65"/>
  <c r="AE196" i="65"/>
  <c r="AD196" i="65"/>
  <c r="AC196" i="65"/>
  <c r="R197" i="65"/>
  <c r="S197" i="65"/>
  <c r="T197" i="65"/>
  <c r="U197" i="65"/>
  <c r="V197" i="65"/>
  <c r="W197" i="65"/>
  <c r="X197" i="65"/>
  <c r="Y197" i="65"/>
  <c r="AG197" i="65"/>
  <c r="AI197" i="65"/>
  <c r="AX197" i="65"/>
  <c r="BN197" i="65"/>
  <c r="BH197" i="65"/>
  <c r="BU197" i="65"/>
  <c r="BZ197" i="65"/>
  <c r="AZ197" i="65"/>
  <c r="BR197" i="65"/>
  <c r="AV197" i="65"/>
  <c r="BS197" i="65"/>
  <c r="BD197" i="65"/>
  <c r="BC197" i="65"/>
  <c r="BM197" i="65"/>
  <c r="AO197" i="65"/>
  <c r="AW197" i="65"/>
  <c r="BQ197" i="65"/>
  <c r="AT197" i="65"/>
  <c r="BA197" i="65"/>
  <c r="AN197" i="65"/>
  <c r="AS197" i="65"/>
  <c r="BO197" i="65"/>
  <c r="AP197" i="65"/>
  <c r="BT197" i="65"/>
  <c r="BY197" i="65"/>
  <c r="BJ197" i="65"/>
  <c r="BI197" i="65"/>
  <c r="BG197" i="65"/>
  <c r="BB197" i="65"/>
  <c r="BP197" i="65"/>
  <c r="AQ197" i="65"/>
  <c r="BF197" i="65"/>
  <c r="BV197" i="65"/>
  <c r="AY197" i="65"/>
  <c r="BK197" i="65"/>
  <c r="BL197" i="65"/>
  <c r="AU197" i="65"/>
  <c r="AR197" i="65"/>
  <c r="BE197" i="65"/>
  <c r="Q197" i="65" l="1"/>
  <c r="AF197" i="65"/>
  <c r="AE197" i="65"/>
  <c r="AD197" i="65"/>
  <c r="AC197" i="65"/>
  <c r="D198" i="65"/>
  <c r="R198" i="65"/>
  <c r="S198" i="65"/>
  <c r="T198" i="65"/>
  <c r="U198" i="65"/>
  <c r="V198" i="65"/>
  <c r="W198" i="65"/>
  <c r="X198" i="65"/>
  <c r="Y198" i="65"/>
  <c r="AG198" i="65"/>
  <c r="AI198" i="65"/>
  <c r="BG198" i="65"/>
  <c r="BJ198" i="65"/>
  <c r="BA198" i="65"/>
  <c r="BK198" i="65"/>
  <c r="BQ198" i="65"/>
  <c r="AU198" i="65"/>
  <c r="BH198" i="65"/>
  <c r="BP198" i="65"/>
  <c r="AW198" i="65"/>
  <c r="AR198" i="65"/>
  <c r="AT198" i="65"/>
  <c r="BO198" i="65"/>
  <c r="BZ198" i="65"/>
  <c r="BE198" i="65"/>
  <c r="BS198" i="65"/>
  <c r="BY198" i="65"/>
  <c r="BR198" i="65"/>
  <c r="BI198" i="65"/>
  <c r="BL198" i="65"/>
  <c r="BM198" i="65"/>
  <c r="BC198" i="65"/>
  <c r="AS198" i="65"/>
  <c r="BD198" i="65"/>
  <c r="AO198" i="65"/>
  <c r="BB198" i="65"/>
  <c r="AY198" i="65"/>
  <c r="AV198" i="65"/>
  <c r="AN198" i="65"/>
  <c r="BF198" i="65"/>
  <c r="AP198" i="65"/>
  <c r="BT198" i="65"/>
  <c r="AZ198" i="65"/>
  <c r="BV198" i="65"/>
  <c r="AX198" i="65"/>
  <c r="BU198" i="65"/>
  <c r="BN198" i="65"/>
  <c r="AQ198" i="65"/>
  <c r="Q198" i="65" l="1"/>
  <c r="AF198" i="65"/>
  <c r="AE198" i="65"/>
  <c r="AD198" i="65"/>
  <c r="AC198" i="65"/>
  <c r="D199" i="65"/>
  <c r="R199" i="65"/>
  <c r="S199" i="65"/>
  <c r="T199" i="65"/>
  <c r="U199" i="65"/>
  <c r="V199" i="65"/>
  <c r="W199" i="65"/>
  <c r="X199" i="65"/>
  <c r="Y199" i="65"/>
  <c r="AG199" i="65"/>
  <c r="AI199" i="65"/>
  <c r="AX199" i="65"/>
  <c r="BT199" i="65"/>
  <c r="BK199" i="65"/>
  <c r="BF199" i="65"/>
  <c r="BU199" i="65"/>
  <c r="BB199" i="65"/>
  <c r="BE199" i="65"/>
  <c r="BN199" i="65"/>
  <c r="BJ199" i="65"/>
  <c r="AV199" i="65"/>
  <c r="AT199" i="65"/>
  <c r="BM199" i="65"/>
  <c r="BV199" i="65"/>
  <c r="BR199" i="65"/>
  <c r="AZ199" i="65"/>
  <c r="AU199" i="65"/>
  <c r="AS199" i="65"/>
  <c r="AY199" i="65"/>
  <c r="BG199" i="65"/>
  <c r="BD199" i="65"/>
  <c r="BY199" i="65"/>
  <c r="BP199" i="65"/>
  <c r="AO199" i="65"/>
  <c r="BA199" i="65"/>
  <c r="BH199" i="65"/>
  <c r="AP199" i="65"/>
  <c r="BC199" i="65"/>
  <c r="AN199" i="65"/>
  <c r="BL199" i="65"/>
  <c r="BI199" i="65"/>
  <c r="BS199" i="65"/>
  <c r="AQ199" i="65"/>
  <c r="BO199" i="65"/>
  <c r="BZ199" i="65"/>
  <c r="BQ199" i="65"/>
  <c r="AR199" i="65"/>
  <c r="AW199" i="65"/>
  <c r="Q199" i="65" l="1"/>
  <c r="AF199" i="65"/>
  <c r="AE199" i="65"/>
  <c r="AD199" i="65"/>
  <c r="AC199" i="65"/>
  <c r="R200" i="65"/>
  <c r="S200" i="65"/>
  <c r="T200" i="65"/>
  <c r="U200" i="65"/>
  <c r="V200" i="65"/>
  <c r="W200" i="65"/>
  <c r="X200" i="65"/>
  <c r="Y200" i="65"/>
  <c r="AG200" i="65"/>
  <c r="AI200" i="65"/>
  <c r="BB200" i="65"/>
  <c r="BA200" i="65"/>
  <c r="BE200" i="65"/>
  <c r="AP200" i="65"/>
  <c r="AU200" i="65"/>
  <c r="BP200" i="65"/>
  <c r="AN200" i="65"/>
  <c r="BQ200" i="65"/>
  <c r="BZ200" i="65"/>
  <c r="BN200" i="65"/>
  <c r="BC200" i="65"/>
  <c r="BU200" i="65"/>
  <c r="AQ200" i="65"/>
  <c r="AO200" i="65"/>
  <c r="AS200" i="65"/>
  <c r="BT200" i="65"/>
  <c r="BH200" i="65"/>
  <c r="AX200" i="65"/>
  <c r="BV200" i="65"/>
  <c r="AY200" i="65"/>
  <c r="BD200" i="65"/>
  <c r="BS200" i="65"/>
  <c r="BG200" i="65"/>
  <c r="BY200" i="65"/>
  <c r="BM200" i="65"/>
  <c r="BK200" i="65"/>
  <c r="AW200" i="65"/>
  <c r="BR200" i="65"/>
  <c r="AV200" i="65"/>
  <c r="BO200" i="65"/>
  <c r="AZ200" i="65"/>
  <c r="AR200" i="65"/>
  <c r="BI200" i="65"/>
  <c r="AT200" i="65"/>
  <c r="BJ200" i="65"/>
  <c r="BL200" i="65"/>
  <c r="BF200" i="65"/>
  <c r="Q200" i="65" l="1"/>
  <c r="AF200" i="65"/>
  <c r="AE200" i="65"/>
  <c r="AD200" i="65"/>
  <c r="AC200" i="65"/>
  <c r="D201" i="65"/>
  <c r="R201" i="65"/>
  <c r="S201" i="65"/>
  <c r="T201" i="65"/>
  <c r="U201" i="65"/>
  <c r="V201" i="65"/>
  <c r="W201" i="65"/>
  <c r="X201" i="65"/>
  <c r="Y201" i="65"/>
  <c r="AG201" i="65"/>
  <c r="AI201" i="65"/>
  <c r="AW201" i="65"/>
  <c r="BA201" i="65"/>
  <c r="AV201" i="65"/>
  <c r="BB201" i="65"/>
  <c r="AU201" i="65"/>
  <c r="AZ201" i="65"/>
  <c r="AQ201" i="65"/>
  <c r="AS201" i="65"/>
  <c r="BY201" i="65"/>
  <c r="BT201" i="65"/>
  <c r="AT201" i="65"/>
  <c r="BC201" i="65"/>
  <c r="BI201" i="65"/>
  <c r="BS201" i="65"/>
  <c r="AR201" i="65"/>
  <c r="BE201" i="65"/>
  <c r="BV201" i="65"/>
  <c r="BU201" i="65"/>
  <c r="BF201" i="65"/>
  <c r="BH201" i="65"/>
  <c r="AP201" i="65"/>
  <c r="BG201" i="65"/>
  <c r="AO201" i="65"/>
  <c r="BL201" i="65"/>
  <c r="BK201" i="65"/>
  <c r="BZ201" i="65"/>
  <c r="BO201" i="65"/>
  <c r="BJ201" i="65"/>
  <c r="AN201" i="65"/>
  <c r="AY201" i="65"/>
  <c r="BM201" i="65"/>
  <c r="BQ201" i="65"/>
  <c r="BP201" i="65"/>
  <c r="AX201" i="65"/>
  <c r="BN201" i="65"/>
  <c r="BR201" i="65"/>
  <c r="BD201" i="65"/>
  <c r="Q201" i="65" l="1"/>
  <c r="AF201" i="65"/>
  <c r="AE201" i="65"/>
  <c r="AD201" i="65"/>
  <c r="AC201" i="65"/>
  <c r="D202" i="65"/>
  <c r="R202" i="65"/>
  <c r="S202" i="65"/>
  <c r="T202" i="65"/>
  <c r="U202" i="65"/>
  <c r="V202" i="65"/>
  <c r="W202" i="65"/>
  <c r="X202" i="65"/>
  <c r="Y202" i="65"/>
  <c r="AG202" i="65"/>
  <c r="AI202" i="65"/>
  <c r="AQ202" i="65"/>
  <c r="AS202" i="65"/>
  <c r="BF202" i="65"/>
  <c r="BC202" i="65"/>
  <c r="BG202" i="65"/>
  <c r="AW202" i="65"/>
  <c r="BE202" i="65"/>
  <c r="AR202" i="65"/>
  <c r="BQ202" i="65"/>
  <c r="BH202" i="65"/>
  <c r="AT202" i="65"/>
  <c r="BI202" i="65"/>
  <c r="BV202" i="65"/>
  <c r="BP202" i="65"/>
  <c r="BD202" i="65"/>
  <c r="BZ202" i="65"/>
  <c r="AZ202" i="65"/>
  <c r="AY202" i="65"/>
  <c r="BO202" i="65"/>
  <c r="BN202" i="65"/>
  <c r="BJ202" i="65"/>
  <c r="AU202" i="65"/>
  <c r="BU202" i="65"/>
  <c r="BY202" i="65"/>
  <c r="BM202" i="65"/>
  <c r="BT202" i="65"/>
  <c r="BA202" i="65"/>
  <c r="AP202" i="65"/>
  <c r="AX202" i="65"/>
  <c r="BK202" i="65"/>
  <c r="BR202" i="65"/>
  <c r="AV202" i="65"/>
  <c r="AN202" i="65"/>
  <c r="BS202" i="65"/>
  <c r="BB202" i="65"/>
  <c r="AO202" i="65"/>
  <c r="BL202" i="65"/>
  <c r="Q202" i="65" l="1"/>
  <c r="AF202" i="65"/>
  <c r="AE202" i="65"/>
  <c r="AD202" i="65"/>
  <c r="AC202" i="65"/>
  <c r="R203" i="65"/>
  <c r="S203" i="65"/>
  <c r="T203" i="65"/>
  <c r="U203" i="65"/>
  <c r="V203" i="65"/>
  <c r="W203" i="65"/>
  <c r="X203" i="65"/>
  <c r="Y203" i="65"/>
  <c r="AG203" i="65"/>
  <c r="AI203" i="65"/>
  <c r="BK203" i="65"/>
  <c r="AO203" i="65"/>
  <c r="BL203" i="65"/>
  <c r="AX203" i="65"/>
  <c r="BF203" i="65"/>
  <c r="BO203" i="65"/>
  <c r="AY203" i="65"/>
  <c r="BA203" i="65"/>
  <c r="BU203" i="65"/>
  <c r="BB203" i="65"/>
  <c r="BR203" i="65"/>
  <c r="AW203" i="65"/>
  <c r="AR203" i="65"/>
  <c r="BV203" i="65"/>
  <c r="BT203" i="65"/>
  <c r="BH203" i="65"/>
  <c r="BY203" i="65"/>
  <c r="BM203" i="65"/>
  <c r="AT203" i="65"/>
  <c r="AP203" i="65"/>
  <c r="AQ203" i="65"/>
  <c r="AS203" i="65"/>
  <c r="AU203" i="65"/>
  <c r="BG203" i="65"/>
  <c r="AN203" i="65"/>
  <c r="AV203" i="65"/>
  <c r="BC203" i="65"/>
  <c r="BN203" i="65"/>
  <c r="BJ203" i="65"/>
  <c r="BP203" i="65"/>
  <c r="BS203" i="65"/>
  <c r="BE203" i="65"/>
  <c r="BQ203" i="65"/>
  <c r="BZ203" i="65"/>
  <c r="BD203" i="65"/>
  <c r="AZ203" i="65"/>
  <c r="BI203" i="65"/>
  <c r="Q203" i="65" l="1"/>
  <c r="AF203" i="65"/>
  <c r="AE203" i="65"/>
  <c r="AD203" i="65"/>
  <c r="AC203" i="65"/>
  <c r="D204" i="65"/>
  <c r="R204" i="65"/>
  <c r="S204" i="65"/>
  <c r="T204" i="65"/>
  <c r="U204" i="65"/>
  <c r="V204" i="65"/>
  <c r="W204" i="65"/>
  <c r="X204" i="65"/>
  <c r="Y204" i="65"/>
  <c r="AG204" i="65"/>
  <c r="AI204" i="65"/>
  <c r="BY204" i="65"/>
  <c r="BM204" i="65"/>
  <c r="AZ204" i="65"/>
  <c r="AR204" i="65"/>
  <c r="AQ204" i="65"/>
  <c r="AN204" i="65"/>
  <c r="AT204" i="65"/>
  <c r="AS204" i="65"/>
  <c r="BK204" i="65"/>
  <c r="BS204" i="65"/>
  <c r="BH204" i="65"/>
  <c r="AY204" i="65"/>
  <c r="BF204" i="65"/>
  <c r="AX204" i="65"/>
  <c r="AV204" i="65"/>
  <c r="BC204" i="65"/>
  <c r="BR204" i="65"/>
  <c r="BD204" i="65"/>
  <c r="BI204" i="65"/>
  <c r="AP204" i="65"/>
  <c r="BN204" i="65"/>
  <c r="BL204" i="65"/>
  <c r="BQ204" i="65"/>
  <c r="BV204" i="65"/>
  <c r="BU204" i="65"/>
  <c r="BO204" i="65"/>
  <c r="AU204" i="65"/>
  <c r="BE204" i="65"/>
  <c r="BZ204" i="65"/>
  <c r="BA204" i="65"/>
  <c r="BG204" i="65"/>
  <c r="BB204" i="65"/>
  <c r="AO204" i="65"/>
  <c r="BP204" i="65"/>
  <c r="AW204" i="65"/>
  <c r="BJ204" i="65"/>
  <c r="BT204" i="65"/>
  <c r="Q204" i="65" l="1"/>
  <c r="AF204" i="65"/>
  <c r="AE204" i="65"/>
  <c r="AD204" i="65"/>
  <c r="AC204" i="65"/>
  <c r="D205" i="65"/>
  <c r="R205" i="65"/>
  <c r="S205" i="65"/>
  <c r="T205" i="65"/>
  <c r="U205" i="65"/>
  <c r="V205" i="65"/>
  <c r="W205" i="65"/>
  <c r="X205" i="65"/>
  <c r="Y205" i="65"/>
  <c r="AG205" i="65"/>
  <c r="AI205" i="65"/>
  <c r="AT205" i="65"/>
  <c r="BH205" i="65"/>
  <c r="AX205" i="65"/>
  <c r="AZ205" i="65"/>
  <c r="AS205" i="65"/>
  <c r="BQ205" i="65"/>
  <c r="AN205" i="65"/>
  <c r="BC205" i="65"/>
  <c r="BL205" i="65"/>
  <c r="BM205" i="65"/>
  <c r="BG205" i="65"/>
  <c r="BY205" i="65"/>
  <c r="BR205" i="65"/>
  <c r="BP205" i="65"/>
  <c r="AQ205" i="65"/>
  <c r="AY205" i="65"/>
  <c r="BS205" i="65"/>
  <c r="AP205" i="65"/>
  <c r="AV205" i="65"/>
  <c r="BN205" i="65"/>
  <c r="BD205" i="65"/>
  <c r="BI205" i="65"/>
  <c r="BB205" i="65"/>
  <c r="BE205" i="65"/>
  <c r="BU205" i="65"/>
  <c r="BT205" i="65"/>
  <c r="AU205" i="65"/>
  <c r="BF205" i="65"/>
  <c r="AW205" i="65"/>
  <c r="AR205" i="65"/>
  <c r="BZ205" i="65"/>
  <c r="BJ205" i="65"/>
  <c r="BO205" i="65"/>
  <c r="AO205" i="65"/>
  <c r="BK205" i="65"/>
  <c r="BA205" i="65"/>
  <c r="BV205" i="65"/>
  <c r="Q205" i="65" l="1"/>
  <c r="AF205" i="65"/>
  <c r="AE205" i="65"/>
  <c r="AD205" i="65"/>
  <c r="AC205" i="65"/>
  <c r="D207" i="65" l="1"/>
  <c r="D208" i="65" l="1"/>
  <c r="D210" i="65" l="1"/>
  <c r="D211" i="65"/>
  <c r="AN96" i="65"/>
  <c r="AO96" i="65"/>
  <c r="AP96" i="65"/>
  <c r="AQ96" i="65"/>
  <c r="AR96" i="65"/>
  <c r="AS96" i="65"/>
  <c r="AT96" i="65"/>
  <c r="AU96" i="65"/>
  <c r="AV96" i="65"/>
  <c r="AW96" i="65"/>
  <c r="AX96" i="65"/>
  <c r="AZ96" i="65"/>
  <c r="BA96" i="65"/>
  <c r="BB96" i="65"/>
  <c r="AC97" i="65"/>
  <c r="AI97" i="65"/>
  <c r="BF97" i="65"/>
  <c r="BY97" i="65"/>
  <c r="BI97" i="65"/>
  <c r="BH97" i="65"/>
  <c r="AP97" i="65"/>
  <c r="AW97" i="65"/>
  <c r="BZ97" i="65"/>
  <c r="BJ97" i="65"/>
  <c r="BQ97" i="65"/>
  <c r="BU97" i="65"/>
  <c r="AX97" i="65"/>
  <c r="BL97" i="65"/>
  <c r="AY97" i="65"/>
  <c r="BC97" i="65"/>
  <c r="BB97" i="65"/>
  <c r="AR97" i="65"/>
  <c r="BD97" i="65"/>
  <c r="BP97" i="65"/>
  <c r="AU97" i="65"/>
  <c r="AN97" i="65"/>
  <c r="BN97" i="65"/>
  <c r="BG97" i="65"/>
  <c r="BK97" i="65"/>
  <c r="BV97" i="65"/>
  <c r="AS97" i="65"/>
  <c r="AZ97" i="65"/>
  <c r="AT97" i="65"/>
  <c r="AQ97" i="65"/>
  <c r="BT97" i="65"/>
  <c r="BR97" i="65"/>
  <c r="BE97" i="65"/>
  <c r="BS97" i="65"/>
  <c r="BO97" i="65"/>
  <c r="AO97" i="65"/>
  <c r="AV97" i="65"/>
  <c r="BA97" i="65"/>
  <c r="AG97" i="65" l="1"/>
  <c r="AD97" i="65"/>
  <c r="AF97" i="65"/>
  <c r="AB97" i="65"/>
  <c r="AE97" i="65"/>
  <c r="AH97" i="65"/>
  <c r="R99" i="65"/>
  <c r="S99" i="65"/>
  <c r="T99" i="65"/>
  <c r="U99" i="65"/>
  <c r="V99" i="65"/>
  <c r="W99" i="65"/>
  <c r="X99" i="65"/>
  <c r="Y99" i="65"/>
  <c r="AG99" i="65"/>
  <c r="AI99" i="65"/>
  <c r="R100" i="65"/>
  <c r="S100" i="65"/>
  <c r="T100" i="65"/>
  <c r="U100" i="65"/>
  <c r="V100" i="65"/>
  <c r="W100" i="65"/>
  <c r="X100" i="65"/>
  <c r="Y100" i="65"/>
  <c r="AG100" i="65"/>
  <c r="AI100" i="65"/>
  <c r="R101" i="65"/>
  <c r="S101" i="65"/>
  <c r="T101" i="65"/>
  <c r="U101" i="65"/>
  <c r="V101" i="65"/>
  <c r="W101" i="65"/>
  <c r="X101" i="65"/>
  <c r="Y101" i="65"/>
  <c r="AG101" i="65"/>
  <c r="AI101" i="65"/>
  <c r="R102" i="65"/>
  <c r="S102" i="65"/>
  <c r="T102" i="65"/>
  <c r="U102" i="65"/>
  <c r="V102" i="65"/>
  <c r="W102" i="65"/>
  <c r="X102" i="65"/>
  <c r="Y102" i="65"/>
  <c r="AG102" i="65"/>
  <c r="AI102" i="65"/>
  <c r="R103" i="65"/>
  <c r="S103" i="65"/>
  <c r="T103" i="65"/>
  <c r="U103" i="65"/>
  <c r="V103" i="65"/>
  <c r="W103" i="65"/>
  <c r="X103" i="65"/>
  <c r="Y103" i="65"/>
  <c r="AG103" i="65"/>
  <c r="AI103" i="65"/>
  <c r="R104" i="65"/>
  <c r="S104" i="65"/>
  <c r="T104" i="65"/>
  <c r="U104" i="65"/>
  <c r="V104" i="65"/>
  <c r="W104" i="65"/>
  <c r="X104" i="65"/>
  <c r="Y104" i="65"/>
  <c r="AG104" i="65"/>
  <c r="AI104" i="65"/>
  <c r="R105" i="65"/>
  <c r="S105" i="65"/>
  <c r="T105" i="65"/>
  <c r="U105" i="65"/>
  <c r="V105" i="65"/>
  <c r="W105" i="65"/>
  <c r="X105" i="65"/>
  <c r="Y105" i="65"/>
  <c r="AG105" i="65"/>
  <c r="AI105" i="65"/>
  <c r="R106" i="65"/>
  <c r="S106" i="65"/>
  <c r="T106" i="65"/>
  <c r="U106" i="65"/>
  <c r="V106" i="65"/>
  <c r="W106" i="65"/>
  <c r="X106" i="65"/>
  <c r="Y106" i="65"/>
  <c r="AG106" i="65"/>
  <c r="AI106" i="65"/>
  <c r="R107" i="65"/>
  <c r="S107" i="65"/>
  <c r="T107" i="65"/>
  <c r="U107" i="65"/>
  <c r="V107" i="65"/>
  <c r="W107" i="65"/>
  <c r="X107" i="65"/>
  <c r="Y107" i="65"/>
  <c r="AG107" i="65"/>
  <c r="AI107" i="65"/>
  <c r="R108" i="65"/>
  <c r="S108" i="65"/>
  <c r="T108" i="65"/>
  <c r="U108" i="65"/>
  <c r="V108" i="65"/>
  <c r="W108" i="65"/>
  <c r="X108" i="65"/>
  <c r="Y108" i="65"/>
  <c r="AG108" i="65"/>
  <c r="AI108" i="65"/>
  <c r="R109" i="65"/>
  <c r="S109" i="65"/>
  <c r="T109" i="65"/>
  <c r="U109" i="65"/>
  <c r="V109" i="65"/>
  <c r="W109" i="65"/>
  <c r="X109" i="65"/>
  <c r="Y109" i="65"/>
  <c r="AG109" i="65"/>
  <c r="AI109" i="65"/>
  <c r="R110" i="65"/>
  <c r="S110" i="65"/>
  <c r="T110" i="65"/>
  <c r="U110" i="65"/>
  <c r="V110" i="65"/>
  <c r="W110" i="65"/>
  <c r="X110" i="65"/>
  <c r="Y110" i="65"/>
  <c r="AG110" i="65"/>
  <c r="AI110" i="65"/>
  <c r="D111" i="65"/>
  <c r="R111" i="65"/>
  <c r="S111" i="65"/>
  <c r="T111" i="65"/>
  <c r="U111" i="65"/>
  <c r="V111" i="65"/>
  <c r="W111" i="65"/>
  <c r="X111" i="65"/>
  <c r="Y111" i="65"/>
  <c r="AG111" i="65"/>
  <c r="AI111" i="65"/>
  <c r="D112" i="65"/>
  <c r="R112" i="65"/>
  <c r="S112" i="65"/>
  <c r="T112" i="65"/>
  <c r="U112" i="65"/>
  <c r="V112" i="65"/>
  <c r="W112" i="65"/>
  <c r="X112" i="65"/>
  <c r="Y112" i="65"/>
  <c r="AG112" i="65"/>
  <c r="AI112" i="65"/>
  <c r="R113" i="65"/>
  <c r="S113" i="65"/>
  <c r="T113" i="65"/>
  <c r="U113" i="65"/>
  <c r="V113" i="65"/>
  <c r="W113" i="65"/>
  <c r="X113" i="65"/>
  <c r="Y113" i="65"/>
  <c r="AG113" i="65"/>
  <c r="AI113" i="65"/>
  <c r="D114" i="65"/>
  <c r="R114" i="65"/>
  <c r="S114" i="65"/>
  <c r="T114" i="65"/>
  <c r="U114" i="65"/>
  <c r="V114" i="65"/>
  <c r="W114" i="65"/>
  <c r="X114" i="65"/>
  <c r="Y114" i="65"/>
  <c r="AG114" i="65"/>
  <c r="AI114" i="65"/>
  <c r="D115" i="65"/>
  <c r="R115" i="65"/>
  <c r="S115" i="65"/>
  <c r="T115" i="65"/>
  <c r="U115" i="65"/>
  <c r="V115" i="65"/>
  <c r="W115" i="65"/>
  <c r="X115" i="65"/>
  <c r="Y115" i="65"/>
  <c r="AG115" i="65"/>
  <c r="AI115" i="65"/>
  <c r="R116" i="65"/>
  <c r="S116" i="65"/>
  <c r="T116" i="65"/>
  <c r="U116" i="65"/>
  <c r="V116" i="65"/>
  <c r="W116" i="65"/>
  <c r="X116" i="65"/>
  <c r="Y116" i="65"/>
  <c r="AG116" i="65"/>
  <c r="AI116" i="65"/>
  <c r="D117" i="65"/>
  <c r="R117" i="65"/>
  <c r="S117" i="65"/>
  <c r="T117" i="65"/>
  <c r="U117" i="65"/>
  <c r="V117" i="65"/>
  <c r="W117" i="65"/>
  <c r="X117" i="65"/>
  <c r="Y117" i="65"/>
  <c r="AG117" i="65"/>
  <c r="AI117" i="65"/>
  <c r="D118" i="65"/>
  <c r="R118" i="65"/>
  <c r="S118" i="65"/>
  <c r="T118" i="65"/>
  <c r="U118" i="65"/>
  <c r="V118" i="65"/>
  <c r="W118" i="65"/>
  <c r="X118" i="65"/>
  <c r="Y118" i="65"/>
  <c r="AG118" i="65"/>
  <c r="AI118" i="65"/>
  <c r="D120" i="65"/>
  <c r="D121" i="65"/>
  <c r="D123" i="65"/>
  <c r="D124" i="65"/>
  <c r="AN52" i="65"/>
  <c r="AO52" i="65"/>
  <c r="AP52" i="65"/>
  <c r="AQ52" i="65"/>
  <c r="AR52" i="65"/>
  <c r="AS52" i="65"/>
  <c r="AT52" i="65"/>
  <c r="AU52" i="65"/>
  <c r="AV52" i="65"/>
  <c r="AW52" i="65"/>
  <c r="AX52" i="65"/>
  <c r="AZ52" i="65"/>
  <c r="BA52" i="65"/>
  <c r="BB52" i="65"/>
  <c r="AC53" i="65"/>
  <c r="Q117" i="65" l="1"/>
  <c r="Q118" i="65"/>
  <c r="Q100" i="65"/>
  <c r="Q111" i="65"/>
  <c r="Q116" i="65"/>
  <c r="Q103" i="65"/>
  <c r="Q105" i="65"/>
  <c r="Q104" i="65"/>
  <c r="Q106" i="65"/>
  <c r="Q107" i="65"/>
  <c r="Q102" i="65"/>
  <c r="Q109" i="65"/>
  <c r="Q110" i="65"/>
  <c r="Q108" i="65"/>
  <c r="Q99" i="65"/>
  <c r="Q112" i="65"/>
  <c r="Q101" i="65"/>
  <c r="Q115" i="65"/>
  <c r="Q114" i="65"/>
  <c r="Q113" i="65"/>
  <c r="AA97" i="65"/>
  <c r="R55" i="65"/>
  <c r="S55" i="65"/>
  <c r="T55" i="65"/>
  <c r="U55" i="65"/>
  <c r="V55" i="65"/>
  <c r="W55" i="65"/>
  <c r="X55" i="65"/>
  <c r="Y55" i="65"/>
  <c r="AG55" i="65"/>
  <c r="AI55" i="65"/>
  <c r="R56" i="65"/>
  <c r="S56" i="65"/>
  <c r="T56" i="65"/>
  <c r="U56" i="65"/>
  <c r="V56" i="65"/>
  <c r="W56" i="65"/>
  <c r="X56" i="65"/>
  <c r="Y56" i="65"/>
  <c r="AG56" i="65"/>
  <c r="AI56" i="65"/>
  <c r="R57" i="65"/>
  <c r="S57" i="65"/>
  <c r="T57" i="65"/>
  <c r="U57" i="65"/>
  <c r="V57" i="65"/>
  <c r="W57" i="65"/>
  <c r="X57" i="65"/>
  <c r="Y57" i="65"/>
  <c r="AG57" i="65"/>
  <c r="AI57" i="65"/>
  <c r="R58" i="65"/>
  <c r="S58" i="65"/>
  <c r="T58" i="65"/>
  <c r="U58" i="65"/>
  <c r="V58" i="65"/>
  <c r="W58" i="65"/>
  <c r="X58" i="65"/>
  <c r="Y58" i="65"/>
  <c r="AG58" i="65"/>
  <c r="AI58" i="65"/>
  <c r="R59" i="65"/>
  <c r="S59" i="65"/>
  <c r="T59" i="65"/>
  <c r="U59" i="65"/>
  <c r="V59" i="65"/>
  <c r="W59" i="65"/>
  <c r="X59" i="65"/>
  <c r="Y59" i="65"/>
  <c r="AG59" i="65"/>
  <c r="AI59" i="65"/>
  <c r="R60" i="65"/>
  <c r="S60" i="65"/>
  <c r="T60" i="65"/>
  <c r="U60" i="65"/>
  <c r="V60" i="65"/>
  <c r="W60" i="65"/>
  <c r="X60" i="65"/>
  <c r="Y60" i="65"/>
  <c r="AG60" i="65"/>
  <c r="AI60" i="65"/>
  <c r="R61" i="65"/>
  <c r="S61" i="65"/>
  <c r="T61" i="65"/>
  <c r="U61" i="65"/>
  <c r="V61" i="65"/>
  <c r="W61" i="65"/>
  <c r="X61" i="65"/>
  <c r="Y61" i="65"/>
  <c r="AG61" i="65"/>
  <c r="AI61" i="65"/>
  <c r="R62" i="65"/>
  <c r="S62" i="65"/>
  <c r="T62" i="65"/>
  <c r="U62" i="65"/>
  <c r="V62" i="65"/>
  <c r="W62" i="65"/>
  <c r="X62" i="65"/>
  <c r="Y62" i="65"/>
  <c r="AG62" i="65"/>
  <c r="AI62" i="65"/>
  <c r="R63" i="65"/>
  <c r="S63" i="65"/>
  <c r="T63" i="65"/>
  <c r="U63" i="65"/>
  <c r="V63" i="65"/>
  <c r="W63" i="65"/>
  <c r="X63" i="65"/>
  <c r="Y63" i="65"/>
  <c r="AG63" i="65"/>
  <c r="AI63" i="65"/>
  <c r="R64" i="65"/>
  <c r="S64" i="65"/>
  <c r="T64" i="65"/>
  <c r="U64" i="65"/>
  <c r="V64" i="65"/>
  <c r="W64" i="65"/>
  <c r="X64" i="65"/>
  <c r="Y64" i="65"/>
  <c r="AG64" i="65"/>
  <c r="AI64" i="65"/>
  <c r="R65" i="65"/>
  <c r="S65" i="65"/>
  <c r="T65" i="65"/>
  <c r="U65" i="65"/>
  <c r="V65" i="65"/>
  <c r="W65" i="65"/>
  <c r="X65" i="65"/>
  <c r="Y65" i="65"/>
  <c r="AG65" i="65"/>
  <c r="AI65" i="65"/>
  <c r="R66" i="65"/>
  <c r="S66" i="65"/>
  <c r="T66" i="65"/>
  <c r="U66" i="65"/>
  <c r="V66" i="65"/>
  <c r="W66" i="65"/>
  <c r="X66" i="65"/>
  <c r="Y66" i="65"/>
  <c r="AG66" i="65"/>
  <c r="AI66" i="65"/>
  <c r="D67" i="65"/>
  <c r="R67" i="65"/>
  <c r="S67" i="65"/>
  <c r="T67" i="65"/>
  <c r="U67" i="65"/>
  <c r="V67" i="65"/>
  <c r="W67" i="65"/>
  <c r="X67" i="65"/>
  <c r="Y67" i="65"/>
  <c r="AG67" i="65"/>
  <c r="AI67" i="65"/>
  <c r="D68" i="65"/>
  <c r="R68" i="65"/>
  <c r="S68" i="65"/>
  <c r="T68" i="65"/>
  <c r="U68" i="65"/>
  <c r="V68" i="65"/>
  <c r="W68" i="65"/>
  <c r="X68" i="65"/>
  <c r="Y68" i="65"/>
  <c r="AG68" i="65"/>
  <c r="AI68" i="65"/>
  <c r="R69" i="65"/>
  <c r="S69" i="65"/>
  <c r="T69" i="65"/>
  <c r="U69" i="65"/>
  <c r="V69" i="65"/>
  <c r="W69" i="65"/>
  <c r="X69" i="65"/>
  <c r="Y69" i="65"/>
  <c r="AG69" i="65"/>
  <c r="AI69" i="65"/>
  <c r="D70" i="65"/>
  <c r="R70" i="65"/>
  <c r="S70" i="65"/>
  <c r="T70" i="65"/>
  <c r="U70" i="65"/>
  <c r="V70" i="65"/>
  <c r="W70" i="65"/>
  <c r="X70" i="65"/>
  <c r="Y70" i="65"/>
  <c r="AG70" i="65"/>
  <c r="AI70" i="65"/>
  <c r="D71" i="65"/>
  <c r="R71" i="65"/>
  <c r="S71" i="65"/>
  <c r="T71" i="65"/>
  <c r="U71" i="65"/>
  <c r="V71" i="65"/>
  <c r="W71" i="65"/>
  <c r="X71" i="65"/>
  <c r="Y71" i="65"/>
  <c r="AG71" i="65"/>
  <c r="AI71" i="65"/>
  <c r="R72" i="65"/>
  <c r="S72" i="65"/>
  <c r="T72" i="65"/>
  <c r="U72" i="65"/>
  <c r="V72" i="65"/>
  <c r="W72" i="65"/>
  <c r="X72" i="65"/>
  <c r="Y72" i="65"/>
  <c r="AG72" i="65"/>
  <c r="AI72" i="65"/>
  <c r="D73" i="65"/>
  <c r="R73" i="65"/>
  <c r="S73" i="65"/>
  <c r="T73" i="65"/>
  <c r="U73" i="65"/>
  <c r="V73" i="65"/>
  <c r="W73" i="65"/>
  <c r="X73" i="65"/>
  <c r="Y73" i="65"/>
  <c r="AG73" i="65"/>
  <c r="AI73" i="65"/>
  <c r="D74" i="65"/>
  <c r="R74" i="65"/>
  <c r="S74" i="65"/>
  <c r="T74" i="65"/>
  <c r="U74" i="65"/>
  <c r="V74" i="65"/>
  <c r="W74" i="65"/>
  <c r="X74" i="65"/>
  <c r="Y74" i="65"/>
  <c r="AG74" i="65"/>
  <c r="AI74" i="65"/>
  <c r="D76" i="65"/>
  <c r="D77" i="65"/>
  <c r="D79" i="65"/>
  <c r="D80" i="65"/>
  <c r="AP221" i="64"/>
  <c r="AQ221" i="64"/>
  <c r="AR221" i="64"/>
  <c r="AS221" i="64"/>
  <c r="AT221" i="64"/>
  <c r="AU221" i="64"/>
  <c r="AV221" i="64"/>
  <c r="AW221" i="64"/>
  <c r="AX221" i="64"/>
  <c r="AY221" i="64"/>
  <c r="AZ221" i="64"/>
  <c r="BA221" i="64"/>
  <c r="BB221" i="64"/>
  <c r="BC221" i="64"/>
  <c r="BD221" i="64"/>
  <c r="Z222" i="64"/>
  <c r="Q62" i="65" l="1"/>
  <c r="Q57" i="65"/>
  <c r="Q64" i="65"/>
  <c r="Q66" i="65"/>
  <c r="Q65" i="65"/>
  <c r="Q63" i="65"/>
  <c r="Q69" i="65"/>
  <c r="Q68" i="65"/>
  <c r="Q67" i="65"/>
  <c r="Q58" i="65"/>
  <c r="Q74" i="65"/>
  <c r="Q71" i="65"/>
  <c r="Q70" i="65"/>
  <c r="Q72" i="65"/>
  <c r="Q73" i="65"/>
  <c r="Q55" i="65"/>
  <c r="Q59" i="65"/>
  <c r="Q56" i="65"/>
  <c r="Q61" i="65"/>
  <c r="Q60" i="65"/>
  <c r="R224" i="64"/>
  <c r="S224" i="64"/>
  <c r="T224" i="64"/>
  <c r="U224" i="64"/>
  <c r="V224" i="64"/>
  <c r="W224" i="64"/>
  <c r="X224" i="64"/>
  <c r="AH224" i="64"/>
  <c r="R225" i="64"/>
  <c r="S225" i="64"/>
  <c r="T225" i="64"/>
  <c r="U225" i="64"/>
  <c r="V225" i="64"/>
  <c r="W225" i="64"/>
  <c r="X225" i="64"/>
  <c r="AH225" i="64"/>
  <c r="R226" i="64"/>
  <c r="S226" i="64"/>
  <c r="T226" i="64"/>
  <c r="U226" i="64"/>
  <c r="V226" i="64"/>
  <c r="W226" i="64"/>
  <c r="X226" i="64"/>
  <c r="AH226" i="64"/>
  <c r="R227" i="64"/>
  <c r="S227" i="64"/>
  <c r="T227" i="64"/>
  <c r="U227" i="64"/>
  <c r="V227" i="64"/>
  <c r="W227" i="64"/>
  <c r="X227" i="64"/>
  <c r="AH227" i="64"/>
  <c r="R228" i="64"/>
  <c r="S228" i="64"/>
  <c r="T228" i="64"/>
  <c r="U228" i="64"/>
  <c r="V228" i="64"/>
  <c r="W228" i="64"/>
  <c r="X228" i="64"/>
  <c r="AH228" i="64"/>
  <c r="R229" i="64"/>
  <c r="S229" i="64"/>
  <c r="T229" i="64"/>
  <c r="U229" i="64"/>
  <c r="V229" i="64"/>
  <c r="W229" i="64"/>
  <c r="X229" i="64"/>
  <c r="AH229" i="64"/>
  <c r="R230" i="64"/>
  <c r="S230" i="64"/>
  <c r="T230" i="64"/>
  <c r="U230" i="64"/>
  <c r="V230" i="64"/>
  <c r="W230" i="64"/>
  <c r="X230" i="64"/>
  <c r="AH230" i="64"/>
  <c r="R231" i="64"/>
  <c r="S231" i="64"/>
  <c r="T231" i="64"/>
  <c r="U231" i="64"/>
  <c r="V231" i="64"/>
  <c r="W231" i="64"/>
  <c r="X231" i="64"/>
  <c r="AH231" i="64"/>
  <c r="Q226" i="64" l="1"/>
  <c r="Q231" i="64"/>
  <c r="Q224" i="64"/>
  <c r="Q225" i="64"/>
  <c r="Q227" i="64"/>
  <c r="Q230" i="64"/>
  <c r="Q229" i="64"/>
  <c r="Q228" i="64"/>
  <c r="R232" i="64"/>
  <c r="S232" i="64"/>
  <c r="T232" i="64"/>
  <c r="U232" i="64"/>
  <c r="V232" i="64"/>
  <c r="W232" i="64"/>
  <c r="X232" i="64"/>
  <c r="AH232" i="64"/>
  <c r="R233" i="64"/>
  <c r="S233" i="64"/>
  <c r="T233" i="64"/>
  <c r="U233" i="64"/>
  <c r="V233" i="64"/>
  <c r="W233" i="64"/>
  <c r="X233" i="64"/>
  <c r="AH233" i="64"/>
  <c r="Q232" i="64" l="1"/>
  <c r="Q233" i="64"/>
  <c r="D241" i="64" l="1"/>
  <c r="D242" i="64"/>
  <c r="D244" i="64"/>
  <c r="D245" i="64"/>
  <c r="D247" i="64"/>
  <c r="D248" i="64"/>
  <c r="AP263" i="64"/>
  <c r="AQ263" i="64"/>
  <c r="AR263" i="64"/>
  <c r="AS263" i="64"/>
  <c r="AT263" i="64"/>
  <c r="AU263" i="64"/>
  <c r="AV263" i="64"/>
  <c r="AW263" i="64"/>
  <c r="AX263" i="64"/>
  <c r="AY263" i="64"/>
  <c r="AZ263" i="64"/>
  <c r="BA263" i="64"/>
  <c r="BB263" i="64"/>
  <c r="BC263" i="64"/>
  <c r="BD263" i="64"/>
  <c r="Z264" i="64"/>
  <c r="R266" i="64" l="1"/>
  <c r="S266" i="64"/>
  <c r="T266" i="64"/>
  <c r="U266" i="64"/>
  <c r="V266" i="64"/>
  <c r="W266" i="64"/>
  <c r="X266" i="64"/>
  <c r="AH266" i="64"/>
  <c r="Q266" i="64" l="1"/>
  <c r="R267" i="64"/>
  <c r="S267" i="64"/>
  <c r="T267" i="64"/>
  <c r="U267" i="64"/>
  <c r="V267" i="64"/>
  <c r="W267" i="64"/>
  <c r="X267" i="64"/>
  <c r="AH267" i="64"/>
  <c r="Q267" i="64" l="1"/>
  <c r="R268" i="64"/>
  <c r="S268" i="64"/>
  <c r="T268" i="64"/>
  <c r="U268" i="64"/>
  <c r="V268" i="64"/>
  <c r="W268" i="64"/>
  <c r="X268" i="64"/>
  <c r="AH268" i="64"/>
  <c r="Q268" i="64" l="1"/>
  <c r="R269" i="64"/>
  <c r="S269" i="64"/>
  <c r="T269" i="64"/>
  <c r="U269" i="64"/>
  <c r="V269" i="64"/>
  <c r="W269" i="64"/>
  <c r="X269" i="64"/>
  <c r="AH269" i="64"/>
  <c r="Q269" i="64" l="1"/>
  <c r="R270" i="64"/>
  <c r="S270" i="64"/>
  <c r="T270" i="64"/>
  <c r="U270" i="64"/>
  <c r="V270" i="64"/>
  <c r="W270" i="64"/>
  <c r="X270" i="64"/>
  <c r="AH270" i="64"/>
  <c r="Q270" i="64" l="1"/>
  <c r="R271" i="64"/>
  <c r="S271" i="64"/>
  <c r="T271" i="64"/>
  <c r="U271" i="64"/>
  <c r="V271" i="64"/>
  <c r="W271" i="64"/>
  <c r="X271" i="64"/>
  <c r="AH271" i="64"/>
  <c r="Q271" i="64" l="1"/>
  <c r="R272" i="64"/>
  <c r="S272" i="64"/>
  <c r="T272" i="64"/>
  <c r="U272" i="64"/>
  <c r="V272" i="64"/>
  <c r="W272" i="64"/>
  <c r="X272" i="64"/>
  <c r="AH272" i="64"/>
  <c r="Q272" i="64" l="1"/>
  <c r="R273" i="64"/>
  <c r="S273" i="64"/>
  <c r="T273" i="64"/>
  <c r="U273" i="64"/>
  <c r="V273" i="64"/>
  <c r="W273" i="64"/>
  <c r="X273" i="64"/>
  <c r="AH273" i="64"/>
  <c r="Q273" i="64" l="1"/>
  <c r="R274" i="64"/>
  <c r="S274" i="64"/>
  <c r="T274" i="64"/>
  <c r="U274" i="64"/>
  <c r="V274" i="64"/>
  <c r="W274" i="64"/>
  <c r="X274" i="64"/>
  <c r="AH274" i="64"/>
  <c r="Q274" i="64" l="1"/>
  <c r="R275" i="64"/>
  <c r="S275" i="64"/>
  <c r="T275" i="64"/>
  <c r="U275" i="64"/>
  <c r="V275" i="64"/>
  <c r="W275" i="64"/>
  <c r="X275" i="64"/>
  <c r="AH275" i="64"/>
  <c r="Q275" i="64" l="1"/>
  <c r="D283" i="64" l="1"/>
  <c r="D284" i="64"/>
  <c r="D286" i="64"/>
  <c r="D287" i="64"/>
  <c r="D289" i="64"/>
  <c r="D290" i="64"/>
  <c r="AP306" i="64"/>
  <c r="AQ306" i="64"/>
  <c r="AR306" i="64"/>
  <c r="AS306" i="64"/>
  <c r="AT306" i="64"/>
  <c r="AU306" i="64"/>
  <c r="AV306" i="64"/>
  <c r="AW306" i="64"/>
  <c r="AX306" i="64"/>
  <c r="AY306" i="64"/>
  <c r="AZ306" i="64"/>
  <c r="BA306" i="64"/>
  <c r="BB306" i="64"/>
  <c r="BC306" i="64"/>
  <c r="BD306" i="64"/>
  <c r="Z307" i="64"/>
  <c r="AB72" i="65" l="1"/>
  <c r="AB57" i="65"/>
  <c r="AB56" i="65"/>
  <c r="AB74" i="65"/>
  <c r="AB60" i="65"/>
  <c r="AB59" i="65"/>
  <c r="AB64" i="65"/>
  <c r="AB55" i="65"/>
  <c r="AI53" i="65"/>
  <c r="AB62" i="65"/>
  <c r="AB71" i="65"/>
  <c r="AB61" i="65"/>
  <c r="AB67" i="65"/>
  <c r="AB73" i="65"/>
  <c r="AB65" i="65"/>
  <c r="AB70" i="65"/>
  <c r="AB69" i="65"/>
  <c r="AB63" i="65"/>
  <c r="AB68" i="65"/>
  <c r="AB66" i="65"/>
  <c r="AB58" i="65"/>
  <c r="R309" i="64"/>
  <c r="S309" i="64"/>
  <c r="T309" i="64"/>
  <c r="U309" i="64"/>
  <c r="V309" i="64"/>
  <c r="W309" i="64"/>
  <c r="X309" i="64"/>
  <c r="AH309" i="64"/>
  <c r="Q309" i="64" l="1"/>
  <c r="R310" i="64"/>
  <c r="S310" i="64"/>
  <c r="T310" i="64"/>
  <c r="U310" i="64"/>
  <c r="V310" i="64"/>
  <c r="W310" i="64"/>
  <c r="X310" i="64"/>
  <c r="AH310" i="64"/>
  <c r="Q310" i="64" l="1"/>
  <c r="R311" i="64"/>
  <c r="S311" i="64"/>
  <c r="T311" i="64"/>
  <c r="U311" i="64"/>
  <c r="V311" i="64"/>
  <c r="W311" i="64"/>
  <c r="X311" i="64"/>
  <c r="AH311" i="64"/>
  <c r="Q311" i="64" l="1"/>
  <c r="R312" i="64"/>
  <c r="S312" i="64"/>
  <c r="T312" i="64"/>
  <c r="U312" i="64"/>
  <c r="V312" i="64"/>
  <c r="W312" i="64"/>
  <c r="X312" i="64"/>
  <c r="AH312" i="64"/>
  <c r="Q312" i="64" l="1"/>
  <c r="R313" i="64"/>
  <c r="S313" i="64"/>
  <c r="T313" i="64"/>
  <c r="U313" i="64"/>
  <c r="V313" i="64"/>
  <c r="W313" i="64"/>
  <c r="X313" i="64"/>
  <c r="AH313" i="64"/>
  <c r="Q313" i="64" l="1"/>
  <c r="R314" i="64"/>
  <c r="S314" i="64"/>
  <c r="T314" i="64"/>
  <c r="U314" i="64"/>
  <c r="V314" i="64"/>
  <c r="W314" i="64"/>
  <c r="X314" i="64"/>
  <c r="AH314" i="64"/>
  <c r="Q314" i="64" l="1"/>
  <c r="R315" i="64"/>
  <c r="S315" i="64"/>
  <c r="T315" i="64"/>
  <c r="U315" i="64"/>
  <c r="V315" i="64"/>
  <c r="W315" i="64"/>
  <c r="X315" i="64"/>
  <c r="AH315" i="64"/>
  <c r="AF72" i="65" l="1"/>
  <c r="AD57" i="65"/>
  <c r="AD106" i="65"/>
  <c r="AE116" i="65"/>
  <c r="AF103" i="65"/>
  <c r="AD101" i="65"/>
  <c r="AC74" i="65"/>
  <c r="AC73" i="65"/>
  <c r="AB53" i="65"/>
  <c r="AE59" i="65"/>
  <c r="AE55" i="65"/>
  <c r="AC117" i="65"/>
  <c r="AH53" i="65"/>
  <c r="AD58" i="65"/>
  <c r="AC59" i="65"/>
  <c r="AF115" i="65"/>
  <c r="AF55" i="65"/>
  <c r="AC68" i="65"/>
  <c r="AC66" i="65"/>
  <c r="AE53" i="65"/>
  <c r="AD70" i="65"/>
  <c r="AD107" i="65"/>
  <c r="AC64" i="65"/>
  <c r="AD55" i="65"/>
  <c r="AD61" i="65"/>
  <c r="AF105" i="65"/>
  <c r="AE113" i="65"/>
  <c r="AD104" i="65"/>
  <c r="AD72" i="65"/>
  <c r="AD108" i="65"/>
  <c r="AE74" i="65"/>
  <c r="AF56" i="65"/>
  <c r="AD53" i="65"/>
  <c r="AC105" i="65"/>
  <c r="AC63" i="65"/>
  <c r="AF110" i="65"/>
  <c r="AD64" i="65"/>
  <c r="AF64" i="65"/>
  <c r="AE69" i="65"/>
  <c r="AD115" i="65"/>
  <c r="AC100" i="65"/>
  <c r="AF116" i="65"/>
  <c r="AF100" i="65"/>
  <c r="AC103" i="65"/>
  <c r="AF118" i="65"/>
  <c r="AD110" i="65"/>
  <c r="AF109" i="65"/>
  <c r="AD71" i="65"/>
  <c r="AF71" i="65"/>
  <c r="AE66" i="65"/>
  <c r="AE118" i="65"/>
  <c r="AF99" i="65"/>
  <c r="AE72" i="65"/>
  <c r="AE100" i="65"/>
  <c r="AC107" i="65"/>
  <c r="AE62" i="65"/>
  <c r="AC58" i="65"/>
  <c r="AC99" i="65"/>
  <c r="AF101" i="65"/>
  <c r="AF104" i="65"/>
  <c r="AE117" i="65"/>
  <c r="AF57" i="65"/>
  <c r="AD59" i="65"/>
  <c r="AD56" i="65"/>
  <c r="AC70" i="65"/>
  <c r="AE107" i="65"/>
  <c r="AG53" i="65"/>
  <c r="AF61" i="65"/>
  <c r="AE70" i="65"/>
  <c r="AC65" i="65"/>
  <c r="AE106" i="65"/>
  <c r="AC104" i="65"/>
  <c r="AC56" i="65"/>
  <c r="AD118" i="65"/>
  <c r="AE111" i="65"/>
  <c r="AC111" i="65"/>
  <c r="AE99" i="65"/>
  <c r="AD62" i="65"/>
  <c r="AD103" i="65"/>
  <c r="AD111" i="65"/>
  <c r="AD69" i="65"/>
  <c r="AC55" i="65"/>
  <c r="AE60" i="65"/>
  <c r="AD109" i="65"/>
  <c r="AD65" i="65"/>
  <c r="AD114" i="65"/>
  <c r="AF62" i="65"/>
  <c r="AF53" i="65"/>
  <c r="AC71" i="65"/>
  <c r="AD67" i="65"/>
  <c r="AE68" i="65"/>
  <c r="AF114" i="65"/>
  <c r="AC57" i="65"/>
  <c r="AD63" i="65"/>
  <c r="AE63" i="65"/>
  <c r="AC106" i="65"/>
  <c r="AD116" i="65"/>
  <c r="AF111" i="65"/>
  <c r="AD117" i="65"/>
  <c r="AE65" i="65"/>
  <c r="AC69" i="65"/>
  <c r="AF74" i="65"/>
  <c r="AE67" i="65"/>
  <c r="AE61" i="65"/>
  <c r="AC110" i="65"/>
  <c r="AC61" i="65"/>
  <c r="AC116" i="65"/>
  <c r="AF106" i="65"/>
  <c r="AC62" i="65"/>
  <c r="AF60" i="65"/>
  <c r="AD99" i="65"/>
  <c r="AD60" i="65"/>
  <c r="AF117" i="65"/>
  <c r="AE101" i="65"/>
  <c r="AE71" i="65"/>
  <c r="AE112" i="65"/>
  <c r="AF102" i="65"/>
  <c r="AD74" i="65"/>
  <c r="AD105" i="65"/>
  <c r="AF69" i="65"/>
  <c r="AC118" i="65"/>
  <c r="AE115" i="65"/>
  <c r="AF65" i="65"/>
  <c r="AE114" i="65"/>
  <c r="AC67" i="65"/>
  <c r="AC72" i="65"/>
  <c r="AD100" i="65"/>
  <c r="AF63" i="65"/>
  <c r="AE73" i="65"/>
  <c r="AD68" i="65"/>
  <c r="AE104" i="65"/>
  <c r="AE108" i="65"/>
  <c r="AF70" i="65"/>
  <c r="AF58" i="65"/>
  <c r="AE102" i="65"/>
  <c r="AC115" i="65"/>
  <c r="AE57" i="65"/>
  <c r="AE64" i="65"/>
  <c r="AF108" i="65"/>
  <c r="AF59" i="65"/>
  <c r="AF73" i="65"/>
  <c r="AC112" i="65"/>
  <c r="AF66" i="65"/>
  <c r="AF113" i="65"/>
  <c r="AD73" i="65"/>
  <c r="AE110" i="65"/>
  <c r="AC108" i="65"/>
  <c r="AC113" i="65"/>
  <c r="AD66" i="65"/>
  <c r="AC102" i="65"/>
  <c r="AE58" i="65"/>
  <c r="AC101" i="65"/>
  <c r="AD112" i="65"/>
  <c r="AE105" i="65"/>
  <c r="AD113" i="65"/>
  <c r="AE56" i="65"/>
  <c r="AE109" i="65"/>
  <c r="AF107" i="65"/>
  <c r="AC109" i="65"/>
  <c r="AF67" i="65"/>
  <c r="AC60" i="65"/>
  <c r="AD102" i="65"/>
  <c r="AF112" i="65"/>
  <c r="AE103" i="65"/>
  <c r="AF68" i="65"/>
  <c r="AC114" i="65"/>
  <c r="Q315" i="64"/>
  <c r="R316" i="64"/>
  <c r="S316" i="64"/>
  <c r="T316" i="64"/>
  <c r="U316" i="64"/>
  <c r="V316" i="64"/>
  <c r="W316" i="64"/>
  <c r="X316" i="64"/>
  <c r="AH316" i="64"/>
  <c r="AA313" i="64" l="1"/>
  <c r="AE313" i="64"/>
  <c r="AC310" i="64"/>
  <c r="AC314" i="64"/>
  <c r="AG313" i="64"/>
  <c r="AC315" i="64"/>
  <c r="AD226" i="64"/>
  <c r="AB267" i="64"/>
  <c r="AB315" i="64"/>
  <c r="AE315" i="64"/>
  <c r="AD225" i="64"/>
  <c r="AD312" i="64"/>
  <c r="AF310" i="64"/>
  <c r="AF314" i="64"/>
  <c r="AF270" i="64"/>
  <c r="AD314" i="64"/>
  <c r="AC232" i="64"/>
  <c r="AG311" i="64"/>
  <c r="AC229" i="64"/>
  <c r="AE230" i="64"/>
  <c r="AE274" i="64"/>
  <c r="AE311" i="64"/>
  <c r="AB312" i="64"/>
  <c r="AB272" i="64"/>
  <c r="AE268" i="64"/>
  <c r="AD270" i="64"/>
  <c r="AF227" i="64"/>
  <c r="AB227" i="64"/>
  <c r="AE227" i="64"/>
  <c r="AA314" i="64"/>
  <c r="AF274" i="64"/>
  <c r="AB313" i="64"/>
  <c r="AI309" i="64"/>
  <c r="AF273" i="64"/>
  <c r="AI267" i="64"/>
  <c r="AA315" i="64"/>
  <c r="AB226" i="64"/>
  <c r="AI314" i="64"/>
  <c r="AD233" i="64"/>
  <c r="AI315" i="64"/>
  <c r="AA231" i="64"/>
  <c r="AF313" i="64"/>
  <c r="AD315" i="64"/>
  <c r="AC225" i="64"/>
  <c r="AG227" i="64"/>
  <c r="AF271" i="64"/>
  <c r="AD266" i="64"/>
  <c r="AD228" i="64"/>
  <c r="AF230" i="64"/>
  <c r="AA271" i="64"/>
  <c r="AG315" i="64"/>
  <c r="AG271" i="64"/>
  <c r="AC312" i="64"/>
  <c r="AI271" i="64"/>
  <c r="AE314" i="64"/>
  <c r="AC311" i="64"/>
  <c r="AB231" i="64"/>
  <c r="AD313" i="64"/>
  <c r="AB275" i="64"/>
  <c r="AC275" i="64"/>
  <c r="AA225" i="64"/>
  <c r="AG275" i="64"/>
  <c r="AD268" i="64"/>
  <c r="AB230" i="64"/>
  <c r="AA275" i="64"/>
  <c r="AD224" i="64"/>
  <c r="AF275" i="64"/>
  <c r="AI268" i="64"/>
  <c r="AG312" i="64"/>
  <c r="AI270" i="64"/>
  <c r="AI311" i="64"/>
  <c r="AB229" i="64"/>
  <c r="AF225" i="64"/>
  <c r="AD310" i="64"/>
  <c r="AI310" i="64"/>
  <c r="AF315" i="64"/>
  <c r="AG231" i="64"/>
  <c r="AA310" i="64"/>
  <c r="AA270" i="64"/>
  <c r="AC313" i="64"/>
  <c r="AI275" i="64"/>
  <c r="AF267" i="64"/>
  <c r="AC273" i="64"/>
  <c r="AE224" i="64"/>
  <c r="AF233" i="64"/>
  <c r="AI232" i="64"/>
  <c r="AC227" i="64"/>
  <c r="AD230" i="64"/>
  <c r="AG268" i="64"/>
  <c r="AB274" i="64"/>
  <c r="AE225" i="64"/>
  <c r="AI266" i="64"/>
  <c r="AE229" i="64"/>
  <c r="AA272" i="64"/>
  <c r="AF311" i="64"/>
  <c r="AE269" i="64"/>
  <c r="AF268" i="64"/>
  <c r="AI313" i="64"/>
  <c r="AG233" i="64"/>
  <c r="AA268" i="64"/>
  <c r="AE312" i="64"/>
  <c r="AB309" i="64"/>
  <c r="AI312" i="64"/>
  <c r="AD231" i="64"/>
  <c r="AC309" i="64"/>
  <c r="AG225" i="64"/>
  <c r="AC271" i="64"/>
  <c r="AA230" i="64"/>
  <c r="AI233" i="64"/>
  <c r="AI226" i="64"/>
  <c r="AD271" i="64"/>
  <c r="AA267" i="64"/>
  <c r="AI227" i="64"/>
  <c r="AD227" i="64"/>
  <c r="AG228" i="64"/>
  <c r="AD272" i="64"/>
  <c r="AI273" i="64"/>
  <c r="AA309" i="64"/>
  <c r="AA229" i="64"/>
  <c r="AE231" i="64"/>
  <c r="AD275" i="64"/>
  <c r="AE309" i="64"/>
  <c r="AB233" i="64"/>
  <c r="AE310" i="64"/>
  <c r="AB232" i="64"/>
  <c r="AG310" i="64"/>
  <c r="AC272" i="64"/>
  <c r="AG273" i="64"/>
  <c r="AA224" i="64"/>
  <c r="AC228" i="64"/>
  <c r="AA312" i="64"/>
  <c r="AE267" i="64"/>
  <c r="AB228" i="64"/>
  <c r="AA311" i="64"/>
  <c r="AB224" i="64"/>
  <c r="AA266" i="64"/>
  <c r="AC224" i="64"/>
  <c r="AC274" i="64"/>
  <c r="AB225" i="64"/>
  <c r="AI229" i="64"/>
  <c r="AB314" i="64"/>
  <c r="AG314" i="64"/>
  <c r="AA274" i="64"/>
  <c r="AE271" i="64"/>
  <c r="AI231" i="64"/>
  <c r="AA269" i="64"/>
  <c r="AE270" i="64"/>
  <c r="AC268" i="64"/>
  <c r="AC230" i="64"/>
  <c r="AD309" i="64"/>
  <c r="AB269" i="64"/>
  <c r="AA233" i="64"/>
  <c r="AF272" i="64"/>
  <c r="AE228" i="64"/>
  <c r="AA232" i="64"/>
  <c r="AE232" i="64"/>
  <c r="AI274" i="64"/>
  <c r="AB266" i="64"/>
  <c r="AG270" i="64"/>
  <c r="AE266" i="64"/>
  <c r="AA228" i="64"/>
  <c r="AF229" i="64"/>
  <c r="AF309" i="64"/>
  <c r="AF266" i="64"/>
  <c r="AD269" i="64"/>
  <c r="AD267" i="64"/>
  <c r="AC233" i="64"/>
  <c r="AD274" i="64"/>
  <c r="AG269" i="64"/>
  <c r="AI272" i="64"/>
  <c r="AI230" i="64"/>
  <c r="AD273" i="64"/>
  <c r="AB273" i="64"/>
  <c r="AD232" i="64"/>
  <c r="AB311" i="64"/>
  <c r="AD311" i="64"/>
  <c r="AA226" i="64"/>
  <c r="AA227" i="64"/>
  <c r="AG229" i="64"/>
  <c r="AF269" i="64"/>
  <c r="AB271" i="64"/>
  <c r="AC267" i="64"/>
  <c r="AG232" i="64"/>
  <c r="AE233" i="64"/>
  <c r="AB310" i="64"/>
  <c r="AG272" i="64"/>
  <c r="AG224" i="64"/>
  <c r="AF226" i="64"/>
  <c r="AG309" i="64"/>
  <c r="AI269" i="64"/>
  <c r="AG266" i="64"/>
  <c r="AC226" i="64"/>
  <c r="AE275" i="64"/>
  <c r="AI225" i="64"/>
  <c r="AB268" i="64"/>
  <c r="AE273" i="64"/>
  <c r="AF224" i="64"/>
  <c r="AC231" i="64"/>
  <c r="AD229" i="64"/>
  <c r="AE226" i="64"/>
  <c r="AF312" i="64"/>
  <c r="AG267" i="64"/>
  <c r="AC266" i="64"/>
  <c r="AB270" i="64"/>
  <c r="AF228" i="64"/>
  <c r="AF231" i="64"/>
  <c r="AI224" i="64"/>
  <c r="AG274" i="64"/>
  <c r="AG226" i="64"/>
  <c r="AF232" i="64"/>
  <c r="AA273" i="64"/>
  <c r="AI228" i="64"/>
  <c r="AG230" i="64"/>
  <c r="AC269" i="64"/>
  <c r="AC270" i="64"/>
  <c r="AE272" i="64"/>
  <c r="AB316" i="64"/>
  <c r="AA316" i="64"/>
  <c r="AA53" i="65"/>
  <c r="Q316" i="64"/>
  <c r="AI316" i="64"/>
  <c r="AG316" i="64"/>
  <c r="AF316" i="64"/>
  <c r="AE316" i="64"/>
  <c r="AD316" i="64"/>
  <c r="AC316" i="64"/>
  <c r="R317" i="64"/>
  <c r="S317" i="64"/>
  <c r="T317" i="64"/>
  <c r="U317" i="64"/>
  <c r="V317" i="64"/>
  <c r="W317" i="64"/>
  <c r="X317" i="64"/>
  <c r="AH317" i="64"/>
  <c r="Z273" i="64" l="1"/>
  <c r="Z272" i="64"/>
  <c r="Z269" i="64"/>
  <c r="Z266" i="64"/>
  <c r="Z233" i="64"/>
  <c r="Z310" i="64"/>
  <c r="Z229" i="64"/>
  <c r="Z315" i="64"/>
  <c r="Z275" i="64"/>
  <c r="Z270" i="64"/>
  <c r="Z230" i="64"/>
  <c r="Z225" i="64"/>
  <c r="Z268" i="64"/>
  <c r="Z271" i="64"/>
  <c r="Z314" i="64"/>
  <c r="Z228" i="64"/>
  <c r="Z227" i="64"/>
  <c r="Z226" i="64"/>
  <c r="Z267" i="64"/>
  <c r="Z313" i="64"/>
  <c r="Z309" i="64"/>
  <c r="Z274" i="64"/>
  <c r="Z231" i="64"/>
  <c r="Z312" i="64"/>
  <c r="Z232" i="64"/>
  <c r="Z311" i="64"/>
  <c r="Z224" i="64"/>
  <c r="AA317" i="64"/>
  <c r="AB317" i="64"/>
  <c r="Q317" i="64"/>
  <c r="Z316" i="64"/>
  <c r="AI317" i="64"/>
  <c r="AG317" i="64"/>
  <c r="AF317" i="64"/>
  <c r="AE317" i="64"/>
  <c r="AD317" i="64"/>
  <c r="AC317" i="64"/>
  <c r="R318" i="64"/>
  <c r="S318" i="64"/>
  <c r="T318" i="64"/>
  <c r="U318" i="64"/>
  <c r="V318" i="64"/>
  <c r="W318" i="64"/>
  <c r="X318" i="64"/>
  <c r="AH318" i="64"/>
  <c r="AB318" i="64" l="1"/>
  <c r="AA318" i="64"/>
  <c r="Q318" i="64"/>
  <c r="Z317" i="64"/>
  <c r="AI318" i="64"/>
  <c r="AG318" i="64"/>
  <c r="AF318" i="64"/>
  <c r="AE318" i="64"/>
  <c r="AD318" i="64"/>
  <c r="AC318" i="64"/>
  <c r="Z318" i="64" l="1"/>
  <c r="D326" i="64" l="1"/>
  <c r="D327" i="64"/>
  <c r="D329" i="64"/>
  <c r="D330" i="64"/>
  <c r="D332" i="64"/>
  <c r="D333" i="64"/>
  <c r="AP348" i="64"/>
  <c r="AQ348" i="64"/>
  <c r="AR348" i="64"/>
  <c r="AS348" i="64"/>
  <c r="AT348" i="64"/>
  <c r="AU348" i="64"/>
  <c r="AV348" i="64"/>
  <c r="AW348" i="64"/>
  <c r="AX348" i="64"/>
  <c r="AY348" i="64"/>
  <c r="AZ348" i="64"/>
  <c r="BA348" i="64"/>
  <c r="BB348" i="64"/>
  <c r="BC348" i="64"/>
  <c r="BD348" i="64"/>
  <c r="Z349" i="64"/>
  <c r="R351" i="64" l="1"/>
  <c r="S351" i="64"/>
  <c r="T351" i="64"/>
  <c r="U351" i="64"/>
  <c r="V351" i="64"/>
  <c r="W351" i="64"/>
  <c r="X351" i="64"/>
  <c r="AH351" i="64"/>
  <c r="BE56" i="65"/>
  <c r="BB63" i="65"/>
  <c r="BS270" i="64"/>
  <c r="BD233" i="64"/>
  <c r="AQ68" i="65"/>
  <c r="BK99" i="65"/>
  <c r="BK227" i="64"/>
  <c r="BH73" i="65"/>
  <c r="AU307" i="64"/>
  <c r="BR57" i="65"/>
  <c r="AS222" i="64"/>
  <c r="BV58" i="65"/>
  <c r="AY224" i="64"/>
  <c r="BQ233" i="64"/>
  <c r="BV63" i="65"/>
  <c r="AN115" i="65"/>
  <c r="AW74" i="65"/>
  <c r="BX266" i="64"/>
  <c r="BW230" i="64"/>
  <c r="AY222" i="64"/>
  <c r="AN63" i="65"/>
  <c r="BA100" i="65"/>
  <c r="AU228" i="64"/>
  <c r="BE61" i="65"/>
  <c r="BD268" i="64"/>
  <c r="BQ101" i="65"/>
  <c r="BQ226" i="64"/>
  <c r="BD271" i="64"/>
  <c r="BF62" i="65"/>
  <c r="BF110" i="65"/>
  <c r="AV53" i="65"/>
  <c r="BD222" i="64"/>
  <c r="AT107" i="65"/>
  <c r="BT57" i="65"/>
  <c r="BA58" i="65"/>
  <c r="BG271" i="64"/>
  <c r="AV272" i="64"/>
  <c r="AW267" i="64"/>
  <c r="BC59" i="65"/>
  <c r="AZ112" i="65"/>
  <c r="AY269" i="64"/>
  <c r="BY63" i="65"/>
  <c r="AX61" i="65"/>
  <c r="BQ105" i="65"/>
  <c r="AT56" i="65"/>
  <c r="AX63" i="65"/>
  <c r="BG59" i="65"/>
  <c r="BE233" i="64"/>
  <c r="BR268" i="64"/>
  <c r="BU70" i="65"/>
  <c r="BQ115" i="65"/>
  <c r="BX264" i="64"/>
  <c r="BD60" i="65"/>
  <c r="BH57" i="65"/>
  <c r="AV310" i="64"/>
  <c r="BO72" i="65"/>
  <c r="BR56" i="65"/>
  <c r="BX226" i="64"/>
  <c r="BU105" i="65"/>
  <c r="BM105" i="65"/>
  <c r="BH112" i="65"/>
  <c r="AP102" i="65"/>
  <c r="AW109" i="65"/>
  <c r="BJ114" i="65"/>
  <c r="AV99" i="65"/>
  <c r="BO317" i="64"/>
  <c r="AR100" i="65"/>
  <c r="BN311" i="64"/>
  <c r="BH56" i="65"/>
  <c r="AR270" i="64"/>
  <c r="BJ101" i="65"/>
  <c r="BV57" i="65"/>
  <c r="BQ74" i="65"/>
  <c r="AO58" i="65"/>
  <c r="AY116" i="65"/>
  <c r="AV317" i="64"/>
  <c r="AT69" i="65"/>
  <c r="BB271" i="64"/>
  <c r="AV314" i="64"/>
  <c r="BL222" i="64"/>
  <c r="AR69" i="65"/>
  <c r="BO118" i="65"/>
  <c r="BU62" i="65"/>
  <c r="BA115" i="65"/>
  <c r="BB274" i="64"/>
  <c r="AP66" i="65"/>
  <c r="BP225" i="64"/>
  <c r="AU269" i="64"/>
  <c r="AW68" i="65"/>
  <c r="BY64" i="65"/>
  <c r="BE105" i="65"/>
  <c r="AV103" i="65"/>
  <c r="BL309" i="64"/>
  <c r="BP117" i="65"/>
  <c r="BM109" i="65"/>
  <c r="BP58" i="65"/>
  <c r="BP312" i="64"/>
  <c r="AU231" i="64"/>
  <c r="BF272" i="64"/>
  <c r="BN310" i="64"/>
  <c r="BK64" i="65"/>
  <c r="AQ118" i="65"/>
  <c r="AV73" i="65"/>
  <c r="BL273" i="64"/>
  <c r="BO112" i="65"/>
  <c r="AY112" i="65"/>
  <c r="BN106" i="65"/>
  <c r="BD231" i="64"/>
  <c r="BK112" i="65"/>
  <c r="AN109" i="65"/>
  <c r="BA111" i="65"/>
  <c r="BM56" i="65"/>
  <c r="AV118" i="65"/>
  <c r="BC67" i="65"/>
  <c r="BN313" i="64"/>
  <c r="AW230" i="64"/>
  <c r="AU118" i="65"/>
  <c r="BM111" i="65"/>
  <c r="BC222" i="64"/>
  <c r="BE72" i="65"/>
  <c r="AO56" i="65"/>
  <c r="AT222" i="64"/>
  <c r="BD62" i="65"/>
  <c r="BN105" i="65"/>
  <c r="BF111" i="65"/>
  <c r="BY59" i="65"/>
  <c r="BM230" i="64"/>
  <c r="AQ270" i="64"/>
  <c r="AR264" i="64"/>
  <c r="AX74" i="65"/>
  <c r="BP103" i="65"/>
  <c r="AT313" i="64"/>
  <c r="AY104" i="65"/>
  <c r="BC268" i="64"/>
  <c r="AZ224" i="64"/>
  <c r="BS271" i="64"/>
  <c r="BR71" i="65"/>
  <c r="BD58" i="65"/>
  <c r="BN312" i="64"/>
  <c r="BR117" i="65"/>
  <c r="BQ266" i="64"/>
  <c r="AU70" i="65"/>
  <c r="BN74" i="65"/>
  <c r="BB226" i="64"/>
  <c r="BR115" i="65"/>
  <c r="AZ113" i="65"/>
  <c r="BL110" i="65"/>
  <c r="BE53" i="65"/>
  <c r="BN109" i="65"/>
  <c r="AY114" i="65"/>
  <c r="BP222" i="64"/>
  <c r="BD61" i="65"/>
  <c r="BS309" i="64"/>
  <c r="AW111" i="65"/>
  <c r="BE62" i="65"/>
  <c r="BR229" i="64"/>
  <c r="BL267" i="64"/>
  <c r="AO55" i="65"/>
  <c r="AU105" i="65"/>
  <c r="BG229" i="64"/>
  <c r="AT106" i="65"/>
  <c r="BP110" i="65"/>
  <c r="AS227" i="64"/>
  <c r="BD114" i="65"/>
  <c r="BD109" i="65"/>
  <c r="BO69" i="65"/>
  <c r="BO222" i="64"/>
  <c r="BP267" i="64"/>
  <c r="BL106" i="65"/>
  <c r="BS232" i="64"/>
  <c r="BT60" i="65"/>
  <c r="BF269" i="64"/>
  <c r="BA315" i="64"/>
  <c r="AZ309" i="64"/>
  <c r="AP310" i="64"/>
  <c r="BJ67" i="65"/>
  <c r="BH113" i="65"/>
  <c r="BD310" i="64"/>
  <c r="BJ224" i="64"/>
  <c r="BC275" i="64"/>
  <c r="BS106" i="65"/>
  <c r="BI266" i="64"/>
  <c r="AW313" i="64"/>
  <c r="BS111" i="65"/>
  <c r="BO107" i="65"/>
  <c r="BS307" i="64"/>
  <c r="AX64" i="65"/>
  <c r="BF225" i="64"/>
  <c r="BN228" i="64"/>
  <c r="BL228" i="64"/>
  <c r="AY102" i="65"/>
  <c r="BS63" i="65"/>
  <c r="AQ74" i="65"/>
  <c r="AO69" i="65"/>
  <c r="BX222" i="64"/>
  <c r="AU72" i="65"/>
  <c r="BB73" i="65"/>
  <c r="BN58" i="65"/>
  <c r="BN101" i="65"/>
  <c r="BQ107" i="65"/>
  <c r="AO57" i="65"/>
  <c r="BH226" i="64"/>
  <c r="BI57" i="65"/>
  <c r="BS230" i="64"/>
  <c r="BQ72" i="65"/>
  <c r="AU62" i="65"/>
  <c r="BD74" i="65"/>
  <c r="BQ71" i="65"/>
  <c r="BX274" i="64"/>
  <c r="BL114" i="65"/>
  <c r="BP270" i="64"/>
  <c r="AS104" i="65"/>
  <c r="BN229" i="64"/>
  <c r="AU102" i="65"/>
  <c r="BN108" i="65"/>
  <c r="BF118" i="65"/>
  <c r="BJ53" i="65"/>
  <c r="BT222" i="64"/>
  <c r="BF314" i="64"/>
  <c r="BL53" i="65"/>
  <c r="AT74" i="65"/>
  <c r="AU109" i="65"/>
  <c r="AV309" i="64"/>
  <c r="AZ227" i="64"/>
  <c r="BU66" i="65"/>
  <c r="BW311" i="64"/>
  <c r="BM271" i="64"/>
  <c r="BS224" i="64"/>
  <c r="BS71" i="65"/>
  <c r="BC106" i="65"/>
  <c r="AS115" i="65"/>
  <c r="AX114" i="65"/>
  <c r="BQ264" i="64"/>
  <c r="BB59" i="65"/>
  <c r="AU113" i="65"/>
  <c r="AZ275" i="64"/>
  <c r="BZ110" i="65"/>
  <c r="AR111" i="65"/>
  <c r="BU117" i="65"/>
  <c r="AT101" i="65"/>
  <c r="BL63" i="65"/>
  <c r="BC273" i="64"/>
  <c r="AZ57" i="65"/>
  <c r="BE225" i="64"/>
  <c r="AT72" i="65"/>
  <c r="BQ58" i="65"/>
  <c r="AY110" i="65"/>
  <c r="BB70" i="65"/>
  <c r="BH311" i="64"/>
  <c r="BC63" i="65"/>
  <c r="AY55" i="65"/>
  <c r="AU312" i="64"/>
  <c r="AW66" i="65"/>
  <c r="AT64" i="65"/>
  <c r="AV270" i="64"/>
  <c r="BU55" i="65"/>
  <c r="AQ309" i="64"/>
  <c r="BR273" i="64"/>
  <c r="BM106" i="65"/>
  <c r="BG225" i="64"/>
  <c r="AZ225" i="64"/>
  <c r="BM100" i="65"/>
  <c r="BI60" i="65"/>
  <c r="BT108" i="65"/>
  <c r="AS267" i="64"/>
  <c r="BK69" i="65"/>
  <c r="BB110" i="65"/>
  <c r="BQ62" i="65"/>
  <c r="AS106" i="65"/>
  <c r="BA68" i="65"/>
  <c r="BV68" i="65"/>
  <c r="AV113" i="65"/>
  <c r="AU74" i="65"/>
  <c r="AZ310" i="64"/>
  <c r="BK59" i="65"/>
  <c r="BZ104" i="65"/>
  <c r="BG232" i="64"/>
  <c r="BN73" i="65"/>
  <c r="BZ64" i="65"/>
  <c r="BK271" i="64"/>
  <c r="AN105" i="65"/>
  <c r="BO264" i="64"/>
  <c r="BI72" i="65"/>
  <c r="BZ117" i="65"/>
  <c r="AS64" i="65"/>
  <c r="BY111" i="65"/>
  <c r="AW268" i="64"/>
  <c r="BP109" i="65"/>
  <c r="BZ113" i="65"/>
  <c r="AZ101" i="65"/>
  <c r="AW222" i="64"/>
  <c r="AY230" i="64"/>
  <c r="BR113" i="65"/>
  <c r="BM269" i="64"/>
  <c r="BN62" i="65"/>
  <c r="BQ99" i="65"/>
  <c r="BT56" i="65"/>
  <c r="BA311" i="64"/>
  <c r="BO228" i="64"/>
  <c r="BR59" i="65"/>
  <c r="BH68" i="65"/>
  <c r="BK225" i="64"/>
  <c r="BD232" i="64"/>
  <c r="BM116" i="65"/>
  <c r="AO65" i="65"/>
  <c r="BM72" i="65"/>
  <c r="BM60" i="65"/>
  <c r="BB310" i="64"/>
  <c r="BG309" i="64"/>
  <c r="BY113" i="65"/>
  <c r="AV107" i="65"/>
  <c r="BF274" i="64"/>
  <c r="AQ65" i="65"/>
  <c r="BX314" i="64"/>
  <c r="AX99" i="65"/>
  <c r="BL109" i="65"/>
  <c r="BO57" i="65"/>
  <c r="BP60" i="65"/>
  <c r="BB72" i="65"/>
  <c r="BJ59" i="65"/>
  <c r="BA266" i="64"/>
  <c r="AR68" i="65"/>
  <c r="BR104" i="65"/>
  <c r="BF73" i="65"/>
  <c r="AW224" i="64"/>
  <c r="BH71" i="65"/>
  <c r="BS314" i="64"/>
  <c r="BN104" i="65"/>
  <c r="AZ103" i="65"/>
  <c r="AX108" i="65"/>
  <c r="AO106" i="65"/>
  <c r="BA74" i="65"/>
  <c r="BL224" i="64"/>
  <c r="AT233" i="64"/>
  <c r="AT266" i="64"/>
  <c r="BC61" i="65"/>
  <c r="BG115" i="65"/>
  <c r="AY264" i="64"/>
  <c r="AR70" i="65"/>
  <c r="BC313" i="64"/>
  <c r="AS65" i="65"/>
  <c r="AX104" i="65"/>
  <c r="AX65" i="65"/>
  <c r="AQ269" i="64"/>
  <c r="BE104" i="65"/>
  <c r="AS63" i="65"/>
  <c r="BV103" i="65"/>
  <c r="BA71" i="65"/>
  <c r="AW105" i="65"/>
  <c r="BC310" i="64"/>
  <c r="BT66" i="65"/>
  <c r="AY232" i="64"/>
  <c r="AS99" i="65"/>
  <c r="BA110" i="65"/>
  <c r="AT60" i="65"/>
  <c r="BF271" i="64"/>
  <c r="BC104" i="65"/>
  <c r="BL102" i="65"/>
  <c r="BQ111" i="65"/>
  <c r="BW233" i="64"/>
  <c r="BO63" i="65"/>
  <c r="AZ73" i="65"/>
  <c r="AR231" i="64"/>
  <c r="AN113" i="65"/>
  <c r="AT275" i="64"/>
  <c r="AX227" i="64"/>
  <c r="BP272" i="64"/>
  <c r="BO116" i="65"/>
  <c r="BA73" i="65"/>
  <c r="BQ103" i="65"/>
  <c r="AV226" i="64"/>
  <c r="BG230" i="64"/>
  <c r="AO118" i="65"/>
  <c r="BQ270" i="64"/>
  <c r="BE110" i="65"/>
  <c r="AX57" i="65"/>
  <c r="BN102" i="65"/>
  <c r="BQ57" i="65"/>
  <c r="BR269" i="64"/>
  <c r="AW64" i="65"/>
  <c r="BV99" i="65"/>
  <c r="BC100" i="65"/>
  <c r="AZ59" i="65"/>
  <c r="BD102" i="65"/>
  <c r="AQ232" i="64"/>
  <c r="BG68" i="65"/>
  <c r="BK115" i="65"/>
  <c r="AP271" i="64"/>
  <c r="BJ309" i="64"/>
  <c r="BJ56" i="65"/>
  <c r="BR100" i="65"/>
  <c r="AP229" i="64"/>
  <c r="BE111" i="65"/>
  <c r="BP313" i="64"/>
  <c r="BD230" i="64"/>
  <c r="AT55" i="65"/>
  <c r="BF70" i="65"/>
  <c r="BH105" i="65"/>
  <c r="AR267" i="64"/>
  <c r="AP115" i="65"/>
  <c r="BE59" i="65"/>
  <c r="AX270" i="64"/>
  <c r="AX232" i="64"/>
  <c r="BT70" i="65"/>
  <c r="BV107" i="65"/>
  <c r="AO115" i="65"/>
  <c r="BD104" i="65"/>
  <c r="AT99" i="65"/>
  <c r="BL274" i="64"/>
  <c r="BH64" i="65"/>
  <c r="BJ72" i="65"/>
  <c r="BN70" i="65"/>
  <c r="BJ313" i="64"/>
  <c r="BC60" i="65"/>
  <c r="AX230" i="64"/>
  <c r="BQ112" i="65"/>
  <c r="AZ65" i="65"/>
  <c r="BK310" i="64"/>
  <c r="AW115" i="65"/>
  <c r="BN55" i="65"/>
  <c r="BM264" i="64"/>
  <c r="BT71" i="65"/>
  <c r="BT227" i="64"/>
  <c r="BN53" i="65"/>
  <c r="BP72" i="65"/>
  <c r="BO74" i="65"/>
  <c r="AV230" i="64"/>
  <c r="BE68" i="65"/>
  <c r="AZ271" i="64"/>
  <c r="BI268" i="64"/>
  <c r="AQ222" i="64"/>
  <c r="BD55" i="65"/>
  <c r="BB65" i="65"/>
  <c r="BS272" i="64"/>
  <c r="AP232" i="64"/>
  <c r="AP99" i="65"/>
  <c r="BI62" i="65"/>
  <c r="AW226" i="64"/>
  <c r="BM104" i="65"/>
  <c r="BG228" i="64"/>
  <c r="BF63" i="65"/>
  <c r="AQ273" i="64"/>
  <c r="BA105" i="65"/>
  <c r="AN110" i="65"/>
  <c r="AY107" i="65"/>
  <c r="BE264" i="64"/>
  <c r="AV60" i="65"/>
  <c r="AW228" i="64"/>
  <c r="BM274" i="64"/>
  <c r="BF270" i="64"/>
  <c r="BT118" i="65"/>
  <c r="AP73" i="65"/>
  <c r="AU230" i="64"/>
  <c r="BH61" i="65"/>
  <c r="AQ224" i="64"/>
  <c r="BD273" i="64"/>
  <c r="BI61" i="65"/>
  <c r="BQ227" i="64"/>
  <c r="AP268" i="64"/>
  <c r="BK103" i="65"/>
  <c r="BK102" i="65"/>
  <c r="BZ108" i="65"/>
  <c r="BI101" i="65"/>
  <c r="BQ66" i="65"/>
  <c r="AP270" i="64"/>
  <c r="AR64" i="65"/>
  <c r="BG103" i="65"/>
  <c r="BJ315" i="64"/>
  <c r="AR313" i="64"/>
  <c r="BV116" i="65"/>
  <c r="AY69" i="65"/>
  <c r="BZ102" i="65"/>
  <c r="BS59" i="65"/>
  <c r="BE270" i="64"/>
  <c r="BZ99" i="65"/>
  <c r="BN112" i="65"/>
  <c r="BS269" i="64"/>
  <c r="BK264" i="64"/>
  <c r="BJ268" i="64"/>
  <c r="BP232" i="64"/>
  <c r="AY100" i="65"/>
  <c r="BT316" i="64"/>
  <c r="AU104" i="65"/>
  <c r="AY60" i="65"/>
  <c r="AT112" i="65"/>
  <c r="BB68" i="65"/>
  <c r="AR101" i="65"/>
  <c r="BB118" i="65"/>
  <c r="BV61" i="65"/>
  <c r="BV100" i="65"/>
  <c r="BB269" i="64"/>
  <c r="BI112" i="65"/>
  <c r="BB100" i="65"/>
  <c r="AP226" i="64"/>
  <c r="BN269" i="64"/>
  <c r="AW58" i="65"/>
  <c r="BC57" i="65"/>
  <c r="BV104" i="65"/>
  <c r="BS60" i="65"/>
  <c r="AP274" i="64"/>
  <c r="AO110" i="65"/>
  <c r="BZ71" i="65"/>
  <c r="AO102" i="65"/>
  <c r="BB228" i="64"/>
  <c r="AT111" i="65"/>
  <c r="BF100" i="65"/>
  <c r="BM101" i="65"/>
  <c r="AN74" i="65"/>
  <c r="BX224" i="64"/>
  <c r="AX264" i="64"/>
  <c r="AQ72" i="65"/>
  <c r="AV267" i="64"/>
  <c r="AR233" i="64"/>
  <c r="AV62" i="65"/>
  <c r="BR55" i="65"/>
  <c r="BF59" i="65"/>
  <c r="AR116" i="65"/>
  <c r="AQ272" i="64"/>
  <c r="BJ117" i="65"/>
  <c r="AR274" i="64"/>
  <c r="BE273" i="64"/>
  <c r="AY270" i="64"/>
  <c r="BC101" i="65"/>
  <c r="BY73" i="65"/>
  <c r="BK114" i="65"/>
  <c r="BH233" i="64"/>
  <c r="BA233" i="64"/>
  <c r="BP56" i="65"/>
  <c r="BP268" i="64"/>
  <c r="BR64" i="65"/>
  <c r="BG62" i="65"/>
  <c r="AW59" i="65"/>
  <c r="AP59" i="65"/>
  <c r="AR272" i="64"/>
  <c r="AQ267" i="64"/>
  <c r="AU272" i="64"/>
  <c r="AP110" i="65"/>
  <c r="AU53" i="65"/>
  <c r="BS64" i="65"/>
  <c r="BG268" i="64"/>
  <c r="BI311" i="64"/>
  <c r="BV66" i="65"/>
  <c r="BQ68" i="65"/>
  <c r="BP224" i="64"/>
  <c r="BJ267" i="64"/>
  <c r="BC58" i="65"/>
  <c r="AT108" i="65"/>
  <c r="BP113" i="65"/>
  <c r="BS102" i="65"/>
  <c r="BH225" i="64"/>
  <c r="BI55" i="65"/>
  <c r="BW273" i="64"/>
  <c r="BM225" i="64"/>
  <c r="BS56" i="65"/>
  <c r="AN99" i="65"/>
  <c r="BN224" i="64"/>
  <c r="BB57" i="65"/>
  <c r="BO311" i="64"/>
  <c r="BB227" i="64"/>
  <c r="BD116" i="65"/>
  <c r="AZ69" i="65"/>
  <c r="BJ102" i="65"/>
  <c r="BC272" i="64"/>
  <c r="BO108" i="65"/>
  <c r="AW315" i="64"/>
  <c r="BI228" i="64"/>
  <c r="AX231" i="64"/>
  <c r="AT272" i="64"/>
  <c r="BH115" i="65"/>
  <c r="AN112" i="65"/>
  <c r="BP59" i="65"/>
  <c r="AU114" i="65"/>
  <c r="AQ112" i="65"/>
  <c r="AQ56" i="65"/>
  <c r="BR58" i="65"/>
  <c r="BF58" i="65"/>
  <c r="BI312" i="64"/>
  <c r="BC116" i="65"/>
  <c r="BD118" i="65"/>
  <c r="AP56" i="65"/>
  <c r="BH109" i="65"/>
  <c r="BU74" i="65"/>
  <c r="BG117" i="65"/>
  <c r="AW65" i="65"/>
  <c r="BE63" i="65"/>
  <c r="AW273" i="64"/>
  <c r="AT269" i="64"/>
  <c r="BK105" i="65"/>
  <c r="BR69" i="65"/>
  <c r="BL233" i="64"/>
  <c r="BR53" i="65"/>
  <c r="BT224" i="64"/>
  <c r="BS229" i="64"/>
  <c r="AV269" i="64"/>
  <c r="AT232" i="64"/>
  <c r="AV232" i="64"/>
  <c r="BB222" i="64"/>
  <c r="AU60" i="65"/>
  <c r="BL268" i="64"/>
  <c r="BA274" i="64"/>
  <c r="AZ269" i="64"/>
  <c r="AP113" i="65"/>
  <c r="BG64" i="65"/>
  <c r="BM309" i="64"/>
  <c r="BW309" i="64"/>
  <c r="BJ71" i="65"/>
  <c r="BH313" i="64"/>
  <c r="BI70" i="65"/>
  <c r="AV109" i="65"/>
  <c r="BI227" i="64"/>
  <c r="BI118" i="65"/>
  <c r="BD57" i="65"/>
  <c r="AO113" i="65"/>
  <c r="BF106" i="65"/>
  <c r="AQ268" i="64"/>
  <c r="BX225" i="64"/>
  <c r="BT53" i="65"/>
  <c r="AS107" i="65"/>
  <c r="BJ111" i="65"/>
  <c r="AQ58" i="65"/>
  <c r="BR106" i="65"/>
  <c r="BN232" i="64"/>
  <c r="BD314" i="64"/>
  <c r="AY275" i="64"/>
  <c r="BG264" i="64"/>
  <c r="BF61" i="65"/>
  <c r="BC74" i="65"/>
  <c r="BR103" i="65"/>
  <c r="BS112" i="65"/>
  <c r="BA224" i="64"/>
  <c r="AQ310" i="64"/>
  <c r="BS103" i="65"/>
  <c r="BO53" i="65"/>
  <c r="AS74" i="65"/>
  <c r="BD100" i="65"/>
  <c r="BE60" i="65"/>
  <c r="BA267" i="64"/>
  <c r="AR227" i="64"/>
  <c r="BP271" i="64"/>
  <c r="BB101" i="65"/>
  <c r="AR102" i="65"/>
  <c r="BA118" i="65"/>
  <c r="BO227" i="64"/>
  <c r="AW274" i="64"/>
  <c r="BS68" i="65"/>
  <c r="AS117" i="65"/>
  <c r="BK109" i="65"/>
  <c r="BS266" i="64"/>
  <c r="BK269" i="64"/>
  <c r="AP111" i="65"/>
  <c r="AU233" i="64"/>
  <c r="AP266" i="64"/>
  <c r="BT267" i="64"/>
  <c r="AZ67" i="65"/>
  <c r="BS107" i="65"/>
  <c r="AV266" i="64"/>
  <c r="BK311" i="64"/>
  <c r="BY104" i="65"/>
  <c r="BO225" i="64"/>
  <c r="BR111" i="65"/>
  <c r="BT313" i="64"/>
  <c r="BE267" i="64"/>
  <c r="BK107" i="65"/>
  <c r="BR110" i="65"/>
  <c r="BM267" i="64"/>
  <c r="AQ67" i="65"/>
  <c r="BT270" i="64"/>
  <c r="AZ274" i="64"/>
  <c r="BD117" i="65"/>
  <c r="BU108" i="65"/>
  <c r="AU103" i="65"/>
  <c r="BO58" i="65"/>
  <c r="BF317" i="64"/>
  <c r="AN59" i="65"/>
  <c r="BL68" i="65"/>
  <c r="AX275" i="64"/>
  <c r="AX103" i="65"/>
  <c r="AW71" i="65"/>
  <c r="BT99" i="65"/>
  <c r="BF112" i="65"/>
  <c r="BQ274" i="64"/>
  <c r="BB53" i="65"/>
  <c r="AP55" i="65"/>
  <c r="BA264" i="64"/>
  <c r="AX311" i="64"/>
  <c r="BS110" i="65"/>
  <c r="BK272" i="64"/>
  <c r="BC307" i="64"/>
  <c r="AT68" i="65"/>
  <c r="BQ275" i="64"/>
  <c r="BW231" i="64"/>
  <c r="BG311" i="64"/>
  <c r="BJ105" i="65"/>
  <c r="BE69" i="65"/>
  <c r="BR227" i="64"/>
  <c r="BW270" i="64"/>
  <c r="AR113" i="65"/>
  <c r="BN317" i="64"/>
  <c r="AX66" i="65"/>
  <c r="BR317" i="64"/>
  <c r="AY307" i="64"/>
  <c r="BN227" i="64"/>
  <c r="AS71" i="65"/>
  <c r="AU106" i="65"/>
  <c r="AP67" i="65"/>
  <c r="BA72" i="65"/>
  <c r="BA67" i="65"/>
  <c r="AP114" i="65"/>
  <c r="BB56" i="65"/>
  <c r="BL230" i="64"/>
  <c r="BD112" i="65"/>
  <c r="AN55" i="65"/>
  <c r="BT225" i="64"/>
  <c r="BZ115" i="65"/>
  <c r="BH99" i="65"/>
  <c r="BP102" i="65"/>
  <c r="BI99" i="65"/>
  <c r="AZ71" i="65"/>
  <c r="BJ230" i="64"/>
  <c r="BQ108" i="65"/>
  <c r="BO307" i="64"/>
  <c r="BR267" i="64"/>
  <c r="BC66" i="65"/>
  <c r="BC271" i="64"/>
  <c r="BJ65" i="65"/>
  <c r="BI103" i="65"/>
  <c r="BG272" i="64"/>
  <c r="BG114" i="65"/>
  <c r="AT312" i="64"/>
  <c r="BG107" i="65"/>
  <c r="AT224" i="64"/>
  <c r="BN59" i="65"/>
  <c r="BM315" i="64"/>
  <c r="BU58" i="65"/>
  <c r="BE99" i="65"/>
  <c r="AV311" i="64"/>
  <c r="BF231" i="64"/>
  <c r="BO314" i="64"/>
  <c r="BU114" i="65"/>
  <c r="BJ104" i="65"/>
  <c r="BL66" i="65"/>
  <c r="BP53" i="65"/>
  <c r="BK232" i="64"/>
  <c r="BY117" i="65"/>
  <c r="BX227" i="64"/>
  <c r="BC65" i="65"/>
  <c r="AT102" i="65"/>
  <c r="BQ317" i="64"/>
  <c r="BH118" i="65"/>
  <c r="BT274" i="64"/>
  <c r="BM270" i="64"/>
  <c r="BF72" i="65"/>
  <c r="BD264" i="64"/>
  <c r="BS108" i="65"/>
  <c r="BR61" i="65"/>
  <c r="BN72" i="65"/>
  <c r="AR117" i="65"/>
  <c r="BN99" i="65"/>
  <c r="BI232" i="64"/>
  <c r="AV59" i="65"/>
  <c r="AV67" i="65"/>
  <c r="AU115" i="65"/>
  <c r="BF74" i="65"/>
  <c r="BN272" i="64"/>
  <c r="AR112" i="65"/>
  <c r="BW264" i="64"/>
  <c r="BE64" i="65"/>
  <c r="BC110" i="65"/>
  <c r="BO59" i="65"/>
  <c r="BO64" i="65"/>
  <c r="BM222" i="64"/>
  <c r="AN103" i="65"/>
  <c r="AV65" i="65"/>
  <c r="BY103" i="65"/>
  <c r="BM233" i="64"/>
  <c r="AU268" i="64"/>
  <c r="BH69" i="65"/>
  <c r="AT70" i="65"/>
  <c r="BF226" i="64"/>
  <c r="BE71" i="65"/>
  <c r="BG118" i="65"/>
  <c r="BA65" i="65"/>
  <c r="BE74" i="65"/>
  <c r="BC224" i="64"/>
  <c r="BC118" i="65"/>
  <c r="BP107" i="65"/>
  <c r="BA230" i="64"/>
  <c r="BO60" i="65"/>
  <c r="AQ266" i="64"/>
  <c r="BD63" i="65"/>
  <c r="BD108" i="65"/>
  <c r="BH58" i="65"/>
  <c r="AX105" i="65"/>
  <c r="BI274" i="64"/>
  <c r="BN67" i="65"/>
  <c r="BR314" i="64"/>
  <c r="BW307" i="64"/>
  <c r="AN104" i="65"/>
  <c r="AN101" i="65"/>
  <c r="BT266" i="64"/>
  <c r="AR57" i="65"/>
  <c r="BM266" i="64"/>
  <c r="BA70" i="65"/>
  <c r="AP108" i="65"/>
  <c r="BZ109" i="65"/>
  <c r="BN118" i="65"/>
  <c r="AV227" i="64"/>
  <c r="BE55" i="65"/>
  <c r="BY68" i="65"/>
  <c r="BV110" i="65"/>
  <c r="BH59" i="65"/>
  <c r="BO102" i="65"/>
  <c r="BR232" i="64"/>
  <c r="BH266" i="64"/>
  <c r="BQ70" i="65"/>
  <c r="BD68" i="65"/>
  <c r="BJ74" i="65"/>
  <c r="BG231" i="64"/>
  <c r="BU61" i="65"/>
  <c r="BJ63" i="65"/>
  <c r="BN64" i="65"/>
  <c r="BQ225" i="64"/>
  <c r="AT310" i="64"/>
  <c r="BJ266" i="64"/>
  <c r="BO271" i="64"/>
  <c r="AS313" i="64"/>
  <c r="AS100" i="65"/>
  <c r="BO117" i="65"/>
  <c r="BK73" i="65"/>
  <c r="BQ232" i="64"/>
  <c r="AR230" i="64"/>
  <c r="BT107" i="65"/>
  <c r="BS67" i="65"/>
  <c r="AR108" i="65"/>
  <c r="AN64" i="65"/>
  <c r="AN100" i="65"/>
  <c r="BJ106" i="65"/>
  <c r="BN113" i="65"/>
  <c r="BF53" i="65"/>
  <c r="BS61" i="65"/>
  <c r="BI59" i="65"/>
  <c r="AV274" i="64"/>
  <c r="BV115" i="65"/>
  <c r="BK71" i="65"/>
  <c r="BS114" i="65"/>
  <c r="BF71" i="65"/>
  <c r="AR226" i="64"/>
  <c r="BE102" i="65"/>
  <c r="BM103" i="65"/>
  <c r="AT53" i="65"/>
  <c r="AV106" i="65"/>
  <c r="BE109" i="65"/>
  <c r="BB115" i="65"/>
  <c r="AX310" i="64"/>
  <c r="BH267" i="64"/>
  <c r="AZ53" i="65"/>
  <c r="BA112" i="65"/>
  <c r="BB225" i="64"/>
  <c r="AP107" i="65"/>
  <c r="BK66" i="65"/>
  <c r="AX112" i="65"/>
  <c r="AR109" i="65"/>
  <c r="BW225" i="64"/>
  <c r="BC108" i="65"/>
  <c r="AS312" i="64"/>
  <c r="BF232" i="64"/>
  <c r="BL58" i="65"/>
  <c r="BD65" i="65"/>
  <c r="BI307" i="64"/>
  <c r="AS232" i="64"/>
  <c r="BC111" i="65"/>
  <c r="BH229" i="64"/>
  <c r="BK74" i="65"/>
  <c r="AX111" i="65"/>
  <c r="AU271" i="64"/>
  <c r="AP307" i="64"/>
  <c r="BN226" i="64"/>
  <c r="BT61" i="65"/>
  <c r="BH310" i="64"/>
  <c r="BY118" i="65"/>
  <c r="AO71" i="65"/>
  <c r="BH107" i="65"/>
  <c r="BR274" i="64"/>
  <c r="BJ275" i="64"/>
  <c r="BP317" i="64"/>
  <c r="AP65" i="65"/>
  <c r="AY73" i="65"/>
  <c r="AT113" i="65"/>
  <c r="BD67" i="65"/>
  <c r="AW118" i="65"/>
  <c r="BW317" i="64"/>
  <c r="AQ229" i="64"/>
  <c r="AT315" i="64"/>
  <c r="BV108" i="65"/>
  <c r="BS227" i="64"/>
  <c r="AV104" i="65"/>
  <c r="AW317" i="64"/>
  <c r="BF107" i="65"/>
  <c r="BS116" i="65"/>
  <c r="BH271" i="64"/>
  <c r="AZ62" i="65"/>
  <c r="BQ60" i="65"/>
  <c r="AR224" i="64"/>
  <c r="BI318" i="64"/>
  <c r="BD270" i="64"/>
  <c r="AR66" i="65"/>
  <c r="BV113" i="65"/>
  <c r="BK315" i="64"/>
  <c r="AP57" i="65"/>
  <c r="BK268" i="64"/>
  <c r="BW274" i="64"/>
  <c r="BH70" i="65"/>
  <c r="AT110" i="65"/>
  <c r="BH114" i="65"/>
  <c r="AV66" i="65"/>
  <c r="AQ113" i="65"/>
  <c r="BL55" i="65"/>
  <c r="BX233" i="64"/>
  <c r="AN107" i="65"/>
  <c r="BO270" i="64"/>
  <c r="BP116" i="65"/>
  <c r="BB105" i="65"/>
  <c r="AT65" i="65"/>
  <c r="BT272" i="64"/>
  <c r="BK275" i="64"/>
  <c r="AP62" i="65"/>
  <c r="AN58" i="65"/>
  <c r="BZ59" i="65"/>
  <c r="BA273" i="64"/>
  <c r="BD101" i="65"/>
  <c r="BT268" i="64"/>
  <c r="BA104" i="65"/>
  <c r="BZ100" i="65"/>
  <c r="AR309" i="64"/>
  <c r="BR226" i="64"/>
  <c r="BQ271" i="64"/>
  <c r="AQ317" i="64"/>
  <c r="BM70" i="65"/>
  <c r="AP317" i="64"/>
  <c r="BI63" i="65"/>
  <c r="BC269" i="64"/>
  <c r="AU68" i="65"/>
  <c r="AY103" i="65"/>
  <c r="AQ69" i="65"/>
  <c r="BN233" i="64"/>
  <c r="BD115" i="65"/>
  <c r="AZ56" i="65"/>
  <c r="BA222" i="64"/>
  <c r="BN71" i="65"/>
  <c r="BK53" i="65"/>
  <c r="BE310" i="64"/>
  <c r="AY115" i="65"/>
  <c r="BH101" i="65"/>
  <c r="BO70" i="65"/>
  <c r="BD307" i="64"/>
  <c r="BE118" i="65"/>
  <c r="BK111" i="65"/>
  <c r="AR73" i="65"/>
  <c r="AW99" i="65"/>
  <c r="AU267" i="64"/>
  <c r="BC266" i="64"/>
  <c r="AP225" i="64"/>
  <c r="BL231" i="64"/>
  <c r="BP269" i="64"/>
  <c r="AQ102" i="65"/>
  <c r="AP100" i="65"/>
  <c r="AX115" i="65"/>
  <c r="BG224" i="64"/>
  <c r="AU59" i="65"/>
  <c r="BE101" i="65"/>
  <c r="AY57" i="65"/>
  <c r="AV271" i="64"/>
  <c r="BG56" i="65"/>
  <c r="AZ115" i="65"/>
  <c r="BI267" i="64"/>
  <c r="AY63" i="65"/>
  <c r="BF55" i="65"/>
  <c r="BC62" i="65"/>
  <c r="BJ271" i="64"/>
  <c r="AZ68" i="65"/>
  <c r="AZ312" i="64"/>
  <c r="BJ57" i="65"/>
  <c r="BS274" i="64"/>
  <c r="BV60" i="65"/>
  <c r="AX55" i="65"/>
  <c r="BC231" i="64"/>
  <c r="BX309" i="64"/>
  <c r="AZ108" i="65"/>
  <c r="AS66" i="65"/>
  <c r="BA307" i="64"/>
  <c r="BG116" i="65"/>
  <c r="AS116" i="65"/>
  <c r="BC102" i="65"/>
  <c r="BU69" i="65"/>
  <c r="BB313" i="64"/>
  <c r="BP105" i="65"/>
  <c r="BA227" i="64"/>
  <c r="BJ99" i="65"/>
  <c r="BX232" i="64"/>
  <c r="BJ231" i="64"/>
  <c r="BL270" i="64"/>
  <c r="BV105" i="65"/>
  <c r="BG74" i="65"/>
  <c r="AZ70" i="65"/>
  <c r="BG222" i="64"/>
  <c r="AZ232" i="64"/>
  <c r="BP309" i="64"/>
  <c r="BN117" i="65"/>
  <c r="BI264" i="64"/>
  <c r="BM64" i="65"/>
  <c r="BE314" i="64"/>
  <c r="AS58" i="65"/>
  <c r="BJ112" i="65"/>
  <c r="BI56" i="65"/>
  <c r="AX118" i="65"/>
  <c r="BR313" i="64"/>
  <c r="BQ110" i="65"/>
  <c r="AX70" i="65"/>
  <c r="BL100" i="65"/>
  <c r="AQ63" i="65"/>
  <c r="AP118" i="65"/>
  <c r="BC274" i="64"/>
  <c r="BA64" i="65"/>
  <c r="BA272" i="64"/>
  <c r="BB230" i="64"/>
  <c r="BR311" i="64"/>
  <c r="AS233" i="64"/>
  <c r="BD316" i="64"/>
  <c r="BN271" i="64"/>
  <c r="AX318" i="64"/>
  <c r="BC264" i="64"/>
  <c r="AO116" i="65"/>
  <c r="AS70" i="65"/>
  <c r="BG314" i="64"/>
  <c r="BG316" i="64"/>
  <c r="BO114" i="65"/>
  <c r="BN230" i="64"/>
  <c r="BF105" i="65"/>
  <c r="BL271" i="64"/>
  <c r="AX274" i="64"/>
  <c r="BH117" i="65"/>
  <c r="BN275" i="64"/>
  <c r="AX317" i="64"/>
  <c r="AU266" i="64"/>
  <c r="BM71" i="65"/>
  <c r="BH102" i="65"/>
  <c r="BT65" i="65"/>
  <c r="BJ62" i="65"/>
  <c r="BZ68" i="65"/>
  <c r="BZ69" i="65"/>
  <c r="BB318" i="64"/>
  <c r="AP70" i="65"/>
  <c r="BL117" i="65"/>
  <c r="BR318" i="64"/>
  <c r="AV316" i="64"/>
  <c r="BF310" i="64"/>
  <c r="BK118" i="65"/>
  <c r="AO104" i="65"/>
  <c r="BZ66" i="65"/>
  <c r="AS266" i="64"/>
  <c r="BJ103" i="65"/>
  <c r="AT115" i="65"/>
  <c r="BJ273" i="64"/>
  <c r="BK231" i="64"/>
  <c r="AU264" i="64"/>
  <c r="BF68" i="65"/>
  <c r="BF313" i="64"/>
  <c r="BW229" i="64"/>
  <c r="AP316" i="64"/>
  <c r="BB111" i="65"/>
  <c r="AX117" i="65"/>
  <c r="BB71" i="65"/>
  <c r="BO65" i="65"/>
  <c r="BK233" i="64"/>
  <c r="BE70" i="65"/>
  <c r="AO70" i="65"/>
  <c r="AS315" i="64"/>
  <c r="BA116" i="65"/>
  <c r="BS225" i="64"/>
  <c r="AS229" i="64"/>
  <c r="AS59" i="65"/>
  <c r="AU225" i="64"/>
  <c r="BS315" i="64"/>
  <c r="BB108" i="65"/>
  <c r="BV62" i="65"/>
  <c r="AR58" i="65"/>
  <c r="BC309" i="64"/>
  <c r="BC114" i="65"/>
  <c r="BM55" i="65"/>
  <c r="BB268" i="64"/>
  <c r="AR222" i="64"/>
  <c r="AS224" i="64"/>
  <c r="AR63" i="65"/>
  <c r="BL116" i="65"/>
  <c r="AV229" i="64"/>
  <c r="AP116" i="65"/>
  <c r="AV57" i="65"/>
  <c r="BR118" i="65"/>
  <c r="AW53" i="65"/>
  <c r="BR109" i="65"/>
  <c r="AO60" i="65"/>
  <c r="BF267" i="64"/>
  <c r="BG109" i="65"/>
  <c r="BC113" i="65"/>
  <c r="BA66" i="65"/>
  <c r="BG266" i="64"/>
  <c r="BK273" i="64"/>
  <c r="AQ61" i="65"/>
  <c r="AV100" i="65"/>
  <c r="BL272" i="64"/>
  <c r="BN267" i="64"/>
  <c r="AV114" i="65"/>
  <c r="BO275" i="64"/>
  <c r="AQ64" i="65"/>
  <c r="AO108" i="65"/>
  <c r="BO115" i="65"/>
  <c r="AR62" i="65"/>
  <c r="BF99" i="65"/>
  <c r="AY106" i="65"/>
  <c r="BN65" i="65"/>
  <c r="BT117" i="65"/>
  <c r="BC70" i="65"/>
  <c r="BG227" i="64"/>
  <c r="AS69" i="65"/>
  <c r="BJ66" i="65"/>
  <c r="AX314" i="64"/>
  <c r="BD113" i="65"/>
  <c r="BP101" i="65"/>
  <c r="BE113" i="65"/>
  <c r="BB270" i="64"/>
  <c r="BT226" i="64"/>
  <c r="BE116" i="65"/>
  <c r="BP73" i="65"/>
  <c r="BF273" i="64"/>
  <c r="BU67" i="65"/>
  <c r="AT118" i="65"/>
  <c r="BR275" i="64"/>
  <c r="AX68" i="65"/>
  <c r="AQ230" i="64"/>
  <c r="AZ74" i="65"/>
  <c r="BO99" i="65"/>
  <c r="AT105" i="65"/>
  <c r="AV70" i="65"/>
  <c r="AR232" i="64"/>
  <c r="AX316" i="64"/>
  <c r="BM57" i="65"/>
  <c r="BQ100" i="65"/>
  <c r="BL311" i="64"/>
  <c r="BB232" i="64"/>
  <c r="AU65" i="65"/>
  <c r="BM229" i="64"/>
  <c r="BN307" i="64"/>
  <c r="AR266" i="64"/>
  <c r="BH65" i="65"/>
  <c r="AQ114" i="65"/>
  <c r="AY99" i="65"/>
  <c r="BS72" i="65"/>
  <c r="BY102" i="65"/>
  <c r="BW266" i="64"/>
  <c r="BJ318" i="64"/>
  <c r="BF103" i="65"/>
  <c r="AU111" i="65"/>
  <c r="BT103" i="65"/>
  <c r="BE271" i="64"/>
  <c r="BB264" i="64"/>
  <c r="AQ70" i="65"/>
  <c r="BU53" i="65"/>
  <c r="BC107" i="65"/>
  <c r="BB58" i="65"/>
  <c r="AN60" i="65"/>
  <c r="AZ63" i="65"/>
  <c r="AR56" i="65"/>
  <c r="AR99" i="65"/>
  <c r="BM74" i="65"/>
  <c r="AZ64" i="65"/>
  <c r="BM117" i="65"/>
  <c r="AQ231" i="64"/>
  <c r="BP57" i="65"/>
  <c r="BK116" i="65"/>
  <c r="AQ111" i="65"/>
  <c r="AX60" i="65"/>
  <c r="BC109" i="65"/>
  <c r="BE232" i="64"/>
  <c r="BQ65" i="65"/>
  <c r="BH264" i="64"/>
  <c r="BB117" i="65"/>
  <c r="BH269" i="64"/>
  <c r="BV65" i="65"/>
  <c r="AV116" i="65"/>
  <c r="AS108" i="65"/>
  <c r="AP318" i="64"/>
  <c r="AS271" i="64"/>
  <c r="BP68" i="65"/>
  <c r="BT106" i="65"/>
  <c r="BI108" i="65"/>
  <c r="AW56" i="65"/>
  <c r="BS99" i="65"/>
  <c r="BG101" i="65"/>
  <c r="AP105" i="65"/>
  <c r="AV117" i="65"/>
  <c r="BU110" i="65"/>
  <c r="BR60" i="65"/>
  <c r="AR228" i="64"/>
  <c r="BP115" i="65"/>
  <c r="BI109" i="65"/>
  <c r="AW70" i="65"/>
  <c r="BB107" i="65"/>
  <c r="BE106" i="65"/>
  <c r="BJ270" i="64"/>
  <c r="AY67" i="65"/>
  <c r="AU226" i="64"/>
  <c r="BN274" i="64"/>
  <c r="BK104" i="65"/>
  <c r="BS268" i="64"/>
  <c r="AN57" i="65"/>
  <c r="BU63" i="65"/>
  <c r="AY109" i="65"/>
  <c r="BK316" i="64"/>
  <c r="BC103" i="65"/>
  <c r="BH53" i="65"/>
  <c r="AT71" i="65"/>
  <c r="AU71" i="65"/>
  <c r="BY100" i="65"/>
  <c r="BU118" i="65"/>
  <c r="BA269" i="64"/>
  <c r="AX58" i="65"/>
  <c r="AX229" i="64"/>
  <c r="AY228" i="64"/>
  <c r="AZ60" i="65"/>
  <c r="BQ231" i="64"/>
  <c r="BG112" i="65"/>
  <c r="BS53" i="65"/>
  <c r="AZ107" i="65"/>
  <c r="BZ70" i="65"/>
  <c r="BK317" i="64"/>
  <c r="AN70" i="65"/>
  <c r="BR72" i="65"/>
  <c r="BX270" i="64"/>
  <c r="AR105" i="65"/>
  <c r="AP233" i="64"/>
  <c r="AX71" i="65"/>
  <c r="BM231" i="64"/>
  <c r="AX62" i="65"/>
  <c r="AX271" i="64"/>
  <c r="BB99" i="65"/>
  <c r="AQ225" i="64"/>
  <c r="BT62" i="65"/>
  <c r="BL315" i="64"/>
  <c r="BK67" i="65"/>
  <c r="BK309" i="64"/>
  <c r="BZ103" i="65"/>
  <c r="BD269" i="64"/>
  <c r="BZ61" i="65"/>
  <c r="AX307" i="64"/>
  <c r="BL64" i="65"/>
  <c r="BC229" i="64"/>
  <c r="AV105" i="65"/>
  <c r="BS57" i="65"/>
  <c r="AN67" i="65"/>
  <c r="AN106" i="65"/>
  <c r="AN69" i="65"/>
  <c r="AT311" i="64"/>
  <c r="BG73" i="65"/>
  <c r="AQ117" i="65"/>
  <c r="BU101" i="65"/>
  <c r="AS72" i="65"/>
  <c r="BT231" i="64"/>
  <c r="BC72" i="65"/>
  <c r="BO274" i="64"/>
  <c r="AP103" i="65"/>
  <c r="BX267" i="64"/>
  <c r="BM68" i="65"/>
  <c r="BY110" i="65"/>
  <c r="BA117" i="65"/>
  <c r="BT73" i="65"/>
  <c r="BO109" i="65"/>
  <c r="AU57" i="65"/>
  <c r="AT231" i="64"/>
  <c r="BW227" i="64"/>
  <c r="BT228" i="64"/>
  <c r="AQ105" i="65"/>
  <c r="BB229" i="64"/>
  <c r="AR271" i="64"/>
  <c r="BI64" i="65"/>
  <c r="BH307" i="64"/>
  <c r="BK228" i="64"/>
  <c r="AS114" i="65"/>
  <c r="BA113" i="65"/>
  <c r="BH312" i="64"/>
  <c r="BW228" i="64"/>
  <c r="BA316" i="64"/>
  <c r="BG106" i="65"/>
  <c r="BK266" i="64"/>
  <c r="AW108" i="65"/>
  <c r="BA317" i="64"/>
  <c r="BA63" i="65"/>
  <c r="AR268" i="64"/>
  <c r="AV115" i="65"/>
  <c r="BA62" i="65"/>
  <c r="AO109" i="65"/>
  <c r="BN56" i="65"/>
  <c r="BM316" i="64"/>
  <c r="BY60" i="65"/>
  <c r="BZ112" i="65"/>
  <c r="AQ311" i="64"/>
  <c r="AS274" i="64"/>
  <c r="BK70" i="65"/>
  <c r="BO233" i="64"/>
  <c r="AX67" i="65"/>
  <c r="BA228" i="64"/>
  <c r="BN114" i="65"/>
  <c r="BK108" i="65"/>
  <c r="BA59" i="65"/>
  <c r="AW117" i="65"/>
  <c r="BZ58" i="65"/>
  <c r="BV72" i="65"/>
  <c r="BO68" i="65"/>
  <c r="AY231" i="64"/>
  <c r="AX56" i="65"/>
  <c r="AS273" i="64"/>
  <c r="BP316" i="64"/>
  <c r="BL266" i="64"/>
  <c r="AV108" i="65"/>
  <c r="BE224" i="64"/>
  <c r="BU60" i="65"/>
  <c r="AV275" i="64"/>
  <c r="BH116" i="65"/>
  <c r="BH111" i="65"/>
  <c r="AO72" i="65"/>
  <c r="BE226" i="64"/>
  <c r="AP224" i="64"/>
  <c r="AY272" i="64"/>
  <c r="BG63" i="65"/>
  <c r="BR224" i="64"/>
  <c r="BG317" i="64"/>
  <c r="AT225" i="64"/>
  <c r="AT264" i="64"/>
  <c r="BD317" i="64"/>
  <c r="BY74" i="65"/>
  <c r="BV111" i="65"/>
  <c r="BQ268" i="64"/>
  <c r="BH309" i="64"/>
  <c r="BB104" i="65"/>
  <c r="AR318" i="64"/>
  <c r="BY116" i="65"/>
  <c r="AU107" i="65"/>
  <c r="BG310" i="64"/>
  <c r="AX59" i="65"/>
  <c r="BK65" i="65"/>
  <c r="AT226" i="64"/>
  <c r="BD226" i="64"/>
  <c r="AN61" i="65"/>
  <c r="BG313" i="64"/>
  <c r="AU69" i="65"/>
  <c r="BR66" i="65"/>
  <c r="BQ118" i="65"/>
  <c r="BR230" i="64"/>
  <c r="BN116" i="65"/>
  <c r="BE65" i="65"/>
  <c r="BM113" i="65"/>
  <c r="AV231" i="64"/>
  <c r="AP101" i="65"/>
  <c r="AZ318" i="64"/>
  <c r="AN62" i="65"/>
  <c r="BO312" i="64"/>
  <c r="AY317" i="64"/>
  <c r="AU229" i="64"/>
  <c r="BW312" i="64"/>
  <c r="BO103" i="65"/>
  <c r="BE266" i="64"/>
  <c r="BU102" i="65"/>
  <c r="AY74" i="65"/>
  <c r="BT273" i="64"/>
  <c r="BE57" i="65"/>
  <c r="AT271" i="64"/>
  <c r="AQ109" i="65"/>
  <c r="AU100" i="65"/>
  <c r="BF309" i="64"/>
  <c r="AY62" i="65"/>
  <c r="BL226" i="64"/>
  <c r="BR271" i="64"/>
  <c r="BV59" i="65"/>
  <c r="BU109" i="65"/>
  <c r="BE67" i="65"/>
  <c r="BD103" i="65"/>
  <c r="BZ111" i="65"/>
  <c r="AR72" i="65"/>
  <c r="BZ106" i="65"/>
  <c r="BL69" i="65"/>
  <c r="BW272" i="64"/>
  <c r="BV101" i="65"/>
  <c r="AP104" i="65"/>
  <c r="BA109" i="65"/>
  <c r="AO67" i="65"/>
  <c r="AU66" i="65"/>
  <c r="BL65" i="65"/>
  <c r="BL71" i="65"/>
  <c r="BB315" i="64"/>
  <c r="AY226" i="64"/>
  <c r="AX224" i="64"/>
  <c r="BL310" i="64"/>
  <c r="BH230" i="64"/>
  <c r="BM108" i="65"/>
  <c r="BI316" i="64"/>
  <c r="BL318" i="64"/>
  <c r="BD53" i="65"/>
  <c r="BO229" i="64"/>
  <c r="BQ102" i="65"/>
  <c r="BQ56" i="65"/>
  <c r="AX272" i="64"/>
  <c r="AU232" i="64"/>
  <c r="AS269" i="64"/>
  <c r="AR118" i="65"/>
  <c r="BI114" i="65"/>
  <c r="BF316" i="64"/>
  <c r="BL112" i="65"/>
  <c r="BD107" i="65"/>
  <c r="AO107" i="65"/>
  <c r="BY105" i="65"/>
  <c r="AY56" i="65"/>
  <c r="BK57" i="65"/>
  <c r="BJ317" i="64"/>
  <c r="BC71" i="65"/>
  <c r="BM65" i="65"/>
  <c r="AX106" i="65"/>
  <c r="BJ274" i="64"/>
  <c r="AW102" i="65"/>
  <c r="BV53" i="65"/>
  <c r="BM273" i="64"/>
  <c r="BZ63" i="65"/>
  <c r="AY310" i="64"/>
  <c r="AQ71" i="65"/>
  <c r="BV73" i="65"/>
  <c r="BH222" i="64"/>
  <c r="BQ59" i="65"/>
  <c r="BB113" i="65"/>
  <c r="BG72" i="65"/>
  <c r="BF56" i="65"/>
  <c r="BN309" i="64"/>
  <c r="BL227" i="64"/>
  <c r="BP61" i="65"/>
  <c r="BB275" i="64"/>
  <c r="BD66" i="65"/>
  <c r="AW114" i="65"/>
  <c r="BN57" i="65"/>
  <c r="BV109" i="65"/>
  <c r="BH103" i="65"/>
  <c r="BI53" i="65"/>
  <c r="BZ105" i="65"/>
  <c r="BP70" i="65"/>
  <c r="AR103" i="65"/>
  <c r="BQ310" i="64"/>
  <c r="BI314" i="64"/>
  <c r="BN60" i="65"/>
  <c r="BN270" i="64"/>
  <c r="AT62" i="65"/>
  <c r="AX312" i="64"/>
  <c r="AR59" i="65"/>
  <c r="BM114" i="65"/>
  <c r="BU116" i="65"/>
  <c r="BG61" i="65"/>
  <c r="BD106" i="65"/>
  <c r="BI225" i="64"/>
  <c r="AW60" i="65"/>
  <c r="BI313" i="64"/>
  <c r="AW63" i="65"/>
  <c r="AS62" i="65"/>
  <c r="AU227" i="64"/>
  <c r="AP309" i="64"/>
  <c r="BF307" i="64"/>
  <c r="AX113" i="65"/>
  <c r="BY112" i="65"/>
  <c r="AP112" i="65"/>
  <c r="BD266" i="64"/>
  <c r="AW107" i="65"/>
  <c r="AQ315" i="64"/>
  <c r="BP112" i="65"/>
  <c r="BP227" i="64"/>
  <c r="AZ111" i="65"/>
  <c r="BQ269" i="64"/>
  <c r="BF115" i="65"/>
  <c r="BK55" i="65"/>
  <c r="BB112" i="65"/>
  <c r="BO230" i="64"/>
  <c r="BV64" i="65"/>
  <c r="AR225" i="64"/>
  <c r="BT115" i="65"/>
  <c r="BL269" i="64"/>
  <c r="AN111" i="65"/>
  <c r="BX275" i="64"/>
  <c r="BQ229" i="64"/>
  <c r="BP230" i="64"/>
  <c r="BC232" i="64"/>
  <c r="AS264" i="64"/>
  <c r="AQ106" i="65"/>
  <c r="AZ100" i="65"/>
  <c r="AY65" i="65"/>
  <c r="BP226" i="64"/>
  <c r="BL101" i="65"/>
  <c r="BB62" i="65"/>
  <c r="AT273" i="64"/>
  <c r="BS55" i="65"/>
  <c r="BG99" i="65"/>
  <c r="AX73" i="65"/>
  <c r="BR312" i="64"/>
  <c r="BJ116" i="65"/>
  <c r="BG270" i="64"/>
  <c r="AT67" i="65"/>
  <c r="AS53" i="65"/>
  <c r="AT230" i="64"/>
  <c r="BZ57" i="65"/>
  <c r="BH100" i="65"/>
  <c r="AU110" i="65"/>
  <c r="BR102" i="65"/>
  <c r="AX266" i="64"/>
  <c r="BI269" i="64"/>
  <c r="AX69" i="65"/>
  <c r="AR316" i="64"/>
  <c r="BU73" i="65"/>
  <c r="BO266" i="64"/>
  <c r="AT314" i="64"/>
  <c r="BA271" i="64"/>
  <c r="BH106" i="65"/>
  <c r="BM268" i="64"/>
  <c r="BE73" i="65"/>
  <c r="BP310" i="64"/>
  <c r="BE268" i="64"/>
  <c r="BG55" i="65"/>
  <c r="BD315" i="64"/>
  <c r="AW307" i="64"/>
  <c r="BP55" i="65"/>
  <c r="BC267" i="64"/>
  <c r="AT307" i="64"/>
  <c r="AT109" i="65"/>
  <c r="AY316" i="64"/>
  <c r="BG66" i="65"/>
  <c r="AQ104" i="65"/>
  <c r="BR101" i="65"/>
  <c r="BY53" i="65"/>
  <c r="AV312" i="64"/>
  <c r="AS68" i="65"/>
  <c r="BZ72" i="65"/>
  <c r="AW225" i="64"/>
  <c r="AQ103" i="65"/>
  <c r="AP228" i="64"/>
  <c r="AZ66" i="65"/>
  <c r="BN264" i="64"/>
  <c r="BZ107" i="65"/>
  <c r="AS316" i="64"/>
  <c r="BO318" i="64"/>
  <c r="BO316" i="64"/>
  <c r="BQ272" i="64"/>
  <c r="BV69" i="65"/>
  <c r="BZ55" i="65"/>
  <c r="BK267" i="64"/>
  <c r="BO231" i="64"/>
  <c r="AT117" i="65"/>
  <c r="BM61" i="65"/>
  <c r="AU270" i="64"/>
  <c r="BX228" i="64"/>
  <c r="BY106" i="65"/>
  <c r="BZ56" i="65"/>
  <c r="BQ312" i="64"/>
  <c r="AQ233" i="64"/>
  <c r="AX268" i="64"/>
  <c r="BB66" i="65"/>
  <c r="AV71" i="65"/>
  <c r="BQ109" i="65"/>
  <c r="AR314" i="64"/>
  <c r="AR60" i="65"/>
  <c r="BS69" i="65"/>
  <c r="BK226" i="64"/>
  <c r="AX102" i="65"/>
  <c r="AT309" i="64"/>
  <c r="BG111" i="65"/>
  <c r="BI273" i="64"/>
  <c r="BM102" i="65"/>
  <c r="AW72" i="65"/>
  <c r="AY111" i="65"/>
  <c r="AZ266" i="64"/>
  <c r="BK113" i="65"/>
  <c r="BQ53" i="65"/>
  <c r="BL67" i="65"/>
  <c r="BB67" i="65"/>
  <c r="BP99" i="65"/>
  <c r="BS109" i="65"/>
  <c r="BL307" i="64"/>
  <c r="BI73" i="65"/>
  <c r="BA309" i="64"/>
  <c r="BY114" i="65"/>
  <c r="BF66" i="65"/>
  <c r="BT104" i="65"/>
  <c r="AO112" i="65"/>
  <c r="BT114" i="65"/>
  <c r="BI226" i="64"/>
  <c r="AS109" i="65"/>
  <c r="BX317" i="64"/>
  <c r="BG233" i="64"/>
  <c r="BL275" i="64"/>
  <c r="BR99" i="65"/>
  <c r="BB272" i="64"/>
  <c r="AU112" i="65"/>
  <c r="BU56" i="65"/>
  <c r="AQ115" i="65"/>
  <c r="BY71" i="65"/>
  <c r="BD110" i="65"/>
  <c r="BO310" i="64"/>
  <c r="BD71" i="65"/>
  <c r="BO113" i="65"/>
  <c r="BY107" i="65"/>
  <c r="AN71" i="65"/>
  <c r="BS275" i="64"/>
  <c r="BN111" i="65"/>
  <c r="AP312" i="64"/>
  <c r="BP274" i="64"/>
  <c r="AY266" i="64"/>
  <c r="BT55" i="65"/>
  <c r="BS104" i="65"/>
  <c r="BJ58" i="65"/>
  <c r="AR273" i="64"/>
  <c r="AV313" i="64"/>
  <c r="AQ228" i="64"/>
  <c r="AZ314" i="64"/>
  <c r="AY229" i="64"/>
  <c r="BI224" i="64"/>
  <c r="BL60" i="65"/>
  <c r="BC73" i="65"/>
  <c r="AY117" i="65"/>
  <c r="AO99" i="65"/>
  <c r="BR68" i="65"/>
  <c r="BK117" i="65"/>
  <c r="BD272" i="64"/>
  <c r="AY61" i="65"/>
  <c r="BP67" i="65"/>
  <c r="BR222" i="64"/>
  <c r="AV264" i="64"/>
  <c r="BJ310" i="64"/>
  <c r="BC311" i="64"/>
  <c r="BI117" i="65"/>
  <c r="BW318" i="64"/>
  <c r="BP64" i="65"/>
  <c r="BC55" i="65"/>
  <c r="AU311" i="64"/>
  <c r="BH314" i="64"/>
  <c r="BP318" i="64"/>
  <c r="BE100" i="65"/>
  <c r="BH227" i="64"/>
  <c r="BC233" i="64"/>
  <c r="AO59" i="65"/>
  <c r="AO64" i="65"/>
  <c r="BW313" i="64"/>
  <c r="AU317" i="64"/>
  <c r="BT110" i="65"/>
  <c r="BP275" i="64"/>
  <c r="BS100" i="65"/>
  <c r="BD275" i="64"/>
  <c r="AT268" i="64"/>
  <c r="AZ117" i="65"/>
  <c r="AP58" i="65"/>
  <c r="AS61" i="65"/>
  <c r="BU64" i="65"/>
  <c r="BE231" i="64"/>
  <c r="BS74" i="65"/>
  <c r="BW222" i="64"/>
  <c r="BS273" i="64"/>
  <c r="AO101" i="65"/>
  <c r="BL118" i="65"/>
  <c r="AT103" i="65"/>
  <c r="AP272" i="64"/>
  <c r="AT57" i="65"/>
  <c r="AN114" i="65"/>
  <c r="AQ110" i="65"/>
  <c r="BR225" i="64"/>
  <c r="AR61" i="65"/>
  <c r="AP264" i="64"/>
  <c r="AY108" i="65"/>
  <c r="BG318" i="64"/>
  <c r="AR315" i="64"/>
  <c r="BN222" i="64"/>
  <c r="BG65" i="65"/>
  <c r="AU314" i="64"/>
  <c r="BH108" i="65"/>
  <c r="AP64" i="65"/>
  <c r="BA231" i="64"/>
  <c r="BL72" i="65"/>
  <c r="AS268" i="64"/>
  <c r="AP72" i="65"/>
  <c r="BC115" i="65"/>
  <c r="AP71" i="65"/>
  <c r="AX72" i="65"/>
  <c r="BL312" i="64"/>
  <c r="BL314" i="64"/>
  <c r="BL313" i="64"/>
  <c r="BS267" i="64"/>
  <c r="BV112" i="65"/>
  <c r="BO315" i="64"/>
  <c r="AZ58" i="65"/>
  <c r="BN100" i="65"/>
  <c r="BY65" i="65"/>
  <c r="BV67" i="65"/>
  <c r="BT229" i="64"/>
  <c r="BP229" i="64"/>
  <c r="AO68" i="65"/>
  <c r="AU316" i="64"/>
  <c r="AQ59" i="65"/>
  <c r="AP231" i="64"/>
  <c r="BJ269" i="64"/>
  <c r="BT269" i="64"/>
  <c r="AO74" i="65"/>
  <c r="AU63" i="65"/>
  <c r="BN61" i="65"/>
  <c r="BY67" i="65"/>
  <c r="AZ226" i="64"/>
  <c r="AS310" i="64"/>
  <c r="BM232" i="64"/>
  <c r="AP117" i="65"/>
  <c r="BX316" i="64"/>
  <c r="BS65" i="65"/>
  <c r="BE112" i="65"/>
  <c r="BP264" i="64"/>
  <c r="AU273" i="64"/>
  <c r="AT270" i="64"/>
  <c r="AZ230" i="64"/>
  <c r="BI68" i="65"/>
  <c r="BE228" i="64"/>
  <c r="BH274" i="64"/>
  <c r="AP61" i="65"/>
  <c r="BE275" i="64"/>
  <c r="BW232" i="64"/>
  <c r="BT64" i="65"/>
  <c r="BS233" i="64"/>
  <c r="AY312" i="64"/>
  <c r="BF266" i="64"/>
  <c r="BW268" i="64"/>
  <c r="BI310" i="64"/>
  <c r="AY313" i="64"/>
  <c r="AY318" i="64"/>
  <c r="BE307" i="64"/>
  <c r="BS264" i="64"/>
  <c r="BN268" i="64"/>
  <c r="BI58" i="65"/>
  <c r="AZ55" i="65"/>
  <c r="AQ314" i="64"/>
  <c r="BB61" i="65"/>
  <c r="BE318" i="64"/>
  <c r="BL73" i="65"/>
  <c r="BH318" i="64"/>
  <c r="AR307" i="64"/>
  <c r="BA232" i="64"/>
  <c r="BK313" i="64"/>
  <c r="BF312" i="64"/>
  <c r="BE222" i="64"/>
  <c r="BS231" i="64"/>
  <c r="BY55" i="65"/>
  <c r="BK274" i="64"/>
  <c r="BJ55" i="65"/>
  <c r="AO100" i="65"/>
  <c r="BP71" i="65"/>
  <c r="AS67" i="65"/>
  <c r="BV55" i="65"/>
  <c r="BK62" i="65"/>
  <c r="BV56" i="65"/>
  <c r="AR275" i="64"/>
  <c r="BE312" i="64"/>
  <c r="BE66" i="65"/>
  <c r="BS58" i="65"/>
  <c r="BG274" i="64"/>
  <c r="BH228" i="64"/>
  <c r="AV69" i="65"/>
  <c r="AY268" i="64"/>
  <c r="AV318" i="64"/>
  <c r="BO309" i="64"/>
  <c r="BI107" i="65"/>
  <c r="AX116" i="65"/>
  <c r="BB314" i="64"/>
  <c r="AR229" i="64"/>
  <c r="AR311" i="64"/>
  <c r="BR266" i="64"/>
  <c r="AS230" i="64"/>
  <c r="BL99" i="65"/>
  <c r="BB109" i="65"/>
  <c r="BR233" i="64"/>
  <c r="AR55" i="65"/>
  <c r="BF275" i="64"/>
  <c r="BJ316" i="64"/>
  <c r="AW314" i="64"/>
  <c r="BK222" i="64"/>
  <c r="BX273" i="64"/>
  <c r="AU275" i="64"/>
  <c r="BH231" i="64"/>
  <c r="BW275" i="64"/>
  <c r="BH60" i="65"/>
  <c r="AN68" i="65"/>
  <c r="BD318" i="64"/>
  <c r="AV111" i="65"/>
  <c r="AW62" i="65"/>
  <c r="BP314" i="64"/>
  <c r="BQ117" i="65"/>
  <c r="AS57" i="65"/>
  <c r="BT310" i="64"/>
  <c r="BM227" i="64"/>
  <c r="BT58" i="65"/>
  <c r="BF113" i="65"/>
  <c r="BE349" i="64"/>
  <c r="AY349" i="64"/>
  <c r="BC349" i="64"/>
  <c r="AZ349" i="64"/>
  <c r="BI272" i="64"/>
  <c r="AX100" i="65"/>
  <c r="AW270" i="64"/>
  <c r="AY105" i="65"/>
  <c r="BU72" i="65"/>
  <c r="AQ318" i="64"/>
  <c r="AP74" i="65"/>
  <c r="BK270" i="64"/>
  <c r="BJ228" i="64"/>
  <c r="BK307" i="64"/>
  <c r="AW61" i="65"/>
  <c r="BT315" i="64"/>
  <c r="BG57" i="65"/>
  <c r="BO67" i="65"/>
  <c r="BY58" i="65"/>
  <c r="BB116" i="65"/>
  <c r="BD227" i="64"/>
  <c r="BO226" i="64"/>
  <c r="AV307" i="64"/>
  <c r="BJ73" i="65"/>
  <c r="BN314" i="64"/>
  <c r="BA61" i="65"/>
  <c r="AU61" i="65"/>
  <c r="BW271" i="64"/>
  <c r="AU73" i="65"/>
  <c r="BO101" i="65"/>
  <c r="AX110" i="65"/>
  <c r="BL264" i="64"/>
  <c r="AZ116" i="65"/>
  <c r="BO66" i="65"/>
  <c r="BU99" i="65"/>
  <c r="BS62" i="65"/>
  <c r="AN56" i="65"/>
  <c r="BH63" i="65"/>
  <c r="BD229" i="64"/>
  <c r="BJ222" i="64"/>
  <c r="AW316" i="64"/>
  <c r="BP231" i="64"/>
  <c r="BN103" i="65"/>
  <c r="BM317" i="64"/>
  <c r="BL115" i="65"/>
  <c r="BM307" i="64"/>
  <c r="BC318" i="64"/>
  <c r="BP114" i="65"/>
  <c r="BE317" i="64"/>
  <c r="BH110" i="65"/>
  <c r="BJ226" i="64"/>
  <c r="BJ115" i="65"/>
  <c r="BE274" i="64"/>
  <c r="BJ312" i="64"/>
  <c r="BG110" i="65"/>
  <c r="BM275" i="64"/>
  <c r="BI71" i="65"/>
  <c r="AR71" i="65"/>
  <c r="BD309" i="64"/>
  <c r="BR73" i="65"/>
  <c r="BG53" i="65"/>
  <c r="BT233" i="64"/>
  <c r="BH67" i="65"/>
  <c r="BK56" i="65"/>
  <c r="BT113" i="65"/>
  <c r="AZ315" i="64"/>
  <c r="AY71" i="65"/>
  <c r="BK314" i="64"/>
  <c r="BK230" i="64"/>
  <c r="BC227" i="64"/>
  <c r="BC316" i="64"/>
  <c r="BU115" i="65"/>
  <c r="AQ116" i="65"/>
  <c r="BS226" i="64"/>
  <c r="BC317" i="64"/>
  <c r="AZ317" i="64"/>
  <c r="BP65" i="65"/>
  <c r="AT63" i="65"/>
  <c r="AV102" i="65"/>
  <c r="AO63" i="65"/>
  <c r="AU99" i="65"/>
  <c r="BP62" i="65"/>
  <c r="BJ264" i="64"/>
  <c r="BM99" i="65"/>
  <c r="BL70" i="65"/>
  <c r="AR106" i="65"/>
  <c r="BA57" i="65"/>
  <c r="BT68" i="65"/>
  <c r="BM313" i="64"/>
  <c r="BK100" i="65"/>
  <c r="AN118" i="65"/>
  <c r="BD70" i="65"/>
  <c r="AV222" i="64"/>
  <c r="AW233" i="64"/>
  <c r="BJ69" i="65"/>
  <c r="BS113" i="65"/>
  <c r="AW272" i="64"/>
  <c r="AR312" i="64"/>
  <c r="AY53" i="65"/>
  <c r="AU318" i="64"/>
  <c r="AV268" i="64"/>
  <c r="AZ61" i="65"/>
  <c r="BO73" i="65"/>
  <c r="AW312" i="64"/>
  <c r="BY62" i="65"/>
  <c r="BB309" i="64"/>
  <c r="BR264" i="64"/>
  <c r="BN273" i="64"/>
  <c r="BH66" i="65"/>
  <c r="BE103" i="65"/>
  <c r="AX225" i="64"/>
  <c r="BH273" i="64"/>
  <c r="BN316" i="64"/>
  <c r="BQ104" i="65"/>
  <c r="BA229" i="64"/>
  <c r="BI233" i="64"/>
  <c r="BO272" i="64"/>
  <c r="AZ264" i="64"/>
  <c r="BQ73" i="65"/>
  <c r="BX307" i="64"/>
  <c r="BK101" i="65"/>
  <c r="AR310" i="64"/>
  <c r="BS105" i="65"/>
  <c r="BZ67" i="65"/>
  <c r="BD99" i="65"/>
  <c r="BI74" i="65"/>
  <c r="BT74" i="65"/>
  <c r="AQ316" i="64"/>
  <c r="BI115" i="65"/>
  <c r="BG71" i="65"/>
  <c r="BJ113" i="65"/>
  <c r="BE316" i="64"/>
  <c r="BQ316" i="64"/>
  <c r="BJ229" i="64"/>
  <c r="BJ60" i="65"/>
  <c r="AQ108" i="65"/>
  <c r="AN117" i="65"/>
  <c r="BH55" i="65"/>
  <c r="BQ273" i="64"/>
  <c r="BO105" i="65"/>
  <c r="BO56" i="65"/>
  <c r="AS309" i="64"/>
  <c r="BW269" i="64"/>
  <c r="AT58" i="65"/>
  <c r="AT116" i="65"/>
  <c r="AN66" i="65"/>
  <c r="BB266" i="64"/>
  <c r="AW275" i="64"/>
  <c r="BC315" i="64"/>
  <c r="BM69" i="65"/>
  <c r="BI309" i="64"/>
  <c r="AZ316" i="64"/>
  <c r="AP53" i="65"/>
  <c r="AN108" i="65"/>
  <c r="AU56" i="65"/>
  <c r="BL56" i="65"/>
  <c r="BQ113" i="65"/>
  <c r="BP69" i="65"/>
  <c r="AQ73" i="65"/>
  <c r="BP66" i="65"/>
  <c r="BW226" i="64"/>
  <c r="BF264" i="64"/>
  <c r="BO111" i="65"/>
  <c r="BL74" i="65"/>
  <c r="BA114" i="65"/>
  <c r="BI69" i="65"/>
  <c r="AP69" i="65"/>
  <c r="BJ272" i="64"/>
  <c r="AY59" i="65"/>
  <c r="BX310" i="64"/>
  <c r="AV68" i="65"/>
  <c r="BY115" i="65"/>
  <c r="BR67" i="65"/>
  <c r="AW271" i="64"/>
  <c r="BF114" i="65"/>
  <c r="BA107" i="65"/>
  <c r="BH272" i="64"/>
  <c r="BY99" i="65"/>
  <c r="BA226" i="64"/>
  <c r="AO117" i="65"/>
  <c r="BK60" i="65"/>
  <c r="AQ313" i="64"/>
  <c r="BY57" i="65"/>
  <c r="BI230" i="64"/>
  <c r="AW311" i="64"/>
  <c r="BS222" i="64"/>
  <c r="BG273" i="64"/>
  <c r="BM73" i="65"/>
  <c r="BT312" i="64"/>
  <c r="BM226" i="64"/>
  <c r="BU111" i="65"/>
  <c r="AP106" i="65"/>
  <c r="BJ100" i="65"/>
  <c r="BD72" i="65"/>
  <c r="BT112" i="65"/>
  <c r="BF109" i="65"/>
  <c r="BG58" i="65"/>
  <c r="AS231" i="64"/>
  <c r="AR53" i="65"/>
  <c r="BF227" i="64"/>
  <c r="BQ315" i="64"/>
  <c r="BN225" i="64"/>
  <c r="BQ106" i="65"/>
  <c r="AW57" i="65"/>
  <c r="BJ70" i="65"/>
  <c r="AY267" i="64"/>
  <c r="BF315" i="64"/>
  <c r="AW103" i="65"/>
  <c r="BI111" i="65"/>
  <c r="AQ274" i="64"/>
  <c r="AW113" i="65"/>
  <c r="BC112" i="65"/>
  <c r="AS111" i="65"/>
  <c r="AQ275" i="64"/>
  <c r="BY109" i="65"/>
  <c r="BM318" i="64"/>
  <c r="AZ114" i="65"/>
  <c r="AT274" i="64"/>
  <c r="BL57" i="65"/>
  <c r="BM224" i="64"/>
  <c r="BF102" i="65"/>
  <c r="BF233" i="64"/>
  <c r="AQ60" i="65"/>
  <c r="BO267" i="64"/>
  <c r="BT69" i="65"/>
  <c r="BD267" i="64"/>
  <c r="BR70" i="65"/>
  <c r="BO269" i="64"/>
  <c r="AY311" i="64"/>
  <c r="AS272" i="64"/>
  <c r="BT230" i="64"/>
  <c r="AZ268" i="64"/>
  <c r="BA55" i="65"/>
  <c r="BH104" i="65"/>
  <c r="BT116" i="65"/>
  <c r="BI116" i="65"/>
  <c r="AP63" i="65"/>
  <c r="AU309" i="64"/>
  <c r="BB311" i="64"/>
  <c r="BQ313" i="64"/>
  <c r="AQ100" i="65"/>
  <c r="BQ67" i="65"/>
  <c r="BX272" i="64"/>
  <c r="BG315" i="64"/>
  <c r="AZ99" i="65"/>
  <c r="BS101" i="65"/>
  <c r="BM67" i="65"/>
  <c r="BP233" i="64"/>
  <c r="BA102" i="65"/>
  <c r="BU104" i="65"/>
  <c r="AQ55" i="65"/>
  <c r="AU101" i="65"/>
  <c r="BP100" i="65"/>
  <c r="AQ312" i="64"/>
  <c r="AT267" i="64"/>
  <c r="BG69" i="65"/>
  <c r="BH315" i="64"/>
  <c r="AO103" i="65"/>
  <c r="BG105" i="65"/>
  <c r="BY69" i="65"/>
  <c r="BR310" i="64"/>
  <c r="BX315" i="64"/>
  <c r="AQ66" i="65"/>
  <c r="AS225" i="64"/>
  <c r="AW231" i="64"/>
  <c r="BP74" i="65"/>
  <c r="BL111" i="65"/>
  <c r="BZ62" i="65"/>
  <c r="BP104" i="65"/>
  <c r="BY101" i="65"/>
  <c r="BA318" i="64"/>
  <c r="AX269" i="64"/>
  <c r="BI349" i="64"/>
  <c r="BR349" i="64"/>
  <c r="BP349" i="64"/>
  <c r="AW349" i="64"/>
  <c r="BQ314" i="64"/>
  <c r="BF311" i="64"/>
  <c r="AQ271" i="64"/>
  <c r="AS112" i="65"/>
  <c r="AU108" i="65"/>
  <c r="BG67" i="65"/>
  <c r="BL113" i="65"/>
  <c r="BP307" i="64"/>
  <c r="BG267" i="64"/>
  <c r="BU68" i="65"/>
  <c r="AY225" i="64"/>
  <c r="BL59" i="65"/>
  <c r="AR65" i="65"/>
  <c r="AR104" i="65"/>
  <c r="BE114" i="65"/>
  <c r="AY309" i="64"/>
  <c r="AZ118" i="65"/>
  <c r="AY314" i="64"/>
  <c r="BO106" i="65"/>
  <c r="BL232" i="64"/>
  <c r="BR105" i="65"/>
  <c r="BE272" i="64"/>
  <c r="AX53" i="65"/>
  <c r="AV58" i="65"/>
  <c r="BU113" i="65"/>
  <c r="AX267" i="64"/>
  <c r="BA108" i="65"/>
  <c r="AY70" i="65"/>
  <c r="BL104" i="65"/>
  <c r="BN68" i="65"/>
  <c r="BC53" i="65"/>
  <c r="AZ110" i="65"/>
  <c r="BN69" i="65"/>
  <c r="AZ72" i="65"/>
  <c r="AP68" i="65"/>
  <c r="BC270" i="64"/>
  <c r="AV112" i="65"/>
  <c r="BE227" i="64"/>
  <c r="BQ318" i="64"/>
  <c r="AW69" i="65"/>
  <c r="BQ311" i="64"/>
  <c r="BW316" i="64"/>
  <c r="BE107" i="65"/>
  <c r="BE115" i="65"/>
  <c r="BT309" i="64"/>
  <c r="BQ267" i="64"/>
  <c r="BA60" i="65"/>
  <c r="BP118" i="65"/>
  <c r="AR67" i="65"/>
  <c r="BE269" i="64"/>
  <c r="BX311" i="64"/>
  <c r="BF101" i="65"/>
  <c r="BV117" i="65"/>
  <c r="BC230" i="64"/>
  <c r="AW101" i="65"/>
  <c r="AS103" i="65"/>
  <c r="BD105" i="65"/>
  <c r="BM314" i="64"/>
  <c r="BM62" i="65"/>
  <c r="AV101" i="65"/>
  <c r="BF268" i="64"/>
  <c r="AS314" i="64"/>
  <c r="BQ307" i="64"/>
  <c r="BB224" i="64"/>
  <c r="AV64" i="65"/>
  <c r="BU103" i="65"/>
  <c r="BL316" i="64"/>
  <c r="BP228" i="64"/>
  <c r="BC105" i="65"/>
  <c r="BA275" i="64"/>
  <c r="AR74" i="65"/>
  <c r="BR231" i="64"/>
  <c r="BA106" i="65"/>
  <c r="BC117" i="65"/>
  <c r="BU100" i="65"/>
  <c r="AX107" i="65"/>
  <c r="BS311" i="64"/>
  <c r="BI231" i="64"/>
  <c r="BJ225" i="64"/>
  <c r="BR112" i="65"/>
  <c r="BI275" i="64"/>
  <c r="BR116" i="65"/>
  <c r="AW112" i="65"/>
  <c r="BO100" i="65"/>
  <c r="BF117" i="65"/>
  <c r="BT318" i="64"/>
  <c r="BR316" i="64"/>
  <c r="AW67" i="65"/>
  <c r="BQ64" i="65"/>
  <c r="BK106" i="65"/>
  <c r="AO61" i="65"/>
  <c r="AS105" i="65"/>
  <c r="BM115" i="65"/>
  <c r="BO55" i="65"/>
  <c r="BQ224" i="64"/>
  <c r="BU112" i="65"/>
  <c r="BD312" i="64"/>
  <c r="BD311" i="64"/>
  <c r="BC99" i="65"/>
  <c r="BV71" i="65"/>
  <c r="BJ109" i="65"/>
  <c r="BI315" i="64"/>
  <c r="AS73" i="65"/>
  <c r="BN107" i="65"/>
  <c r="BG102" i="65"/>
  <c r="BL225" i="64"/>
  <c r="AX309" i="64"/>
  <c r="BL62" i="65"/>
  <c r="BU106" i="65"/>
  <c r="AP222" i="64"/>
  <c r="BW267" i="64"/>
  <c r="AR107" i="65"/>
  <c r="AW310" i="64"/>
  <c r="BG108" i="65"/>
  <c r="BB114" i="65"/>
  <c r="AW309" i="64"/>
  <c r="BB233" i="64"/>
  <c r="AT59" i="65"/>
  <c r="BB312" i="64"/>
  <c r="AQ307" i="64"/>
  <c r="BS117" i="65"/>
  <c r="BM228" i="64"/>
  <c r="AY315" i="64"/>
  <c r="AX273" i="64"/>
  <c r="BK68" i="65"/>
  <c r="BP266" i="64"/>
  <c r="AX233" i="64"/>
  <c r="AS307" i="64"/>
  <c r="BE108" i="65"/>
  <c r="AY64" i="65"/>
  <c r="BR114" i="65"/>
  <c r="BM312" i="64"/>
  <c r="BT314" i="64"/>
  <c r="AT316" i="64"/>
  <c r="BI222" i="64"/>
  <c r="BB317" i="64"/>
  <c r="BI317" i="64"/>
  <c r="BF69" i="65"/>
  <c r="BY70" i="65"/>
  <c r="BM58" i="65"/>
  <c r="AN102" i="65"/>
  <c r="BL349" i="64"/>
  <c r="AQ349" i="64"/>
  <c r="AR349" i="64"/>
  <c r="BW349" i="64"/>
  <c r="AZ229" i="64"/>
  <c r="BP108" i="65"/>
  <c r="BG226" i="64"/>
  <c r="BB307" i="64"/>
  <c r="AS101" i="65"/>
  <c r="BM107" i="65"/>
  <c r="BL61" i="65"/>
  <c r="BT111" i="65"/>
  <c r="AR269" i="64"/>
  <c r="BH62" i="65"/>
  <c r="BP311" i="64"/>
  <c r="AZ231" i="64"/>
  <c r="BM63" i="65"/>
  <c r="AS56" i="65"/>
  <c r="BK312" i="64"/>
  <c r="AU274" i="64"/>
  <c r="BD59" i="65"/>
  <c r="AO62" i="65"/>
  <c r="AY227" i="64"/>
  <c r="BF318" i="64"/>
  <c r="AU315" i="64"/>
  <c r="BZ118" i="65"/>
  <c r="AZ267" i="64"/>
  <c r="BN66" i="65"/>
  <c r="AV110" i="65"/>
  <c r="BI102" i="65"/>
  <c r="AV224" i="64"/>
  <c r="AW116" i="65"/>
  <c r="BE229" i="64"/>
  <c r="AU55" i="65"/>
  <c r="BP315" i="64"/>
  <c r="AY118" i="65"/>
  <c r="AR115" i="65"/>
  <c r="AZ270" i="64"/>
  <c r="BG312" i="64"/>
  <c r="BR65" i="65"/>
  <c r="BA270" i="64"/>
  <c r="AP60" i="65"/>
  <c r="BC225" i="64"/>
  <c r="AV61" i="65"/>
  <c r="AV273" i="64"/>
  <c r="BH224" i="64"/>
  <c r="BS70" i="65"/>
  <c r="AW100" i="65"/>
  <c r="AY274" i="64"/>
  <c r="BW224" i="64"/>
  <c r="AW264" i="64"/>
  <c r="AP314" i="64"/>
  <c r="BY56" i="65"/>
  <c r="BA56" i="65"/>
  <c r="BB64" i="65"/>
  <c r="BS313" i="64"/>
  <c r="BB267" i="64"/>
  <c r="BL108" i="65"/>
  <c r="BT232" i="64"/>
  <c r="BX230" i="64"/>
  <c r="AN72" i="65"/>
  <c r="AO114" i="65"/>
  <c r="AR110" i="65"/>
  <c r="BN318" i="64"/>
  <c r="BZ114" i="65"/>
  <c r="AT229" i="64"/>
  <c r="AQ62" i="65"/>
  <c r="BS310" i="64"/>
  <c r="BG269" i="64"/>
  <c r="BM118" i="65"/>
  <c r="AX313" i="64"/>
  <c r="BO313" i="64"/>
  <c r="AY101" i="65"/>
  <c r="BI271" i="64"/>
  <c r="AU313" i="64"/>
  <c r="AW269" i="64"/>
  <c r="AP269" i="64"/>
  <c r="BU65" i="65"/>
  <c r="BG104" i="65"/>
  <c r="AT114" i="65"/>
  <c r="BC69" i="65"/>
  <c r="AQ264" i="64"/>
  <c r="BF222" i="64"/>
  <c r="AV315" i="64"/>
  <c r="BV102" i="65"/>
  <c r="BA53" i="65"/>
  <c r="BD64" i="65"/>
  <c r="BE311" i="64"/>
  <c r="BH316" i="64"/>
  <c r="BF65" i="65"/>
  <c r="BI67" i="65"/>
  <c r="BA314" i="64"/>
  <c r="BB106" i="65"/>
  <c r="AT66" i="65"/>
  <c r="BD313" i="64"/>
  <c r="BJ110" i="65"/>
  <c r="BA268" i="64"/>
  <c r="AU224" i="64"/>
  <c r="BZ101" i="65"/>
  <c r="BX229" i="64"/>
  <c r="AQ57" i="65"/>
  <c r="BZ60" i="65"/>
  <c r="AT228" i="64"/>
  <c r="BT102" i="65"/>
  <c r="AY113" i="65"/>
  <c r="BF224" i="64"/>
  <c r="BX231" i="64"/>
  <c r="AP275" i="64"/>
  <c r="AU116" i="65"/>
  <c r="BD69" i="65"/>
  <c r="BE117" i="65"/>
  <c r="BC228" i="64"/>
  <c r="BG70" i="65"/>
  <c r="BE230" i="64"/>
  <c r="BJ118" i="65"/>
  <c r="AV228" i="64"/>
  <c r="BB74" i="65"/>
  <c r="BM311" i="64"/>
  <c r="BB316" i="64"/>
  <c r="AN73" i="65"/>
  <c r="BH275" i="64"/>
  <c r="BT307" i="64"/>
  <c r="AV74" i="65"/>
  <c r="AS60" i="65"/>
  <c r="BQ55" i="65"/>
  <c r="BI105" i="65"/>
  <c r="BM310" i="64"/>
  <c r="AZ102" i="65"/>
  <c r="AV56" i="65"/>
  <c r="AS275" i="64"/>
  <c r="AW106" i="65"/>
  <c r="AZ228" i="64"/>
  <c r="BJ68" i="65"/>
  <c r="AU67" i="65"/>
  <c r="BJ64" i="65"/>
  <c r="BY66" i="65"/>
  <c r="BT100" i="65"/>
  <c r="BL229" i="64"/>
  <c r="AX228" i="64"/>
  <c r="BF60" i="65"/>
  <c r="AS270" i="64"/>
  <c r="AZ272" i="64"/>
  <c r="BQ309" i="64"/>
  <c r="AT61" i="65"/>
  <c r="BF116" i="65"/>
  <c r="BK224" i="64"/>
  <c r="BB60" i="65"/>
  <c r="BD73" i="65"/>
  <c r="BF230" i="64"/>
  <c r="BA313" i="64"/>
  <c r="BU57" i="65"/>
  <c r="AS113" i="65"/>
  <c r="AY68" i="65"/>
  <c r="BA310" i="64"/>
  <c r="BX269" i="64"/>
  <c r="BD224" i="64"/>
  <c r="BD225" i="64"/>
  <c r="BU59" i="65"/>
  <c r="BF67" i="65"/>
  <c r="BO71" i="65"/>
  <c r="BS66" i="65"/>
  <c r="BG60" i="65"/>
  <c r="BI110" i="65"/>
  <c r="AP227" i="64"/>
  <c r="AW232" i="64"/>
  <c r="BQ69" i="65"/>
  <c r="BR63" i="65"/>
  <c r="AP230" i="64"/>
  <c r="AO73" i="65"/>
  <c r="BK110" i="65"/>
  <c r="AQ101" i="65"/>
  <c r="AP273" i="64"/>
  <c r="BF229" i="64"/>
  <c r="AS110" i="65"/>
  <c r="BI104" i="65"/>
  <c r="AS311" i="64"/>
  <c r="AP313" i="64"/>
  <c r="BC312" i="64"/>
  <c r="BS115" i="65"/>
  <c r="BV74" i="65"/>
  <c r="BL103" i="65"/>
  <c r="BN110" i="65"/>
  <c r="AZ222" i="64"/>
  <c r="AW227" i="64"/>
  <c r="AZ311" i="64"/>
  <c r="AY233" i="64"/>
  <c r="BE309" i="64"/>
  <c r="AQ227" i="64"/>
  <c r="AQ226" i="64"/>
  <c r="BS228" i="64"/>
  <c r="BO224" i="64"/>
  <c r="BA101" i="65"/>
  <c r="AW73" i="65"/>
  <c r="AT100" i="65"/>
  <c r="BS312" i="64"/>
  <c r="BQ114" i="65"/>
  <c r="BB102" i="65"/>
  <c r="BW310" i="64"/>
  <c r="BO61" i="65"/>
  <c r="BH232" i="64"/>
  <c r="AY66" i="65"/>
  <c r="AO66" i="65"/>
  <c r="BN63" i="65"/>
  <c r="AS102" i="65"/>
  <c r="AZ106" i="65"/>
  <c r="BK58" i="65"/>
  <c r="AV233" i="64"/>
  <c r="BM59" i="65"/>
  <c r="BO273" i="64"/>
  <c r="BN115" i="65"/>
  <c r="AQ107" i="65"/>
  <c r="AW110" i="65"/>
  <c r="AT73" i="65"/>
  <c r="AR317" i="64"/>
  <c r="AZ109" i="65"/>
  <c r="AQ99" i="65"/>
  <c r="BJ233" i="64"/>
  <c r="AT104" i="65"/>
  <c r="BR315" i="64"/>
  <c r="AN116" i="65"/>
  <c r="AO111" i="65"/>
  <c r="BH72" i="65"/>
  <c r="BJ61" i="65"/>
  <c r="BA103" i="65"/>
  <c r="AS318" i="64"/>
  <c r="AU64" i="65"/>
  <c r="BU71" i="65"/>
  <c r="AP311" i="64"/>
  <c r="BC314" i="64"/>
  <c r="AT227" i="64"/>
  <c r="BY72" i="65"/>
  <c r="BD274" i="64"/>
  <c r="BS316" i="64"/>
  <c r="BO62" i="65"/>
  <c r="BJ227" i="64"/>
  <c r="BO110" i="65"/>
  <c r="BT59" i="65"/>
  <c r="BQ228" i="64"/>
  <c r="AS228" i="64"/>
  <c r="BT275" i="64"/>
  <c r="BY108" i="65"/>
  <c r="BM272" i="64"/>
  <c r="BJ307" i="64"/>
  <c r="BS317" i="64"/>
  <c r="BD111" i="65"/>
  <c r="BA99" i="65"/>
  <c r="AZ313" i="64"/>
  <c r="BY61" i="65"/>
  <c r="BE313" i="64"/>
  <c r="BT72" i="65"/>
  <c r="AX222" i="64"/>
  <c r="BF57" i="65"/>
  <c r="BS349" i="64"/>
  <c r="BJ349" i="64"/>
  <c r="BF349" i="64"/>
  <c r="BA349" i="64"/>
  <c r="BT349" i="64"/>
  <c r="BQ116" i="65"/>
  <c r="BR62" i="65"/>
  <c r="BG113" i="65"/>
  <c r="BC226" i="64"/>
  <c r="BX318" i="64"/>
  <c r="BQ230" i="64"/>
  <c r="BP63" i="65"/>
  <c r="BL317" i="64"/>
  <c r="BS318" i="64"/>
  <c r="AP315" i="64"/>
  <c r="BA312" i="64"/>
  <c r="BT317" i="64"/>
  <c r="BB273" i="64"/>
  <c r="BN266" i="64"/>
  <c r="AS317" i="64"/>
  <c r="BE315" i="64"/>
  <c r="BT311" i="64"/>
  <c r="BR74" i="65"/>
  <c r="BN315" i="64"/>
  <c r="AX101" i="65"/>
  <c r="AS349" i="64"/>
  <c r="BH349" i="64"/>
  <c r="BI229" i="64"/>
  <c r="BQ61" i="65"/>
  <c r="BP106" i="65"/>
  <c r="AV349" i="64"/>
  <c r="BW314" i="64"/>
  <c r="AZ105" i="65"/>
  <c r="BE58" i="65"/>
  <c r="BK72" i="65"/>
  <c r="BC68" i="65"/>
  <c r="BK229" i="64"/>
  <c r="BD56" i="65"/>
  <c r="BH268" i="64"/>
  <c r="BU107" i="65"/>
  <c r="BZ116" i="65"/>
  <c r="BQ222" i="64"/>
  <c r="BR270" i="64"/>
  <c r="BB103" i="65"/>
  <c r="BV114" i="65"/>
  <c r="BI66" i="65"/>
  <c r="AU58" i="65"/>
  <c r="AT318" i="64"/>
  <c r="BL107" i="65"/>
  <c r="BW315" i="64"/>
  <c r="AY271" i="64"/>
  <c r="BI270" i="64"/>
  <c r="BQ349" i="64"/>
  <c r="BN349" i="64"/>
  <c r="AZ307" i="64"/>
  <c r="BG307" i="64"/>
  <c r="BB349" i="64"/>
  <c r="BV106" i="65"/>
  <c r="BT105" i="65"/>
  <c r="AU117" i="65"/>
  <c r="BT109" i="65"/>
  <c r="BT101" i="65"/>
  <c r="BB231" i="64"/>
  <c r="BO268" i="64"/>
  <c r="BX313" i="64"/>
  <c r="AN53" i="65"/>
  <c r="AS55" i="65"/>
  <c r="AQ53" i="65"/>
  <c r="BA225" i="64"/>
  <c r="BJ314" i="64"/>
  <c r="AY273" i="64"/>
  <c r="BP273" i="64"/>
  <c r="BR108" i="65"/>
  <c r="BT63" i="65"/>
  <c r="BI113" i="65"/>
  <c r="BA69" i="65"/>
  <c r="BK318" i="64"/>
  <c r="BF104" i="65"/>
  <c r="AS226" i="64"/>
  <c r="BR107" i="65"/>
  <c r="BT264" i="64"/>
  <c r="AP349" i="64"/>
  <c r="BM349" i="64"/>
  <c r="BZ73" i="65"/>
  <c r="BR309" i="64"/>
  <c r="BG349" i="64"/>
  <c r="BZ74" i="65"/>
  <c r="AW55" i="65"/>
  <c r="BO349" i="64"/>
  <c r="BR272" i="64"/>
  <c r="AW229" i="64"/>
  <c r="AV55" i="65"/>
  <c r="BF108" i="65"/>
  <c r="AY72" i="65"/>
  <c r="BC64" i="65"/>
  <c r="BZ53" i="65"/>
  <c r="BJ232" i="64"/>
  <c r="BD349" i="64"/>
  <c r="BH74" i="65"/>
  <c r="BB69" i="65"/>
  <c r="BZ65" i="65"/>
  <c r="BS118" i="65"/>
  <c r="BO104" i="65"/>
  <c r="BD228" i="64"/>
  <c r="BX271" i="64"/>
  <c r="AP267" i="64"/>
  <c r="AT317" i="64"/>
  <c r="BX268" i="64"/>
  <c r="AV72" i="65"/>
  <c r="AY58" i="65"/>
  <c r="BF228" i="64"/>
  <c r="BI106" i="65"/>
  <c r="AN65" i="65"/>
  <c r="BG275" i="64"/>
  <c r="BV70" i="65"/>
  <c r="BO232" i="64"/>
  <c r="AW266" i="64"/>
  <c r="AX109" i="65"/>
  <c r="BM110" i="65"/>
  <c r="BR228" i="64"/>
  <c r="BM66" i="65"/>
  <c r="BI65" i="65"/>
  <c r="AX226" i="64"/>
  <c r="AR114" i="65"/>
  <c r="BG100" i="65"/>
  <c r="BI100" i="65"/>
  <c r="BJ311" i="64"/>
  <c r="AZ273" i="64"/>
  <c r="BK61" i="65"/>
  <c r="BF64" i="65"/>
  <c r="BX312" i="64"/>
  <c r="BT271" i="64"/>
  <c r="AU222" i="64"/>
  <c r="AU310" i="64"/>
  <c r="BP111" i="65"/>
  <c r="BB55" i="65"/>
  <c r="BR307" i="64"/>
  <c r="BX349" i="64"/>
  <c r="BK349" i="64"/>
  <c r="AO53" i="65"/>
  <c r="AT349" i="64"/>
  <c r="AS118" i="65"/>
  <c r="AW104" i="65"/>
  <c r="AW318" i="64"/>
  <c r="BM112" i="65"/>
  <c r="BQ63" i="65"/>
  <c r="AU349" i="64"/>
  <c r="AP109" i="65"/>
  <c r="BH270" i="64"/>
  <c r="AO105" i="65"/>
  <c r="AX315" i="64"/>
  <c r="BJ107" i="65"/>
  <c r="BK63" i="65"/>
  <c r="BN231" i="64"/>
  <c r="BH317" i="64"/>
  <c r="AV63" i="65"/>
  <c r="AV225" i="64"/>
  <c r="BS73" i="65"/>
  <c r="BL105" i="65"/>
  <c r="BV118" i="65"/>
  <c r="AZ233" i="64"/>
  <c r="AZ104" i="65"/>
  <c r="AX349" i="64"/>
  <c r="BJ108" i="65"/>
  <c r="BC56" i="65"/>
  <c r="BT67" i="65"/>
  <c r="AY351" i="64"/>
  <c r="BX351" i="64"/>
  <c r="AP351" i="64"/>
  <c r="AU351" i="64"/>
  <c r="AX351" i="64"/>
  <c r="BW351" i="64"/>
  <c r="BJ351" i="64"/>
  <c r="BH351" i="64"/>
  <c r="AW351" i="64"/>
  <c r="BB351" i="64"/>
  <c r="BQ351" i="64"/>
  <c r="BR351" i="64"/>
  <c r="BP351" i="64"/>
  <c r="BN351" i="64"/>
  <c r="BO351" i="64"/>
  <c r="BM351" i="64"/>
  <c r="BA351" i="64"/>
  <c r="BE351" i="64"/>
  <c r="BS351" i="64"/>
  <c r="BI351" i="64"/>
  <c r="BD351" i="64"/>
  <c r="AT351" i="64"/>
  <c r="BC351" i="64"/>
  <c r="BT351" i="64"/>
  <c r="BK351" i="64"/>
  <c r="AZ351" i="64"/>
  <c r="BL351" i="64"/>
  <c r="AQ351" i="64"/>
  <c r="AV351" i="64"/>
  <c r="AR351" i="64"/>
  <c r="BG351" i="64"/>
  <c r="AS351" i="64"/>
  <c r="BF351" i="64"/>
  <c r="Y315" i="64" l="1"/>
  <c r="Y313" i="64"/>
  <c r="Y309" i="64"/>
  <c r="P309" i="64" s="1"/>
  <c r="Y230" i="64"/>
  <c r="Y311" i="64"/>
  <c r="Y229" i="64"/>
  <c r="Y269" i="64"/>
  <c r="Y227" i="64"/>
  <c r="Y272" i="64"/>
  <c r="Y316" i="64"/>
  <c r="Y274" i="64"/>
  <c r="Y317" i="64"/>
  <c r="Y312" i="64"/>
  <c r="Y318" i="64"/>
  <c r="Y275" i="64"/>
  <c r="Y228" i="64"/>
  <c r="Y231" i="64"/>
  <c r="Y268" i="64"/>
  <c r="Y266" i="64"/>
  <c r="O268" i="64" s="1" a="1"/>
  <c r="O268" i="64" s="1"/>
  <c r="K268" i="64" s="1"/>
  <c r="L268" i="64" s="1"/>
  <c r="Y226" i="64"/>
  <c r="Y224" i="64"/>
  <c r="Y232" i="64"/>
  <c r="Y271" i="64"/>
  <c r="Y314" i="64"/>
  <c r="Y310" i="64"/>
  <c r="Y267" i="64"/>
  <c r="Y273" i="64"/>
  <c r="Y270" i="64"/>
  <c r="Y225" i="64"/>
  <c r="Y233" i="64"/>
  <c r="AA351" i="64"/>
  <c r="AB351" i="64"/>
  <c r="O311" i="64" a="1"/>
  <c r="O311" i="64" s="1"/>
  <c r="N311" i="64" s="1"/>
  <c r="Q351" i="64"/>
  <c r="AI351" i="64"/>
  <c r="AG351" i="64"/>
  <c r="AF351" i="64"/>
  <c r="AE351" i="64"/>
  <c r="AD351" i="64"/>
  <c r="AC351" i="64"/>
  <c r="R352" i="64"/>
  <c r="S352" i="64"/>
  <c r="T352" i="64"/>
  <c r="U352" i="64"/>
  <c r="V352" i="64"/>
  <c r="W352" i="64"/>
  <c r="X352" i="64"/>
  <c r="AH352" i="64"/>
  <c r="AR352" i="64"/>
  <c r="BN352" i="64"/>
  <c r="BK352" i="64"/>
  <c r="AX352" i="64"/>
  <c r="BP352" i="64"/>
  <c r="BW352" i="64"/>
  <c r="BX352" i="64"/>
  <c r="BT352" i="64"/>
  <c r="BI352" i="64"/>
  <c r="AY352" i="64"/>
  <c r="BF352" i="64"/>
  <c r="AZ352" i="64"/>
  <c r="AT352" i="64"/>
  <c r="AW352" i="64"/>
  <c r="BD352" i="64"/>
  <c r="AS352" i="64"/>
  <c r="BM352" i="64"/>
  <c r="BA352" i="64"/>
  <c r="BH352" i="64"/>
  <c r="BS352" i="64"/>
  <c r="AU352" i="64"/>
  <c r="BC352" i="64"/>
  <c r="BO352" i="64"/>
  <c r="BL352" i="64"/>
  <c r="BE352" i="64"/>
  <c r="AQ352" i="64"/>
  <c r="BB352" i="64"/>
  <c r="BR352" i="64"/>
  <c r="BQ352" i="64"/>
  <c r="AP352" i="64"/>
  <c r="BJ352" i="64"/>
  <c r="AV352" i="64"/>
  <c r="BG352" i="64"/>
  <c r="O270" i="64" l="1" a="1"/>
  <c r="O270" i="64" s="1"/>
  <c r="K270" i="64" s="1"/>
  <c r="L270" i="64" s="1"/>
  <c r="O313" i="64" a="1"/>
  <c r="O313" i="64" s="1"/>
  <c r="N313" i="64" s="1"/>
  <c r="O314" i="64" a="1"/>
  <c r="O314" i="64" s="1"/>
  <c r="N314" i="64" s="1"/>
  <c r="O310" i="64" a="1"/>
  <c r="O310" i="64" s="1"/>
  <c r="K310" i="64" s="1"/>
  <c r="L310" i="64" s="1"/>
  <c r="O266" i="64" a="1"/>
  <c r="O266" i="64" s="1"/>
  <c r="K266" i="64" s="1"/>
  <c r="L266" i="64" s="1"/>
  <c r="O312" i="64" a="1"/>
  <c r="O312" i="64" s="1"/>
  <c r="N312" i="64" s="1"/>
  <c r="P226" i="64"/>
  <c r="I257" i="64" s="1"/>
  <c r="G342" i="64"/>
  <c r="G307" i="64"/>
  <c r="P224" i="64"/>
  <c r="G222" i="64" s="1"/>
  <c r="P311" i="64"/>
  <c r="I342" i="64" s="1"/>
  <c r="P225" i="64"/>
  <c r="O224" i="64" a="1"/>
  <c r="O224" i="64" s="1"/>
  <c r="O227" i="64" a="1"/>
  <c r="O227" i="64" s="1"/>
  <c r="O225" i="64" a="1"/>
  <c r="O225" i="64" s="1"/>
  <c r="N225" i="64" s="1"/>
  <c r="P267" i="64"/>
  <c r="O309" i="64" a="1"/>
  <c r="O309" i="64" s="1"/>
  <c r="K309" i="64" s="1"/>
  <c r="L309" i="64" s="1"/>
  <c r="P266" i="64"/>
  <c r="G299" i="64" s="1"/>
  <c r="O226" i="64" a="1"/>
  <c r="O226" i="64" s="1"/>
  <c r="N226" i="64" s="1"/>
  <c r="O271" i="64" a="1"/>
  <c r="O271" i="64" s="1"/>
  <c r="P268" i="64"/>
  <c r="I261" i="64" s="1"/>
  <c r="I278" i="64" s="1"/>
  <c r="O229" i="64" a="1"/>
  <c r="O229" i="64" s="1"/>
  <c r="O269" i="64" a="1"/>
  <c r="O269" i="64" s="1"/>
  <c r="G304" i="64"/>
  <c r="G312" i="64" s="1"/>
  <c r="O228" i="64" a="1"/>
  <c r="O228" i="64" s="1"/>
  <c r="O267" i="64" a="1"/>
  <c r="O267" i="64" s="1"/>
  <c r="P310" i="64"/>
  <c r="H342" i="64" s="1"/>
  <c r="I222" i="64"/>
  <c r="I219" i="64"/>
  <c r="I230" i="64" s="1"/>
  <c r="N268" i="64"/>
  <c r="AB352" i="64"/>
  <c r="AA352" i="64"/>
  <c r="K311" i="64"/>
  <c r="L311" i="64" s="1"/>
  <c r="N310" i="64"/>
  <c r="Q352" i="64"/>
  <c r="AI352" i="64"/>
  <c r="AG352" i="64"/>
  <c r="AF352" i="64"/>
  <c r="AE352" i="64"/>
  <c r="AD352" i="64"/>
  <c r="AC352" i="64"/>
  <c r="Z351" i="64"/>
  <c r="Y351" i="64" s="1"/>
  <c r="G326" i="64"/>
  <c r="G335" i="64"/>
  <c r="G325" i="64"/>
  <c r="R353" i="64"/>
  <c r="S353" i="64"/>
  <c r="T353" i="64"/>
  <c r="U353" i="64"/>
  <c r="V353" i="64"/>
  <c r="W353" i="64"/>
  <c r="X353" i="64"/>
  <c r="AH353" i="64"/>
  <c r="AP353" i="64"/>
  <c r="AX353" i="64"/>
  <c r="BN353" i="64"/>
  <c r="BA353" i="64"/>
  <c r="BS353" i="64"/>
  <c r="AY353" i="64"/>
  <c r="BI353" i="64"/>
  <c r="BO353" i="64"/>
  <c r="AT353" i="64"/>
  <c r="BD353" i="64"/>
  <c r="BT353" i="64"/>
  <c r="BP353" i="64"/>
  <c r="BX353" i="64"/>
  <c r="AU353" i="64"/>
  <c r="BL353" i="64"/>
  <c r="BC353" i="64"/>
  <c r="BM353" i="64"/>
  <c r="AQ353" i="64"/>
  <c r="BK353" i="64"/>
  <c r="AR353" i="64"/>
  <c r="BB353" i="64"/>
  <c r="BG353" i="64"/>
  <c r="AZ353" i="64"/>
  <c r="BR353" i="64"/>
  <c r="BF353" i="64"/>
  <c r="BJ353" i="64"/>
  <c r="BE353" i="64"/>
  <c r="AV353" i="64"/>
  <c r="BW353" i="64"/>
  <c r="AS353" i="64"/>
  <c r="AW353" i="64"/>
  <c r="BH353" i="64"/>
  <c r="BQ353" i="64"/>
  <c r="G333" i="64" l="1"/>
  <c r="G318" i="64"/>
  <c r="G316" i="64"/>
  <c r="G317" i="64"/>
  <c r="G330" i="64"/>
  <c r="G308" i="64"/>
  <c r="K313" i="64"/>
  <c r="L313" i="64" s="1"/>
  <c r="G327" i="64"/>
  <c r="G311" i="64"/>
  <c r="N270" i="64"/>
  <c r="G331" i="64"/>
  <c r="K314" i="64"/>
  <c r="L314" i="64" s="1"/>
  <c r="G336" i="64"/>
  <c r="G337" i="64"/>
  <c r="G314" i="64"/>
  <c r="G322" i="64"/>
  <c r="G328" i="64"/>
  <c r="G310" i="64"/>
  <c r="G329" i="64"/>
  <c r="G319" i="64"/>
  <c r="G309" i="64"/>
  <c r="G332" i="64"/>
  <c r="G321" i="64"/>
  <c r="G315" i="64"/>
  <c r="G313" i="64"/>
  <c r="G338" i="64"/>
  <c r="G320" i="64"/>
  <c r="I307" i="64"/>
  <c r="G264" i="64"/>
  <c r="I292" i="64"/>
  <c r="I304" i="64"/>
  <c r="I316" i="64" s="1"/>
  <c r="K312" i="64"/>
  <c r="L312" i="64" s="1"/>
  <c r="H307" i="64"/>
  <c r="N266" i="64"/>
  <c r="I248" i="64"/>
  <c r="I227" i="64"/>
  <c r="H304" i="64"/>
  <c r="H312" i="64" s="1"/>
  <c r="N309" i="64"/>
  <c r="I268" i="64"/>
  <c r="I223" i="64"/>
  <c r="I225" i="64"/>
  <c r="I237" i="64"/>
  <c r="I236" i="64"/>
  <c r="I247" i="64"/>
  <c r="I242" i="64"/>
  <c r="I243" i="64"/>
  <c r="I274" i="64"/>
  <c r="I226" i="64"/>
  <c r="I299" i="64"/>
  <c r="I269" i="64"/>
  <c r="I290" i="64"/>
  <c r="K225" i="64"/>
  <c r="L225" i="64" s="1"/>
  <c r="I267" i="64"/>
  <c r="I224" i="64"/>
  <c r="I294" i="64"/>
  <c r="I273" i="64"/>
  <c r="I271" i="64"/>
  <c r="I295" i="64"/>
  <c r="I286" i="64"/>
  <c r="I282" i="64"/>
  <c r="I279" i="64"/>
  <c r="I289" i="64"/>
  <c r="I253" i="64"/>
  <c r="I233" i="64"/>
  <c r="I266" i="64"/>
  <c r="G261" i="64"/>
  <c r="G271" i="64" s="1"/>
  <c r="G219" i="64"/>
  <c r="G223" i="64" s="1"/>
  <c r="I251" i="64"/>
  <c r="I272" i="64"/>
  <c r="I276" i="64"/>
  <c r="G257" i="64"/>
  <c r="I228" i="64"/>
  <c r="I240" i="64"/>
  <c r="I288" i="64"/>
  <c r="I293" i="64"/>
  <c r="I270" i="64"/>
  <c r="I264" i="64"/>
  <c r="I245" i="64"/>
  <c r="I246" i="64"/>
  <c r="I234" i="64"/>
  <c r="I235" i="64"/>
  <c r="I229" i="64"/>
  <c r="I232" i="64"/>
  <c r="I284" i="64"/>
  <c r="I275" i="64"/>
  <c r="I277" i="64"/>
  <c r="H299" i="64"/>
  <c r="H264" i="64"/>
  <c r="H261" i="64"/>
  <c r="N269" i="64"/>
  <c r="K269" i="64"/>
  <c r="L269" i="64" s="1"/>
  <c r="K229" i="64"/>
  <c r="L229" i="64" s="1"/>
  <c r="N229" i="64"/>
  <c r="K227" i="64"/>
  <c r="L227" i="64" s="1"/>
  <c r="N227" i="64"/>
  <c r="K224" i="64"/>
  <c r="L224" i="64" s="1"/>
  <c r="N224" i="64"/>
  <c r="G290" i="64"/>
  <c r="I285" i="64"/>
  <c r="I241" i="64"/>
  <c r="G284" i="64"/>
  <c r="I244" i="64"/>
  <c r="I287" i="64"/>
  <c r="I265" i="64"/>
  <c r="I283" i="64"/>
  <c r="K226" i="64"/>
  <c r="L226" i="64" s="1"/>
  <c r="K271" i="64"/>
  <c r="L271" i="64" s="1"/>
  <c r="N271" i="64"/>
  <c r="H219" i="64"/>
  <c r="H222" i="64"/>
  <c r="H257" i="64"/>
  <c r="K267" i="64"/>
  <c r="L267" i="64" s="1"/>
  <c r="N267" i="64"/>
  <c r="N228" i="64"/>
  <c r="K228" i="64"/>
  <c r="L228" i="64" s="1"/>
  <c r="I250" i="64"/>
  <c r="I252" i="64"/>
  <c r="I231" i="64"/>
  <c r="AB353" i="64"/>
  <c r="AA353" i="64"/>
  <c r="H308" i="64"/>
  <c r="Q353" i="64"/>
  <c r="H309" i="64"/>
  <c r="I312" i="64"/>
  <c r="H331" i="64"/>
  <c r="H338" i="64"/>
  <c r="H326" i="64"/>
  <c r="H328" i="64"/>
  <c r="H325" i="64"/>
  <c r="I331" i="64"/>
  <c r="I308" i="64"/>
  <c r="H319" i="64"/>
  <c r="H322" i="64"/>
  <c r="H316" i="64"/>
  <c r="H336" i="64"/>
  <c r="H315" i="64"/>
  <c r="H320" i="64"/>
  <c r="H332" i="64"/>
  <c r="H311" i="64"/>
  <c r="H329" i="64"/>
  <c r="H310" i="64"/>
  <c r="I319" i="64"/>
  <c r="H330" i="64"/>
  <c r="H335" i="64"/>
  <c r="H318" i="64"/>
  <c r="I327" i="64"/>
  <c r="I330" i="64"/>
  <c r="H327" i="64"/>
  <c r="H317" i="64"/>
  <c r="H321" i="64"/>
  <c r="H314" i="64"/>
  <c r="H337" i="64"/>
  <c r="H313" i="64"/>
  <c r="H333" i="64"/>
  <c r="I332" i="64"/>
  <c r="AI353" i="64"/>
  <c r="AG353" i="64"/>
  <c r="AF353" i="64"/>
  <c r="AE353" i="64"/>
  <c r="AD353" i="64"/>
  <c r="AC353" i="64"/>
  <c r="Z352" i="64"/>
  <c r="Y352" i="64" s="1"/>
  <c r="R354" i="64"/>
  <c r="S354" i="64"/>
  <c r="T354" i="64"/>
  <c r="U354" i="64"/>
  <c r="V354" i="64"/>
  <c r="W354" i="64"/>
  <c r="X354" i="64"/>
  <c r="AH354" i="64"/>
  <c r="BJ354" i="64"/>
  <c r="AY354" i="64"/>
  <c r="BM354" i="64"/>
  <c r="BH354" i="64"/>
  <c r="BF354" i="64"/>
  <c r="AQ354" i="64"/>
  <c r="BI354" i="64"/>
  <c r="BK354" i="64"/>
  <c r="BS354" i="64"/>
  <c r="AR354" i="64"/>
  <c r="BO354" i="64"/>
  <c r="BX354" i="64"/>
  <c r="BQ354" i="64"/>
  <c r="BP354" i="64"/>
  <c r="BL354" i="64"/>
  <c r="AW354" i="64"/>
  <c r="AX354" i="64"/>
  <c r="AS354" i="64"/>
  <c r="BA354" i="64"/>
  <c r="BD354" i="64"/>
  <c r="BR354" i="64"/>
  <c r="BN354" i="64"/>
  <c r="AU354" i="64"/>
  <c r="BB354" i="64"/>
  <c r="AV354" i="64"/>
  <c r="BC354" i="64"/>
  <c r="AP354" i="64"/>
  <c r="AT354" i="64"/>
  <c r="BG354" i="64"/>
  <c r="AZ354" i="64"/>
  <c r="BW354" i="64"/>
  <c r="BE354" i="64"/>
  <c r="BT354" i="64"/>
  <c r="I317" i="64" l="1"/>
  <c r="I309" i="64"/>
  <c r="I333" i="64"/>
  <c r="I313" i="64"/>
  <c r="G289" i="64"/>
  <c r="I320" i="64"/>
  <c r="I336" i="64"/>
  <c r="I326" i="64"/>
  <c r="I325" i="64"/>
  <c r="I329" i="64"/>
  <c r="I311" i="64"/>
  <c r="I338" i="64"/>
  <c r="I337" i="64"/>
  <c r="I318" i="64"/>
  <c r="I314" i="64"/>
  <c r="I335" i="64"/>
  <c r="I310" i="64"/>
  <c r="I315" i="64"/>
  <c r="I328" i="64"/>
  <c r="I321" i="64"/>
  <c r="I322" i="64"/>
  <c r="G277" i="64"/>
  <c r="G292" i="64"/>
  <c r="G288" i="64"/>
  <c r="G228" i="64"/>
  <c r="G294" i="64"/>
  <c r="G240" i="64"/>
  <c r="G236" i="64"/>
  <c r="G235" i="64"/>
  <c r="G243" i="64"/>
  <c r="G231" i="64"/>
  <c r="G234" i="64"/>
  <c r="G253" i="64"/>
  <c r="G232" i="64"/>
  <c r="G247" i="64"/>
  <c r="G252" i="64"/>
  <c r="G229" i="64"/>
  <c r="G225" i="64"/>
  <c r="G246" i="64"/>
  <c r="G233" i="64"/>
  <c r="G227" i="64"/>
  <c r="G248" i="64"/>
  <c r="G226" i="64"/>
  <c r="G250" i="64"/>
  <c r="G237" i="64"/>
  <c r="G245" i="64"/>
  <c r="G241" i="64"/>
  <c r="G242" i="64"/>
  <c r="G244" i="64"/>
  <c r="G230" i="64"/>
  <c r="G224" i="64"/>
  <c r="G251" i="64"/>
  <c r="G276" i="64"/>
  <c r="G269" i="64"/>
  <c r="G279" i="64"/>
  <c r="G287" i="64"/>
  <c r="G265" i="64"/>
  <c r="G270" i="64"/>
  <c r="G266" i="64"/>
  <c r="G285" i="64"/>
  <c r="G275" i="64"/>
  <c r="G272" i="64"/>
  <c r="G278" i="64"/>
  <c r="G286" i="64"/>
  <c r="G268" i="64"/>
  <c r="G267" i="64"/>
  <c r="G293" i="64"/>
  <c r="G295" i="64"/>
  <c r="G283" i="64"/>
  <c r="G274" i="64"/>
  <c r="G273" i="64"/>
  <c r="G282" i="64"/>
  <c r="H233" i="64"/>
  <c r="H229" i="64"/>
  <c r="H230" i="64"/>
  <c r="H240" i="64"/>
  <c r="H244" i="64"/>
  <c r="H226" i="64"/>
  <c r="H237" i="64"/>
  <c r="H241" i="64"/>
  <c r="H242" i="64"/>
  <c r="H248" i="64"/>
  <c r="H243" i="64"/>
  <c r="H224" i="64"/>
  <c r="H234" i="64"/>
  <c r="H228" i="64"/>
  <c r="H225" i="64"/>
  <c r="H223" i="64"/>
  <c r="H247" i="64"/>
  <c r="H252" i="64"/>
  <c r="H236" i="64"/>
  <c r="H227" i="64"/>
  <c r="H253" i="64"/>
  <c r="H251" i="64"/>
  <c r="H235" i="64"/>
  <c r="H232" i="64"/>
  <c r="H250" i="64"/>
  <c r="H245" i="64"/>
  <c r="H246" i="64"/>
  <c r="H231" i="64"/>
  <c r="H289" i="64"/>
  <c r="H270" i="64"/>
  <c r="H287" i="64"/>
  <c r="H273" i="64"/>
  <c r="H267" i="64"/>
  <c r="H290" i="64"/>
  <c r="H271" i="64"/>
  <c r="H285" i="64"/>
  <c r="H275" i="64"/>
  <c r="H282" i="64"/>
  <c r="H269" i="64"/>
  <c r="H286" i="64"/>
  <c r="H294" i="64"/>
  <c r="H268" i="64"/>
  <c r="H283" i="64"/>
  <c r="H277" i="64"/>
  <c r="H288" i="64"/>
  <c r="H265" i="64"/>
  <c r="H295" i="64"/>
  <c r="H292" i="64"/>
  <c r="H278" i="64"/>
  <c r="H266" i="64"/>
  <c r="H284" i="64"/>
  <c r="H272" i="64"/>
  <c r="H279" i="64"/>
  <c r="H276" i="64"/>
  <c r="H274" i="64"/>
  <c r="H293" i="64"/>
  <c r="AA354" i="64"/>
  <c r="AB354" i="64"/>
  <c r="Q354" i="64"/>
  <c r="Z353" i="64"/>
  <c r="Y353" i="64" s="1"/>
  <c r="AI354" i="64"/>
  <c r="AG354" i="64"/>
  <c r="AF354" i="64"/>
  <c r="AE354" i="64"/>
  <c r="AD354" i="64"/>
  <c r="AC354" i="64"/>
  <c r="R355" i="64"/>
  <c r="S355" i="64"/>
  <c r="T355" i="64"/>
  <c r="U355" i="64"/>
  <c r="V355" i="64"/>
  <c r="W355" i="64"/>
  <c r="X355" i="64"/>
  <c r="AH355" i="64"/>
  <c r="AU355" i="64"/>
  <c r="AY355" i="64"/>
  <c r="AV355" i="64"/>
  <c r="BS355" i="64"/>
  <c r="BQ355" i="64"/>
  <c r="BB355" i="64"/>
  <c r="BR355" i="64"/>
  <c r="AX355" i="64"/>
  <c r="BE355" i="64"/>
  <c r="BW355" i="64"/>
  <c r="AZ355" i="64"/>
  <c r="BP355" i="64"/>
  <c r="BT355" i="64"/>
  <c r="BN355" i="64"/>
  <c r="BD355" i="64"/>
  <c r="BJ355" i="64"/>
  <c r="AQ355" i="64"/>
  <c r="BF355" i="64"/>
  <c r="BG355" i="64"/>
  <c r="AS355" i="64"/>
  <c r="BL355" i="64"/>
  <c r="AR355" i="64"/>
  <c r="BM355" i="64"/>
  <c r="BA355" i="64"/>
  <c r="BX355" i="64"/>
  <c r="BK355" i="64"/>
  <c r="BC355" i="64"/>
  <c r="BH355" i="64"/>
  <c r="AW355" i="64"/>
  <c r="BO355" i="64"/>
  <c r="BI355" i="64"/>
  <c r="AT355" i="64"/>
  <c r="AP355" i="64"/>
  <c r="AA355" i="64" l="1"/>
  <c r="AB355" i="64"/>
  <c r="Q355" i="64"/>
  <c r="Z354" i="64"/>
  <c r="Y354" i="64" s="1"/>
  <c r="AI355" i="64"/>
  <c r="AG355" i="64"/>
  <c r="AF355" i="64"/>
  <c r="AE355" i="64"/>
  <c r="AD355" i="64"/>
  <c r="AC355" i="64"/>
  <c r="R356" i="64"/>
  <c r="S356" i="64"/>
  <c r="T356" i="64"/>
  <c r="U356" i="64"/>
  <c r="V356" i="64"/>
  <c r="W356" i="64"/>
  <c r="X356" i="64"/>
  <c r="AH356" i="64"/>
  <c r="AW356" i="64"/>
  <c r="BQ356" i="64"/>
  <c r="BW356" i="64"/>
  <c r="BO356" i="64"/>
  <c r="BA356" i="64"/>
  <c r="BR356" i="64"/>
  <c r="BS356" i="64"/>
  <c r="BH356" i="64"/>
  <c r="BC356" i="64"/>
  <c r="BN356" i="64"/>
  <c r="BM356" i="64"/>
  <c r="BK356" i="64"/>
  <c r="AY356" i="64"/>
  <c r="AQ356" i="64"/>
  <c r="AR356" i="64"/>
  <c r="BI356" i="64"/>
  <c r="BP356" i="64"/>
  <c r="BX356" i="64"/>
  <c r="AV356" i="64"/>
  <c r="AU356" i="64"/>
  <c r="AZ356" i="64"/>
  <c r="AX356" i="64"/>
  <c r="BF356" i="64"/>
  <c r="BL356" i="64"/>
  <c r="AS356" i="64"/>
  <c r="AP356" i="64"/>
  <c r="BD356" i="64"/>
  <c r="BG356" i="64"/>
  <c r="BB356" i="64"/>
  <c r="BT356" i="64"/>
  <c r="AT356" i="64"/>
  <c r="BJ356" i="64"/>
  <c r="BE356" i="64"/>
  <c r="AB356" i="64" l="1"/>
  <c r="AA356" i="64"/>
  <c r="Q356" i="64"/>
  <c r="Z355" i="64"/>
  <c r="Y355" i="64" s="1"/>
  <c r="AI356" i="64"/>
  <c r="AG356" i="64"/>
  <c r="AF356" i="64"/>
  <c r="AE356" i="64"/>
  <c r="AD356" i="64"/>
  <c r="AC356" i="64"/>
  <c r="R357" i="64"/>
  <c r="S357" i="64"/>
  <c r="T357" i="64"/>
  <c r="U357" i="64"/>
  <c r="V357" i="64"/>
  <c r="W357" i="64"/>
  <c r="X357" i="64"/>
  <c r="AH357" i="64"/>
  <c r="AX357" i="64"/>
  <c r="BA357" i="64"/>
  <c r="AZ357" i="64"/>
  <c r="BT357" i="64"/>
  <c r="BL357" i="64"/>
  <c r="BO357" i="64"/>
  <c r="BX357" i="64"/>
  <c r="AQ357" i="64"/>
  <c r="AR357" i="64"/>
  <c r="AP357" i="64"/>
  <c r="AU357" i="64"/>
  <c r="BB357" i="64"/>
  <c r="BI357" i="64"/>
  <c r="AT357" i="64"/>
  <c r="BE357" i="64"/>
  <c r="BK357" i="64"/>
  <c r="AY357" i="64"/>
  <c r="BQ357" i="64"/>
  <c r="BR357" i="64"/>
  <c r="BC357" i="64"/>
  <c r="BH357" i="64"/>
  <c r="BD357" i="64"/>
  <c r="BF357" i="64"/>
  <c r="AS357" i="64"/>
  <c r="BN357" i="64"/>
  <c r="BP357" i="64"/>
  <c r="AV357" i="64"/>
  <c r="BS357" i="64"/>
  <c r="BM357" i="64"/>
  <c r="AW357" i="64"/>
  <c r="BW357" i="64"/>
  <c r="BJ357" i="64"/>
  <c r="BG357" i="64"/>
  <c r="AA357" i="64" l="1"/>
  <c r="AB357" i="64"/>
  <c r="Q357" i="64"/>
  <c r="Z356" i="64"/>
  <c r="Y356" i="64" s="1"/>
  <c r="AI357" i="64"/>
  <c r="AG357" i="64"/>
  <c r="AF357" i="64"/>
  <c r="AE357" i="64"/>
  <c r="AD357" i="64"/>
  <c r="AC357" i="64"/>
  <c r="R358" i="64"/>
  <c r="S358" i="64"/>
  <c r="T358" i="64"/>
  <c r="U358" i="64"/>
  <c r="V358" i="64"/>
  <c r="W358" i="64"/>
  <c r="X358" i="64"/>
  <c r="AH358" i="64"/>
  <c r="BP358" i="64"/>
  <c r="AV358" i="64"/>
  <c r="BK358" i="64"/>
  <c r="BR358" i="64"/>
  <c r="BE358" i="64"/>
  <c r="BN358" i="64"/>
  <c r="BL358" i="64"/>
  <c r="BT358" i="64"/>
  <c r="BF358" i="64"/>
  <c r="BC358" i="64"/>
  <c r="BO358" i="64"/>
  <c r="AX358" i="64"/>
  <c r="BQ358" i="64"/>
  <c r="AS358" i="64"/>
  <c r="AT358" i="64"/>
  <c r="AU358" i="64"/>
  <c r="AW358" i="64"/>
  <c r="BA358" i="64"/>
  <c r="AQ358" i="64"/>
  <c r="BG358" i="64"/>
  <c r="BM358" i="64"/>
  <c r="BB358" i="64"/>
  <c r="AP358" i="64"/>
  <c r="BX358" i="64"/>
  <c r="BH358" i="64"/>
  <c r="AZ358" i="64"/>
  <c r="AR358" i="64"/>
  <c r="AY358" i="64"/>
  <c r="BJ358" i="64"/>
  <c r="BW358" i="64"/>
  <c r="BD358" i="64"/>
  <c r="BS358" i="64"/>
  <c r="BI358" i="64"/>
  <c r="AA358" i="64" l="1"/>
  <c r="AB358" i="64"/>
  <c r="Q358" i="64"/>
  <c r="Z357" i="64"/>
  <c r="Y357" i="64" s="1"/>
  <c r="AI358" i="64"/>
  <c r="AG358" i="64"/>
  <c r="AF358" i="64"/>
  <c r="AE358" i="64"/>
  <c r="AD358" i="64"/>
  <c r="AC358" i="64"/>
  <c r="R359" i="64"/>
  <c r="S359" i="64"/>
  <c r="T359" i="64"/>
  <c r="U359" i="64"/>
  <c r="V359" i="64"/>
  <c r="W359" i="64"/>
  <c r="X359" i="64"/>
  <c r="AH359" i="64"/>
  <c r="BT359" i="64"/>
  <c r="AZ359" i="64"/>
  <c r="BX359" i="64"/>
  <c r="AS359" i="64"/>
  <c r="BR359" i="64"/>
  <c r="BA359" i="64"/>
  <c r="BG359" i="64"/>
  <c r="AP359" i="64"/>
  <c r="BD359" i="64"/>
  <c r="AQ359" i="64"/>
  <c r="BF359" i="64"/>
  <c r="BS359" i="64"/>
  <c r="BK359" i="64"/>
  <c r="BQ359" i="64"/>
  <c r="BB359" i="64"/>
  <c r="BH359" i="64"/>
  <c r="BO359" i="64"/>
  <c r="BE359" i="64"/>
  <c r="AW359" i="64"/>
  <c r="BP359" i="64"/>
  <c r="AY359" i="64"/>
  <c r="AX359" i="64"/>
  <c r="BN359" i="64"/>
  <c r="AT359" i="64"/>
  <c r="BW359" i="64"/>
  <c r="BC359" i="64"/>
  <c r="BJ359" i="64"/>
  <c r="AU359" i="64"/>
  <c r="BI359" i="64"/>
  <c r="AV359" i="64"/>
  <c r="AR359" i="64"/>
  <c r="BL359" i="64"/>
  <c r="BM359" i="64"/>
  <c r="AA359" i="64" l="1"/>
  <c r="AB359" i="64"/>
  <c r="Q359" i="64"/>
  <c r="AI359" i="64"/>
  <c r="AG359" i="64"/>
  <c r="AF359" i="64"/>
  <c r="AE359" i="64"/>
  <c r="AD359" i="64"/>
  <c r="AC359" i="64"/>
  <c r="Z358" i="64"/>
  <c r="Y358" i="64" s="1"/>
  <c r="R360" i="64"/>
  <c r="S360" i="64"/>
  <c r="T360" i="64"/>
  <c r="U360" i="64"/>
  <c r="V360" i="64"/>
  <c r="W360" i="64"/>
  <c r="X360" i="64"/>
  <c r="AH360" i="64"/>
  <c r="BC360" i="64"/>
  <c r="BQ360" i="64"/>
  <c r="BN360" i="64"/>
  <c r="BR360" i="64"/>
  <c r="BL360" i="64"/>
  <c r="BO360" i="64"/>
  <c r="AY360" i="64"/>
  <c r="BA360" i="64"/>
  <c r="AR360" i="64"/>
  <c r="BI360" i="64"/>
  <c r="BG360" i="64"/>
  <c r="BB360" i="64"/>
  <c r="BM360" i="64"/>
  <c r="BF360" i="64"/>
  <c r="BH360" i="64"/>
  <c r="AQ360" i="64"/>
  <c r="BE360" i="64"/>
  <c r="AV360" i="64"/>
  <c r="AZ360" i="64"/>
  <c r="AT360" i="64"/>
  <c r="BP360" i="64"/>
  <c r="BJ360" i="64"/>
  <c r="AX360" i="64"/>
  <c r="BX360" i="64"/>
  <c r="AS360" i="64"/>
  <c r="AW360" i="64"/>
  <c r="BD360" i="64"/>
  <c r="BS360" i="64"/>
  <c r="BW360" i="64"/>
  <c r="BT360" i="64"/>
  <c r="BK360" i="64"/>
  <c r="AU360" i="64"/>
  <c r="AP360" i="64"/>
  <c r="AA360" i="64" l="1"/>
  <c r="AB360" i="64"/>
  <c r="Q360" i="64"/>
  <c r="Z359" i="64"/>
  <c r="Y359" i="64" s="1"/>
  <c r="AI360" i="64"/>
  <c r="AG360" i="64"/>
  <c r="AF360" i="64"/>
  <c r="AE360" i="64"/>
  <c r="AD360" i="64"/>
  <c r="AC360" i="64"/>
  <c r="Z360" i="64" l="1"/>
  <c r="Y360" i="64" s="1"/>
  <c r="D368" i="64" l="1"/>
  <c r="D369" i="64"/>
  <c r="D371" i="64"/>
  <c r="D372" i="64"/>
  <c r="D374" i="64"/>
  <c r="D375" i="64"/>
  <c r="AP391" i="64"/>
  <c r="AQ391" i="64"/>
  <c r="AR391" i="64"/>
  <c r="AS391" i="64"/>
  <c r="AT391" i="64"/>
  <c r="AU391" i="64"/>
  <c r="AV391" i="64"/>
  <c r="AW391" i="64"/>
  <c r="AX391" i="64"/>
  <c r="AY391" i="64"/>
  <c r="AZ391" i="64"/>
  <c r="BA391" i="64"/>
  <c r="BB391" i="64"/>
  <c r="BC391" i="64"/>
  <c r="BD391" i="64"/>
  <c r="Z392" i="64"/>
  <c r="BF392" i="64"/>
  <c r="BR392" i="64"/>
  <c r="BS392" i="64"/>
  <c r="BM392" i="64"/>
  <c r="BD392" i="64"/>
  <c r="BC392" i="64"/>
  <c r="BG392" i="64"/>
  <c r="BK392" i="64"/>
  <c r="BE392" i="64"/>
  <c r="AZ392" i="64"/>
  <c r="AR392" i="64"/>
  <c r="AT392" i="64"/>
  <c r="AV392" i="64"/>
  <c r="BI392" i="64"/>
  <c r="BP392" i="64"/>
  <c r="BJ392" i="64"/>
  <c r="BL392" i="64"/>
  <c r="BT392" i="64"/>
  <c r="AP392" i="64"/>
  <c r="AU392" i="64"/>
  <c r="BO392" i="64"/>
  <c r="BH392" i="64"/>
  <c r="AQ392" i="64"/>
  <c r="BW392" i="64"/>
  <c r="BX392" i="64"/>
  <c r="AW392" i="64"/>
  <c r="AX392" i="64"/>
  <c r="AY392" i="64"/>
  <c r="BA392" i="64"/>
  <c r="BQ392" i="64"/>
  <c r="BN392" i="64"/>
  <c r="BB392" i="64"/>
  <c r="AS392" i="64"/>
  <c r="P351" i="64" l="1"/>
  <c r="R394" i="64"/>
  <c r="S394" i="64"/>
  <c r="T394" i="64"/>
  <c r="U394" i="64"/>
  <c r="V394" i="64"/>
  <c r="W394" i="64"/>
  <c r="X394" i="64"/>
  <c r="AH394" i="64"/>
  <c r="BA394" i="64"/>
  <c r="BE394" i="64"/>
  <c r="BW394" i="64"/>
  <c r="BM394" i="64"/>
  <c r="BO394" i="64"/>
  <c r="AR394" i="64"/>
  <c r="AP394" i="64"/>
  <c r="AZ394" i="64"/>
  <c r="BB394" i="64"/>
  <c r="BL394" i="64"/>
  <c r="BX394" i="64"/>
  <c r="AX394" i="64"/>
  <c r="BK394" i="64"/>
  <c r="AW394" i="64"/>
  <c r="AS394" i="64"/>
  <c r="AV394" i="64"/>
  <c r="BP394" i="64"/>
  <c r="AT394" i="64"/>
  <c r="BF394" i="64"/>
  <c r="BH394" i="64"/>
  <c r="BN394" i="64"/>
  <c r="BS394" i="64"/>
  <c r="BT394" i="64"/>
  <c r="BR394" i="64"/>
  <c r="AQ394" i="64"/>
  <c r="BI394" i="64"/>
  <c r="BJ394" i="64"/>
  <c r="BG394" i="64"/>
  <c r="AU394" i="64"/>
  <c r="BC394" i="64"/>
  <c r="AY394" i="64"/>
  <c r="BQ394" i="64"/>
  <c r="BD394" i="64"/>
  <c r="G349" i="64" l="1"/>
  <c r="G384" i="64"/>
  <c r="AA394" i="64"/>
  <c r="AB394" i="64"/>
  <c r="O355" i="64" a="1"/>
  <c r="O355" i="64" s="1"/>
  <c r="N355" i="64" s="1"/>
  <c r="O354" i="64" a="1"/>
  <c r="O354" i="64" s="1"/>
  <c r="N354" i="64" s="1"/>
  <c r="O351" i="64" a="1"/>
  <c r="O351" i="64" s="1"/>
  <c r="K351" i="64" s="1"/>
  <c r="L351" i="64" s="1"/>
  <c r="O353" i="64" a="1"/>
  <c r="O353" i="64" s="1"/>
  <c r="N353" i="64" s="1"/>
  <c r="O356" i="64" a="1"/>
  <c r="O356" i="64" s="1"/>
  <c r="N356" i="64" s="1"/>
  <c r="O352" i="64" a="1"/>
  <c r="O352" i="64" s="1"/>
  <c r="K352" i="64" s="1"/>
  <c r="L352" i="64" s="1"/>
  <c r="P353" i="64"/>
  <c r="P352" i="64"/>
  <c r="H384" i="64" s="1"/>
  <c r="Q394" i="64"/>
  <c r="AI394" i="64"/>
  <c r="AG394" i="64"/>
  <c r="AF394" i="64"/>
  <c r="AE394" i="64"/>
  <c r="AD394" i="64"/>
  <c r="AC394" i="64"/>
  <c r="G346" i="64"/>
  <c r="R395" i="64"/>
  <c r="S395" i="64"/>
  <c r="T395" i="64"/>
  <c r="U395" i="64"/>
  <c r="V395" i="64"/>
  <c r="W395" i="64"/>
  <c r="X395" i="64"/>
  <c r="AH395" i="64"/>
  <c r="AV395" i="64"/>
  <c r="AU395" i="64"/>
  <c r="BS395" i="64"/>
  <c r="BJ395" i="64"/>
  <c r="BE395" i="64"/>
  <c r="AR395" i="64"/>
  <c r="AQ395" i="64"/>
  <c r="BC395" i="64"/>
  <c r="BG395" i="64"/>
  <c r="BF395" i="64"/>
  <c r="BW395" i="64"/>
  <c r="AP395" i="64"/>
  <c r="AY395" i="64"/>
  <c r="BO395" i="64"/>
  <c r="AT395" i="64"/>
  <c r="AZ395" i="64"/>
  <c r="BL395" i="64"/>
  <c r="BA395" i="64"/>
  <c r="AW395" i="64"/>
  <c r="AS395" i="64"/>
  <c r="BX395" i="64"/>
  <c r="BM395" i="64"/>
  <c r="BD395" i="64"/>
  <c r="AX395" i="64"/>
  <c r="BB395" i="64"/>
  <c r="BT395" i="64"/>
  <c r="BK395" i="64"/>
  <c r="BR395" i="64"/>
  <c r="BI395" i="64"/>
  <c r="BP395" i="64"/>
  <c r="BH395" i="64"/>
  <c r="BQ395" i="64"/>
  <c r="BN395" i="64"/>
  <c r="I349" i="64" l="1"/>
  <c r="I384" i="64"/>
  <c r="H346" i="64"/>
  <c r="H359" i="64" s="1"/>
  <c r="H349" i="64"/>
  <c r="AB395" i="64"/>
  <c r="AA395" i="64"/>
  <c r="K355" i="64"/>
  <c r="L355" i="64" s="1"/>
  <c r="K354" i="64"/>
  <c r="L354" i="64" s="1"/>
  <c r="K353" i="64"/>
  <c r="L353" i="64" s="1"/>
  <c r="N351" i="64"/>
  <c r="K356" i="64"/>
  <c r="L356" i="64" s="1"/>
  <c r="N352" i="64"/>
  <c r="Q395" i="64"/>
  <c r="I346" i="64"/>
  <c r="I350" i="64" s="1"/>
  <c r="AI395" i="64"/>
  <c r="AG395" i="64"/>
  <c r="AF395" i="64"/>
  <c r="AE395" i="64"/>
  <c r="AD395" i="64"/>
  <c r="AC395" i="64"/>
  <c r="G350" i="64"/>
  <c r="G351" i="64"/>
  <c r="G352" i="64"/>
  <c r="G353" i="64"/>
  <c r="G354" i="64"/>
  <c r="G355" i="64"/>
  <c r="G356" i="64"/>
  <c r="G357" i="64"/>
  <c r="G358" i="64"/>
  <c r="G359" i="64"/>
  <c r="G360" i="64"/>
  <c r="G361" i="64"/>
  <c r="G362" i="64"/>
  <c r="G370" i="64"/>
  <c r="G379" i="64"/>
  <c r="G363" i="64"/>
  <c r="G373" i="64"/>
  <c r="G371" i="64"/>
  <c r="G364" i="64"/>
  <c r="G374" i="64"/>
  <c r="G369" i="64"/>
  <c r="G378" i="64"/>
  <c r="G375" i="64"/>
  <c r="G380" i="64"/>
  <c r="G367" i="64"/>
  <c r="G372" i="64"/>
  <c r="G368" i="64"/>
  <c r="G377" i="64"/>
  <c r="Z394" i="64"/>
  <c r="Y394" i="64" s="1"/>
  <c r="R396" i="64"/>
  <c r="S396" i="64"/>
  <c r="T396" i="64"/>
  <c r="U396" i="64"/>
  <c r="V396" i="64"/>
  <c r="W396" i="64"/>
  <c r="X396" i="64"/>
  <c r="AH396" i="64"/>
  <c r="AS396" i="64"/>
  <c r="AU396" i="64"/>
  <c r="AX396" i="64"/>
  <c r="AT396" i="64"/>
  <c r="BQ396" i="64"/>
  <c r="AR396" i="64"/>
  <c r="BD396" i="64"/>
  <c r="BO396" i="64"/>
  <c r="BK396" i="64"/>
  <c r="BL396" i="64"/>
  <c r="BT396" i="64"/>
  <c r="AQ396" i="64"/>
  <c r="BG396" i="64"/>
  <c r="BP396" i="64"/>
  <c r="BW396" i="64"/>
  <c r="BE396" i="64"/>
  <c r="BR396" i="64"/>
  <c r="BN396" i="64"/>
  <c r="BH396" i="64"/>
  <c r="BX396" i="64"/>
  <c r="BB396" i="64"/>
  <c r="BC396" i="64"/>
  <c r="AP396" i="64"/>
  <c r="BF396" i="64"/>
  <c r="BM396" i="64"/>
  <c r="BA396" i="64"/>
  <c r="BS396" i="64"/>
  <c r="AV396" i="64"/>
  <c r="BJ396" i="64"/>
  <c r="AZ396" i="64"/>
  <c r="AW396" i="64"/>
  <c r="BI396" i="64"/>
  <c r="AY396" i="64"/>
  <c r="H378" i="64" l="1"/>
  <c r="H358" i="64"/>
  <c r="H357" i="64"/>
  <c r="H375" i="64"/>
  <c r="H370" i="64"/>
  <c r="H362" i="64"/>
  <c r="H356" i="64"/>
  <c r="H354" i="64"/>
  <c r="H353" i="64"/>
  <c r="H371" i="64"/>
  <c r="H380" i="64"/>
  <c r="H368" i="64"/>
  <c r="H355" i="64"/>
  <c r="H377" i="64"/>
  <c r="H379" i="64"/>
  <c r="H373" i="64"/>
  <c r="H372" i="64"/>
  <c r="H352" i="64"/>
  <c r="H363" i="64"/>
  <c r="H367" i="64"/>
  <c r="H350" i="64"/>
  <c r="H369" i="64"/>
  <c r="H361" i="64"/>
  <c r="H374" i="64"/>
  <c r="H360" i="64"/>
  <c r="H351" i="64"/>
  <c r="H364" i="64"/>
  <c r="AB396" i="64"/>
  <c r="AA396" i="64"/>
  <c r="I373" i="64"/>
  <c r="I380" i="64"/>
  <c r="I372" i="64"/>
  <c r="I367" i="64"/>
  <c r="I360" i="64"/>
  <c r="I363" i="64"/>
  <c r="I374" i="64"/>
  <c r="I359" i="64"/>
  <c r="I361" i="64"/>
  <c r="I358" i="64"/>
  <c r="I357" i="64"/>
  <c r="I354" i="64"/>
  <c r="I364" i="64"/>
  <c r="I356" i="64"/>
  <c r="I371" i="64"/>
  <c r="I355" i="64"/>
  <c r="I370" i="64"/>
  <c r="I368" i="64"/>
  <c r="I352" i="64"/>
  <c r="I378" i="64"/>
  <c r="I379" i="64"/>
  <c r="I351" i="64"/>
  <c r="I375" i="64"/>
  <c r="I377" i="64"/>
  <c r="I353" i="64"/>
  <c r="I369" i="64"/>
  <c r="I362" i="64"/>
  <c r="Q396" i="64"/>
  <c r="Z395" i="64"/>
  <c r="Y395" i="64" s="1"/>
  <c r="AI396" i="64"/>
  <c r="AG396" i="64"/>
  <c r="AF396" i="64"/>
  <c r="AE396" i="64"/>
  <c r="AD396" i="64"/>
  <c r="AC396" i="64"/>
  <c r="R397" i="64"/>
  <c r="S397" i="64"/>
  <c r="T397" i="64"/>
  <c r="U397" i="64"/>
  <c r="V397" i="64"/>
  <c r="W397" i="64"/>
  <c r="X397" i="64"/>
  <c r="AH397" i="64"/>
  <c r="BG397" i="64"/>
  <c r="BL397" i="64"/>
  <c r="BD397" i="64"/>
  <c r="AZ397" i="64"/>
  <c r="AX397" i="64"/>
  <c r="BW397" i="64"/>
  <c r="BI397" i="64"/>
  <c r="BK397" i="64"/>
  <c r="BJ397" i="64"/>
  <c r="AR397" i="64"/>
  <c r="AV397" i="64"/>
  <c r="BS397" i="64"/>
  <c r="BQ397" i="64"/>
  <c r="BF397" i="64"/>
  <c r="BE397" i="64"/>
  <c r="BH397" i="64"/>
  <c r="BN397" i="64"/>
  <c r="BR397" i="64"/>
  <c r="BB397" i="64"/>
  <c r="AT397" i="64"/>
  <c r="BP397" i="64"/>
  <c r="AQ397" i="64"/>
  <c r="BC397" i="64"/>
  <c r="AW397" i="64"/>
  <c r="BT397" i="64"/>
  <c r="BO397" i="64"/>
  <c r="AP397" i="64"/>
  <c r="AY397" i="64"/>
  <c r="BX397" i="64"/>
  <c r="AS397" i="64"/>
  <c r="AU397" i="64"/>
  <c r="BA397" i="64"/>
  <c r="BM397" i="64"/>
  <c r="AA397" i="64" l="1"/>
  <c r="AB397" i="64"/>
  <c r="Q397" i="64"/>
  <c r="Z396" i="64"/>
  <c r="Y396" i="64" s="1"/>
  <c r="AI397" i="64"/>
  <c r="AG397" i="64"/>
  <c r="AF397" i="64"/>
  <c r="AE397" i="64"/>
  <c r="AD397" i="64"/>
  <c r="AC397" i="64"/>
  <c r="R398" i="64"/>
  <c r="S398" i="64"/>
  <c r="T398" i="64"/>
  <c r="U398" i="64"/>
  <c r="V398" i="64"/>
  <c r="W398" i="64"/>
  <c r="X398" i="64"/>
  <c r="AH398" i="64"/>
  <c r="BX398" i="64"/>
  <c r="BP398" i="64"/>
  <c r="BH398" i="64"/>
  <c r="AX398" i="64"/>
  <c r="BG398" i="64"/>
  <c r="BC398" i="64"/>
  <c r="BL398" i="64"/>
  <c r="AY398" i="64"/>
  <c r="AR398" i="64"/>
  <c r="AZ398" i="64"/>
  <c r="BJ398" i="64"/>
  <c r="BB398" i="64"/>
  <c r="AU398" i="64"/>
  <c r="BK398" i="64"/>
  <c r="BS398" i="64"/>
  <c r="BF398" i="64"/>
  <c r="BI398" i="64"/>
  <c r="AV398" i="64"/>
  <c r="AQ398" i="64"/>
  <c r="AP398" i="64"/>
  <c r="BR398" i="64"/>
  <c r="BE398" i="64"/>
  <c r="BD398" i="64"/>
  <c r="BM398" i="64"/>
  <c r="BO398" i="64"/>
  <c r="BA398" i="64"/>
  <c r="BW398" i="64"/>
  <c r="BT398" i="64"/>
  <c r="BQ398" i="64"/>
  <c r="BN398" i="64"/>
  <c r="AT398" i="64"/>
  <c r="AS398" i="64"/>
  <c r="AW398" i="64"/>
  <c r="AA398" i="64" l="1"/>
  <c r="AB398" i="64"/>
  <c r="Q398" i="64"/>
  <c r="Z397" i="64"/>
  <c r="Y397" i="64" s="1"/>
  <c r="AI398" i="64"/>
  <c r="AG398" i="64"/>
  <c r="AF398" i="64"/>
  <c r="AE398" i="64"/>
  <c r="AD398" i="64"/>
  <c r="AC398" i="64"/>
  <c r="R399" i="64"/>
  <c r="S399" i="64"/>
  <c r="T399" i="64"/>
  <c r="U399" i="64"/>
  <c r="V399" i="64"/>
  <c r="W399" i="64"/>
  <c r="X399" i="64"/>
  <c r="AH399" i="64"/>
  <c r="BA399" i="64"/>
  <c r="AR399" i="64"/>
  <c r="AZ399" i="64"/>
  <c r="BB399" i="64"/>
  <c r="BW399" i="64"/>
  <c r="BM399" i="64"/>
  <c r="BE399" i="64"/>
  <c r="BX399" i="64"/>
  <c r="AT399" i="64"/>
  <c r="BJ399" i="64"/>
  <c r="AS399" i="64"/>
  <c r="AQ399" i="64"/>
  <c r="AP399" i="64"/>
  <c r="AV399" i="64"/>
  <c r="BT399" i="64"/>
  <c r="BR399" i="64"/>
  <c r="BK399" i="64"/>
  <c r="BF399" i="64"/>
  <c r="AU399" i="64"/>
  <c r="AX399" i="64"/>
  <c r="BQ399" i="64"/>
  <c r="BI399" i="64"/>
  <c r="BN399" i="64"/>
  <c r="BP399" i="64"/>
  <c r="BC399" i="64"/>
  <c r="BL399" i="64"/>
  <c r="AW399" i="64"/>
  <c r="AY399" i="64"/>
  <c r="BD399" i="64"/>
  <c r="BH399" i="64"/>
  <c r="BG399" i="64"/>
  <c r="BO399" i="64"/>
  <c r="BS399" i="64"/>
  <c r="AB399" i="64" l="1"/>
  <c r="AA399" i="64"/>
  <c r="Q399" i="64"/>
  <c r="Z398" i="64"/>
  <c r="Y398" i="64" s="1"/>
  <c r="AI399" i="64"/>
  <c r="AG399" i="64"/>
  <c r="AF399" i="64"/>
  <c r="AE399" i="64"/>
  <c r="AD399" i="64"/>
  <c r="AC399" i="64"/>
  <c r="R400" i="64"/>
  <c r="S400" i="64"/>
  <c r="T400" i="64"/>
  <c r="U400" i="64"/>
  <c r="V400" i="64"/>
  <c r="W400" i="64"/>
  <c r="X400" i="64"/>
  <c r="AH400" i="64"/>
  <c r="BQ400" i="64"/>
  <c r="BA400" i="64"/>
  <c r="BB400" i="64"/>
  <c r="AS400" i="64"/>
  <c r="BK400" i="64"/>
  <c r="BJ400" i="64"/>
  <c r="BI400" i="64"/>
  <c r="AQ400" i="64"/>
  <c r="AW400" i="64"/>
  <c r="AU400" i="64"/>
  <c r="BN400" i="64"/>
  <c r="BF400" i="64"/>
  <c r="BH400" i="64"/>
  <c r="BE400" i="64"/>
  <c r="AV400" i="64"/>
  <c r="BS400" i="64"/>
  <c r="BC400" i="64"/>
  <c r="AX400" i="64"/>
  <c r="BL400" i="64"/>
  <c r="BO400" i="64"/>
  <c r="AR400" i="64"/>
  <c r="BG400" i="64"/>
  <c r="AT400" i="64"/>
  <c r="BT400" i="64"/>
  <c r="AZ400" i="64"/>
  <c r="BR400" i="64"/>
  <c r="BX400" i="64"/>
  <c r="BM400" i="64"/>
  <c r="BW400" i="64"/>
  <c r="AY400" i="64"/>
  <c r="BD400" i="64"/>
  <c r="BP400" i="64"/>
  <c r="AP400" i="64"/>
  <c r="AB400" i="64" l="1"/>
  <c r="AA400" i="64"/>
  <c r="Q400" i="64"/>
  <c r="Z399" i="64"/>
  <c r="Y399" i="64" s="1"/>
  <c r="AI400" i="64"/>
  <c r="AG400" i="64"/>
  <c r="AF400" i="64"/>
  <c r="AE400" i="64"/>
  <c r="AD400" i="64"/>
  <c r="AC400" i="64"/>
  <c r="R401" i="64"/>
  <c r="S401" i="64"/>
  <c r="T401" i="64"/>
  <c r="U401" i="64"/>
  <c r="V401" i="64"/>
  <c r="W401" i="64"/>
  <c r="X401" i="64"/>
  <c r="AH401" i="64"/>
  <c r="AR401" i="64"/>
  <c r="AT401" i="64"/>
  <c r="BE401" i="64"/>
  <c r="BC401" i="64"/>
  <c r="BM401" i="64"/>
  <c r="AV401" i="64"/>
  <c r="BD401" i="64"/>
  <c r="AS401" i="64"/>
  <c r="BA401" i="64"/>
  <c r="BK401" i="64"/>
  <c r="BB401" i="64"/>
  <c r="BT401" i="64"/>
  <c r="BH401" i="64"/>
  <c r="AW401" i="64"/>
  <c r="BN401" i="64"/>
  <c r="BJ401" i="64"/>
  <c r="AX401" i="64"/>
  <c r="BF401" i="64"/>
  <c r="AZ401" i="64"/>
  <c r="BS401" i="64"/>
  <c r="AU401" i="64"/>
  <c r="BO401" i="64"/>
  <c r="BG401" i="64"/>
  <c r="BX401" i="64"/>
  <c r="AP401" i="64"/>
  <c r="AQ401" i="64"/>
  <c r="BP401" i="64"/>
  <c r="BL401" i="64"/>
  <c r="AY401" i="64"/>
  <c r="BQ401" i="64"/>
  <c r="BR401" i="64"/>
  <c r="BW401" i="64"/>
  <c r="BI401" i="64"/>
  <c r="AA401" i="64" l="1"/>
  <c r="AB401" i="64"/>
  <c r="Q401" i="64"/>
  <c r="AI401" i="64"/>
  <c r="AG401" i="64"/>
  <c r="AF401" i="64"/>
  <c r="AE401" i="64"/>
  <c r="AD401" i="64"/>
  <c r="AC401" i="64"/>
  <c r="Z400" i="64"/>
  <c r="Y400" i="64" s="1"/>
  <c r="R402" i="64"/>
  <c r="S402" i="64"/>
  <c r="T402" i="64"/>
  <c r="U402" i="64"/>
  <c r="V402" i="64"/>
  <c r="W402" i="64"/>
  <c r="X402" i="64"/>
  <c r="AH402" i="64"/>
  <c r="AS402" i="64"/>
  <c r="BS402" i="64"/>
  <c r="AV402" i="64"/>
  <c r="BD402" i="64"/>
  <c r="AU402" i="64"/>
  <c r="AQ402" i="64"/>
  <c r="AR402" i="64"/>
  <c r="AX402" i="64"/>
  <c r="BL402" i="64"/>
  <c r="BE402" i="64"/>
  <c r="BP402" i="64"/>
  <c r="BN402" i="64"/>
  <c r="AY402" i="64"/>
  <c r="BI402" i="64"/>
  <c r="BA402" i="64"/>
  <c r="BK402" i="64"/>
  <c r="AZ402" i="64"/>
  <c r="AP402" i="64"/>
  <c r="BR402" i="64"/>
  <c r="BT402" i="64"/>
  <c r="BO402" i="64"/>
  <c r="BJ402" i="64"/>
  <c r="BG402" i="64"/>
  <c r="BC402" i="64"/>
  <c r="BF402" i="64"/>
  <c r="BQ402" i="64"/>
  <c r="BW402" i="64"/>
  <c r="AW402" i="64"/>
  <c r="BB402" i="64"/>
  <c r="BH402" i="64"/>
  <c r="BX402" i="64"/>
  <c r="BM402" i="64"/>
  <c r="AT402" i="64"/>
  <c r="AB402" i="64" l="1"/>
  <c r="AA402" i="64"/>
  <c r="Q402" i="64"/>
  <c r="AI402" i="64"/>
  <c r="AG402" i="64"/>
  <c r="AF402" i="64"/>
  <c r="AE402" i="64"/>
  <c r="AD402" i="64"/>
  <c r="AC402" i="64"/>
  <c r="Z401" i="64"/>
  <c r="Y401" i="64" s="1"/>
  <c r="R403" i="64"/>
  <c r="S403" i="64"/>
  <c r="T403" i="64"/>
  <c r="U403" i="64"/>
  <c r="V403" i="64"/>
  <c r="W403" i="64"/>
  <c r="X403" i="64"/>
  <c r="AH403" i="64"/>
  <c r="BR403" i="64"/>
  <c r="BF403" i="64"/>
  <c r="AZ403" i="64"/>
  <c r="AS403" i="64"/>
  <c r="AR403" i="64"/>
  <c r="BQ403" i="64"/>
  <c r="BS403" i="64"/>
  <c r="AY403" i="64"/>
  <c r="BP403" i="64"/>
  <c r="BW403" i="64"/>
  <c r="BN403" i="64"/>
  <c r="BK403" i="64"/>
  <c r="AW403" i="64"/>
  <c r="BG403" i="64"/>
  <c r="BA403" i="64"/>
  <c r="BO403" i="64"/>
  <c r="BD403" i="64"/>
  <c r="BC403" i="64"/>
  <c r="AX403" i="64"/>
  <c r="BJ403" i="64"/>
  <c r="AV403" i="64"/>
  <c r="AQ403" i="64"/>
  <c r="BE403" i="64"/>
  <c r="BI403" i="64"/>
  <c r="BH403" i="64"/>
  <c r="BL403" i="64"/>
  <c r="AU403" i="64"/>
  <c r="BT403" i="64"/>
  <c r="BM403" i="64"/>
  <c r="AT403" i="64"/>
  <c r="AP403" i="64"/>
  <c r="BX403" i="64"/>
  <c r="BB403" i="64"/>
  <c r="AA403" i="64" l="1"/>
  <c r="AB403" i="64"/>
  <c r="Z402" i="64"/>
  <c r="Y402" i="64" s="1"/>
  <c r="Q403" i="64"/>
  <c r="AI403" i="64"/>
  <c r="AG403" i="64"/>
  <c r="AF403" i="64"/>
  <c r="AE403" i="64"/>
  <c r="AD403" i="64"/>
  <c r="AC403" i="64"/>
  <c r="Z403" i="64" l="1"/>
  <c r="Y403" i="64" s="1"/>
  <c r="D411" i="64" l="1"/>
  <c r="D412" i="64"/>
  <c r="D414" i="64"/>
  <c r="D415" i="64"/>
  <c r="D417" i="64"/>
  <c r="D418" i="64"/>
  <c r="AP135" i="64"/>
  <c r="AQ135" i="64"/>
  <c r="AR135" i="64"/>
  <c r="AS135" i="64"/>
  <c r="AT135" i="64"/>
  <c r="AU135" i="64"/>
  <c r="AV135" i="64"/>
  <c r="AW135" i="64"/>
  <c r="AX135" i="64"/>
  <c r="AY135" i="64"/>
  <c r="AZ135" i="64"/>
  <c r="BA135" i="64"/>
  <c r="BB135" i="64"/>
  <c r="BC135" i="64"/>
  <c r="BD135" i="64"/>
  <c r="Z136" i="64"/>
  <c r="BE136" i="64"/>
  <c r="BC136" i="64"/>
  <c r="BM136" i="64"/>
  <c r="BA136" i="64"/>
  <c r="AU136" i="64"/>
  <c r="AY136" i="64"/>
  <c r="AT136" i="64"/>
  <c r="BS136" i="64"/>
  <c r="AZ136" i="64"/>
  <c r="BN136" i="64"/>
  <c r="BD136" i="64"/>
  <c r="BQ136" i="64"/>
  <c r="BR136" i="64"/>
  <c r="BO136" i="64"/>
  <c r="BT136" i="64"/>
  <c r="BJ136" i="64"/>
  <c r="BB136" i="64"/>
  <c r="BI136" i="64"/>
  <c r="AW136" i="64"/>
  <c r="AV136" i="64"/>
  <c r="BK136" i="64"/>
  <c r="BX136" i="64"/>
  <c r="AS136" i="64"/>
  <c r="BP136" i="64"/>
  <c r="AP136" i="64"/>
  <c r="BW136" i="64"/>
  <c r="BF136" i="64"/>
  <c r="BH136" i="64"/>
  <c r="AX136" i="64"/>
  <c r="AQ136" i="64"/>
  <c r="AR136" i="64"/>
  <c r="BL136" i="64"/>
  <c r="BG136" i="64"/>
  <c r="P396" i="64" l="1"/>
  <c r="R138" i="64"/>
  <c r="S138" i="64"/>
  <c r="T138" i="64"/>
  <c r="U138" i="64"/>
  <c r="V138" i="64"/>
  <c r="W138" i="64"/>
  <c r="X138" i="64"/>
  <c r="AH138" i="64"/>
  <c r="BM138" i="64"/>
  <c r="AQ138" i="64"/>
  <c r="BC138" i="64"/>
  <c r="BW138" i="64"/>
  <c r="BP138" i="64"/>
  <c r="BI138" i="64"/>
  <c r="AY138" i="64"/>
  <c r="BS138" i="64"/>
  <c r="AU138" i="64"/>
  <c r="BA138" i="64"/>
  <c r="AP138" i="64"/>
  <c r="BX138" i="64"/>
  <c r="BH138" i="64"/>
  <c r="BT138" i="64"/>
  <c r="AZ138" i="64"/>
  <c r="BD138" i="64"/>
  <c r="BK138" i="64"/>
  <c r="AV138" i="64"/>
  <c r="AS138" i="64"/>
  <c r="BN138" i="64"/>
  <c r="BO138" i="64"/>
  <c r="BB138" i="64"/>
  <c r="AT138" i="64"/>
  <c r="AX138" i="64"/>
  <c r="BG138" i="64"/>
  <c r="AR138" i="64"/>
  <c r="BE138" i="64"/>
  <c r="BJ138" i="64"/>
  <c r="BL138" i="64"/>
  <c r="BQ138" i="64"/>
  <c r="BR138" i="64"/>
  <c r="AW138" i="64"/>
  <c r="BF138" i="64"/>
  <c r="I392" i="64" l="1"/>
  <c r="I427" i="64"/>
  <c r="AB138" i="64"/>
  <c r="AA138" i="64"/>
  <c r="O397" i="64" a="1"/>
  <c r="O397" i="64" s="1"/>
  <c r="K397" i="64" s="1"/>
  <c r="L397" i="64" s="1"/>
  <c r="O398" i="64" a="1"/>
  <c r="O398" i="64" s="1"/>
  <c r="K398" i="64" s="1"/>
  <c r="L398" i="64" s="1"/>
  <c r="O395" i="64" a="1"/>
  <c r="O395" i="64" s="1"/>
  <c r="K395" i="64" s="1"/>
  <c r="L395" i="64" s="1"/>
  <c r="O394" i="64" a="1"/>
  <c r="O394" i="64" s="1"/>
  <c r="K394" i="64" s="1"/>
  <c r="L394" i="64" s="1"/>
  <c r="O396" i="64" a="1"/>
  <c r="O396" i="64" s="1"/>
  <c r="N396" i="64" s="1"/>
  <c r="O399" i="64" a="1"/>
  <c r="O399" i="64" s="1"/>
  <c r="K399" i="64" s="1"/>
  <c r="L399" i="64" s="1"/>
  <c r="P395" i="64"/>
  <c r="H427" i="64" s="1"/>
  <c r="P394" i="64"/>
  <c r="I389" i="64"/>
  <c r="Q138" i="64"/>
  <c r="AI138" i="64"/>
  <c r="AG138" i="64"/>
  <c r="AF138" i="64"/>
  <c r="AE138" i="64"/>
  <c r="AD138" i="64"/>
  <c r="AC138" i="64"/>
  <c r="R139" i="64"/>
  <c r="S139" i="64"/>
  <c r="T139" i="64"/>
  <c r="U139" i="64"/>
  <c r="V139" i="64"/>
  <c r="W139" i="64"/>
  <c r="X139" i="64"/>
  <c r="AH139" i="64"/>
  <c r="BQ139" i="64"/>
  <c r="BH139" i="64"/>
  <c r="BL139" i="64"/>
  <c r="AW139" i="64"/>
  <c r="AR139" i="64"/>
  <c r="BM139" i="64"/>
  <c r="AS139" i="64"/>
  <c r="BI139" i="64"/>
  <c r="BA139" i="64"/>
  <c r="AY139" i="64"/>
  <c r="AX139" i="64"/>
  <c r="BF139" i="64"/>
  <c r="BW139" i="64"/>
  <c r="BC139" i="64"/>
  <c r="BS139" i="64"/>
  <c r="BO139" i="64"/>
  <c r="BT139" i="64"/>
  <c r="AT139" i="64"/>
  <c r="AZ139" i="64"/>
  <c r="BN139" i="64"/>
  <c r="BB139" i="64"/>
  <c r="BE139" i="64"/>
  <c r="BD139" i="64"/>
  <c r="AU139" i="64"/>
  <c r="BR139" i="64"/>
  <c r="BK139" i="64"/>
  <c r="AV139" i="64"/>
  <c r="AP139" i="64"/>
  <c r="BX139" i="64"/>
  <c r="BG139" i="64"/>
  <c r="BP139" i="64"/>
  <c r="AQ139" i="64"/>
  <c r="BJ139" i="64"/>
  <c r="G392" i="64" l="1"/>
  <c r="G427" i="64"/>
  <c r="H392" i="64"/>
  <c r="AA139" i="64"/>
  <c r="AB139" i="64"/>
  <c r="N394" i="64"/>
  <c r="N395" i="64"/>
  <c r="N398" i="64"/>
  <c r="N397" i="64"/>
  <c r="G389" i="64"/>
  <c r="G396" i="64" s="1"/>
  <c r="K396" i="64"/>
  <c r="L396" i="64" s="1"/>
  <c r="N399" i="64"/>
  <c r="H389" i="64"/>
  <c r="H400" i="64" s="1"/>
  <c r="I393" i="64"/>
  <c r="I394" i="64"/>
  <c r="I395" i="64"/>
  <c r="I396" i="64"/>
  <c r="I397" i="64"/>
  <c r="I398" i="64"/>
  <c r="I399" i="64"/>
  <c r="I400" i="64"/>
  <c r="I401" i="64"/>
  <c r="I402" i="64"/>
  <c r="I403" i="64"/>
  <c r="I404" i="64"/>
  <c r="I405" i="64"/>
  <c r="I416" i="64"/>
  <c r="I411" i="64"/>
  <c r="I407" i="64"/>
  <c r="I417" i="64"/>
  <c r="I410" i="64"/>
  <c r="I415" i="64"/>
  <c r="I413" i="64"/>
  <c r="I422" i="64"/>
  <c r="I420" i="64"/>
  <c r="I423" i="64"/>
  <c r="I414" i="64"/>
  <c r="I418" i="64"/>
  <c r="I406" i="64"/>
  <c r="I412" i="64"/>
  <c r="I421" i="64"/>
  <c r="Q139" i="64"/>
  <c r="Z138" i="64"/>
  <c r="Y138" i="64" s="1"/>
  <c r="AI139" i="64"/>
  <c r="AG139" i="64"/>
  <c r="AF139" i="64"/>
  <c r="AE139" i="64"/>
  <c r="AD139" i="64"/>
  <c r="AC139" i="64"/>
  <c r="R140" i="64"/>
  <c r="S140" i="64"/>
  <c r="T140" i="64"/>
  <c r="U140" i="64"/>
  <c r="V140" i="64"/>
  <c r="W140" i="64"/>
  <c r="X140" i="64"/>
  <c r="AH140" i="64"/>
  <c r="AT140" i="64"/>
  <c r="AY140" i="64"/>
  <c r="AV140" i="64"/>
  <c r="BH140" i="64"/>
  <c r="AU140" i="64"/>
  <c r="AR140" i="64"/>
  <c r="BJ140" i="64"/>
  <c r="BT140" i="64"/>
  <c r="AS140" i="64"/>
  <c r="BC140" i="64"/>
  <c r="BO140" i="64"/>
  <c r="BA140" i="64"/>
  <c r="BR140" i="64"/>
  <c r="BI140" i="64"/>
  <c r="BS140" i="64"/>
  <c r="BP140" i="64"/>
  <c r="BE140" i="64"/>
  <c r="BN140" i="64"/>
  <c r="AQ140" i="64"/>
  <c r="BB140" i="64"/>
  <c r="BQ140" i="64"/>
  <c r="BX140" i="64"/>
  <c r="BG140" i="64"/>
  <c r="BL140" i="64"/>
  <c r="AP140" i="64"/>
  <c r="BK140" i="64"/>
  <c r="AW140" i="64"/>
  <c r="AZ140" i="64"/>
  <c r="BM140" i="64"/>
  <c r="BF140" i="64"/>
  <c r="AX140" i="64"/>
  <c r="BW140" i="64"/>
  <c r="BD140" i="64"/>
  <c r="AB140" i="64" l="1"/>
  <c r="AA140" i="64"/>
  <c r="G394" i="64"/>
  <c r="G405" i="64"/>
  <c r="G420" i="64"/>
  <c r="G410" i="64"/>
  <c r="G407" i="64"/>
  <c r="G414" i="64"/>
  <c r="H394" i="64"/>
  <c r="G423" i="64"/>
  <c r="G411" i="64"/>
  <c r="G404" i="64"/>
  <c r="G422" i="64"/>
  <c r="G403" i="64"/>
  <c r="G413" i="64"/>
  <c r="G402" i="64"/>
  <c r="G417" i="64"/>
  <c r="G401" i="64"/>
  <c r="G416" i="64"/>
  <c r="G399" i="64"/>
  <c r="G400" i="64"/>
  <c r="G406" i="64"/>
  <c r="G398" i="64"/>
  <c r="G418" i="64"/>
  <c r="G397" i="64"/>
  <c r="G421" i="64"/>
  <c r="G395" i="64"/>
  <c r="G393" i="64"/>
  <c r="G415" i="64"/>
  <c r="G412" i="64"/>
  <c r="H393" i="64"/>
  <c r="H396" i="64"/>
  <c r="H397" i="64"/>
  <c r="H395" i="64"/>
  <c r="H410" i="64"/>
  <c r="H416" i="64"/>
  <c r="H422" i="64"/>
  <c r="H412" i="64"/>
  <c r="H414" i="64"/>
  <c r="H421" i="64"/>
  <c r="H411" i="64"/>
  <c r="H423" i="64"/>
  <c r="H404" i="64"/>
  <c r="H417" i="64"/>
  <c r="H405" i="64"/>
  <c r="H415" i="64"/>
  <c r="H399" i="64"/>
  <c r="H420" i="64"/>
  <c r="H406" i="64"/>
  <c r="H398" i="64"/>
  <c r="H402" i="64"/>
  <c r="H407" i="64"/>
  <c r="H403" i="64"/>
  <c r="H418" i="64"/>
  <c r="H401" i="64"/>
  <c r="H413" i="64"/>
  <c r="Q140" i="64"/>
  <c r="Z139" i="64"/>
  <c r="Y139" i="64" s="1"/>
  <c r="AI140" i="64"/>
  <c r="AG140" i="64"/>
  <c r="AF140" i="64"/>
  <c r="AE140" i="64"/>
  <c r="AD140" i="64"/>
  <c r="AC140" i="64"/>
  <c r="R141" i="64"/>
  <c r="S141" i="64"/>
  <c r="T141" i="64"/>
  <c r="U141" i="64"/>
  <c r="V141" i="64"/>
  <c r="W141" i="64"/>
  <c r="X141" i="64"/>
  <c r="AH141" i="64"/>
  <c r="BS141" i="64"/>
  <c r="AX141" i="64"/>
  <c r="BT141" i="64"/>
  <c r="BX141" i="64"/>
  <c r="BQ141" i="64"/>
  <c r="BE141" i="64"/>
  <c r="BA141" i="64"/>
  <c r="AZ141" i="64"/>
  <c r="BK141" i="64"/>
  <c r="BB141" i="64"/>
  <c r="BM141" i="64"/>
  <c r="AT141" i="64"/>
  <c r="BR141" i="64"/>
  <c r="BC141" i="64"/>
  <c r="BI141" i="64"/>
  <c r="AS141" i="64"/>
  <c r="AW141" i="64"/>
  <c r="AY141" i="64"/>
  <c r="AP141" i="64"/>
  <c r="BJ141" i="64"/>
  <c r="BW141" i="64"/>
  <c r="BF141" i="64"/>
  <c r="AU141" i="64"/>
  <c r="BN141" i="64"/>
  <c r="BH141" i="64"/>
  <c r="AQ141" i="64"/>
  <c r="BP141" i="64"/>
  <c r="BG141" i="64"/>
  <c r="AV141" i="64"/>
  <c r="BD141" i="64"/>
  <c r="BL141" i="64"/>
  <c r="BO141" i="64"/>
  <c r="AR141" i="64"/>
  <c r="AA141" i="64" l="1"/>
  <c r="AB141" i="64"/>
  <c r="Q141" i="64"/>
  <c r="Z140" i="64"/>
  <c r="Y140" i="64" s="1"/>
  <c r="AI141" i="64"/>
  <c r="AG141" i="64"/>
  <c r="AF141" i="64"/>
  <c r="AE141" i="64"/>
  <c r="AD141" i="64"/>
  <c r="AC141" i="64"/>
  <c r="R142" i="64"/>
  <c r="S142" i="64"/>
  <c r="T142" i="64"/>
  <c r="U142" i="64"/>
  <c r="V142" i="64"/>
  <c r="W142" i="64"/>
  <c r="X142" i="64"/>
  <c r="AH142" i="64"/>
  <c r="BD142" i="64"/>
  <c r="BN142" i="64"/>
  <c r="BJ142" i="64"/>
  <c r="BC142" i="64"/>
  <c r="BS142" i="64"/>
  <c r="BW142" i="64"/>
  <c r="BT142" i="64"/>
  <c r="BR142" i="64"/>
  <c r="BO142" i="64"/>
  <c r="AV142" i="64"/>
  <c r="AX142" i="64"/>
  <c r="BI142" i="64"/>
  <c r="BH142" i="64"/>
  <c r="AY142" i="64"/>
  <c r="AR142" i="64"/>
  <c r="BM142" i="64"/>
  <c r="BQ142" i="64"/>
  <c r="BX142" i="64"/>
  <c r="AZ142" i="64"/>
  <c r="AS142" i="64"/>
  <c r="BA142" i="64"/>
  <c r="BK142" i="64"/>
  <c r="AQ142" i="64"/>
  <c r="BB142" i="64"/>
  <c r="BF142" i="64"/>
  <c r="BE142" i="64"/>
  <c r="AT142" i="64"/>
  <c r="AU142" i="64"/>
  <c r="BG142" i="64"/>
  <c r="AW142" i="64"/>
  <c r="BL142" i="64"/>
  <c r="BP142" i="64"/>
  <c r="AP142" i="64"/>
  <c r="AA142" i="64" l="1"/>
  <c r="AB142" i="64"/>
  <c r="Q142" i="64"/>
  <c r="Z141" i="64"/>
  <c r="Y141" i="64" s="1"/>
  <c r="AI142" i="64"/>
  <c r="AG142" i="64"/>
  <c r="AF142" i="64"/>
  <c r="AE142" i="64"/>
  <c r="AD142" i="64"/>
  <c r="AC142" i="64"/>
  <c r="R143" i="64"/>
  <c r="S143" i="64"/>
  <c r="T143" i="64"/>
  <c r="U143" i="64"/>
  <c r="V143" i="64"/>
  <c r="W143" i="64"/>
  <c r="X143" i="64"/>
  <c r="AH143" i="64"/>
  <c r="BP143" i="64"/>
  <c r="BM143" i="64"/>
  <c r="AY143" i="64"/>
  <c r="AX143" i="64"/>
  <c r="BO143" i="64"/>
  <c r="AW143" i="64"/>
  <c r="AQ143" i="64"/>
  <c r="BK143" i="64"/>
  <c r="BI143" i="64"/>
  <c r="BD143" i="64"/>
  <c r="AS143" i="64"/>
  <c r="AU143" i="64"/>
  <c r="BA143" i="64"/>
  <c r="AP143" i="64"/>
  <c r="AT143" i="64"/>
  <c r="BT143" i="64"/>
  <c r="AZ143" i="64"/>
  <c r="BN143" i="64"/>
  <c r="AR143" i="64"/>
  <c r="AV143" i="64"/>
  <c r="BE143" i="64"/>
  <c r="BX143" i="64"/>
  <c r="BQ143" i="64"/>
  <c r="BH143" i="64"/>
  <c r="BG143" i="64"/>
  <c r="BC143" i="64"/>
  <c r="BS143" i="64"/>
  <c r="BB143" i="64"/>
  <c r="BJ143" i="64"/>
  <c r="BF143" i="64"/>
  <c r="BW143" i="64"/>
  <c r="BR143" i="64"/>
  <c r="BL143" i="64"/>
  <c r="AA143" i="64" l="1"/>
  <c r="AB143" i="64"/>
  <c r="Q143" i="64"/>
  <c r="Z142" i="64"/>
  <c r="Y142" i="64" s="1"/>
  <c r="AI143" i="64"/>
  <c r="AG143" i="64"/>
  <c r="AF143" i="64"/>
  <c r="AE143" i="64"/>
  <c r="AD143" i="64"/>
  <c r="AC143" i="64"/>
  <c r="R144" i="64"/>
  <c r="S144" i="64"/>
  <c r="T144" i="64"/>
  <c r="U144" i="64"/>
  <c r="V144" i="64"/>
  <c r="W144" i="64"/>
  <c r="X144" i="64"/>
  <c r="AH144" i="64"/>
  <c r="BK144" i="64"/>
  <c r="BS144" i="64"/>
  <c r="BI144" i="64"/>
  <c r="AT144" i="64"/>
  <c r="BH144" i="64"/>
  <c r="BA144" i="64"/>
  <c r="AW144" i="64"/>
  <c r="BO144" i="64"/>
  <c r="BL144" i="64"/>
  <c r="AQ144" i="64"/>
  <c r="BJ144" i="64"/>
  <c r="AV144" i="64"/>
  <c r="AZ144" i="64"/>
  <c r="AR144" i="64"/>
  <c r="BE144" i="64"/>
  <c r="BT144" i="64"/>
  <c r="AX144" i="64"/>
  <c r="AU144" i="64"/>
  <c r="BN144" i="64"/>
  <c r="BC144" i="64"/>
  <c r="BR144" i="64"/>
  <c r="AY144" i="64"/>
  <c r="BD144" i="64"/>
  <c r="BB144" i="64"/>
  <c r="BF144" i="64"/>
  <c r="BG144" i="64"/>
  <c r="BP144" i="64"/>
  <c r="BW144" i="64"/>
  <c r="AS144" i="64"/>
  <c r="BX144" i="64"/>
  <c r="AP144" i="64"/>
  <c r="BQ144" i="64"/>
  <c r="BM144" i="64"/>
  <c r="AB144" i="64" l="1"/>
  <c r="AA144" i="64"/>
  <c r="Q144" i="64"/>
  <c r="Z143" i="64"/>
  <c r="Y143" i="64" s="1"/>
  <c r="AI144" i="64"/>
  <c r="AG144" i="64"/>
  <c r="AF144" i="64"/>
  <c r="AE144" i="64"/>
  <c r="AD144" i="64"/>
  <c r="AC144" i="64"/>
  <c r="R145" i="64"/>
  <c r="S145" i="64"/>
  <c r="T145" i="64"/>
  <c r="U145" i="64"/>
  <c r="V145" i="64"/>
  <c r="W145" i="64"/>
  <c r="X145" i="64"/>
  <c r="AH145" i="64"/>
  <c r="BC145" i="64"/>
  <c r="BK145" i="64"/>
  <c r="AT145" i="64"/>
  <c r="BN145" i="64"/>
  <c r="BI145" i="64"/>
  <c r="AW145" i="64"/>
  <c r="BS145" i="64"/>
  <c r="BX145" i="64"/>
  <c r="AR145" i="64"/>
  <c r="BA145" i="64"/>
  <c r="BL145" i="64"/>
  <c r="BQ145" i="64"/>
  <c r="BP145" i="64"/>
  <c r="AQ145" i="64"/>
  <c r="BT145" i="64"/>
  <c r="AX145" i="64"/>
  <c r="BR145" i="64"/>
  <c r="BH145" i="64"/>
  <c r="BF145" i="64"/>
  <c r="BO145" i="64"/>
  <c r="AP145" i="64"/>
  <c r="AV145" i="64"/>
  <c r="BJ145" i="64"/>
  <c r="BW145" i="64"/>
  <c r="BB145" i="64"/>
  <c r="AY145" i="64"/>
  <c r="BG145" i="64"/>
  <c r="AU145" i="64"/>
  <c r="BD145" i="64"/>
  <c r="AZ145" i="64"/>
  <c r="BE145" i="64"/>
  <c r="AS145" i="64"/>
  <c r="BM145" i="64"/>
  <c r="AB145" i="64" l="1"/>
  <c r="AA145" i="64"/>
  <c r="Q145" i="64"/>
  <c r="Z144" i="64"/>
  <c r="Y144" i="64" s="1"/>
  <c r="AI145" i="64"/>
  <c r="AG145" i="64"/>
  <c r="AF145" i="64"/>
  <c r="AE145" i="64"/>
  <c r="AD145" i="64"/>
  <c r="AC145" i="64"/>
  <c r="R146" i="64"/>
  <c r="S146" i="64"/>
  <c r="T146" i="64"/>
  <c r="U146" i="64"/>
  <c r="V146" i="64"/>
  <c r="W146" i="64"/>
  <c r="X146" i="64"/>
  <c r="AH146" i="64"/>
  <c r="AX146" i="64"/>
  <c r="BD146" i="64"/>
  <c r="BX146" i="64"/>
  <c r="BE146" i="64"/>
  <c r="AU146" i="64"/>
  <c r="AZ146" i="64"/>
  <c r="BL146" i="64"/>
  <c r="BO146" i="64"/>
  <c r="BF146" i="64"/>
  <c r="BM146" i="64"/>
  <c r="BH146" i="64"/>
  <c r="BP146" i="64"/>
  <c r="AT146" i="64"/>
  <c r="BK146" i="64"/>
  <c r="BC146" i="64"/>
  <c r="AP146" i="64"/>
  <c r="BT146" i="64"/>
  <c r="BB146" i="64"/>
  <c r="BN146" i="64"/>
  <c r="BG146" i="64"/>
  <c r="AV146" i="64"/>
  <c r="AS146" i="64"/>
  <c r="AR146" i="64"/>
  <c r="BJ146" i="64"/>
  <c r="AW146" i="64"/>
  <c r="BI146" i="64"/>
  <c r="BQ146" i="64"/>
  <c r="BR146" i="64"/>
  <c r="AY146" i="64"/>
  <c r="BS146" i="64"/>
  <c r="BA146" i="64"/>
  <c r="BW146" i="64"/>
  <c r="AQ146" i="64"/>
  <c r="AA146" i="64" l="1"/>
  <c r="AB146" i="64"/>
  <c r="Q146" i="64"/>
  <c r="Z145" i="64"/>
  <c r="Y145" i="64" s="1"/>
  <c r="AI146" i="64"/>
  <c r="AG146" i="64"/>
  <c r="AF146" i="64"/>
  <c r="AE146" i="64"/>
  <c r="AD146" i="64"/>
  <c r="AC146" i="64"/>
  <c r="R147" i="64"/>
  <c r="S147" i="64"/>
  <c r="T147" i="64"/>
  <c r="U147" i="64"/>
  <c r="V147" i="64"/>
  <c r="W147" i="64"/>
  <c r="X147" i="64"/>
  <c r="AH147" i="64"/>
  <c r="BT147" i="64"/>
  <c r="AS147" i="64"/>
  <c r="AT147" i="64"/>
  <c r="BK147" i="64"/>
  <c r="BP147" i="64"/>
  <c r="BH147" i="64"/>
  <c r="AU147" i="64"/>
  <c r="BS147" i="64"/>
  <c r="AZ147" i="64"/>
  <c r="BD147" i="64"/>
  <c r="AX147" i="64"/>
  <c r="BW147" i="64"/>
  <c r="BN147" i="64"/>
  <c r="BB147" i="64"/>
  <c r="BQ147" i="64"/>
  <c r="AP147" i="64"/>
  <c r="AR147" i="64"/>
  <c r="BC147" i="64"/>
  <c r="BO147" i="64"/>
  <c r="BX147" i="64"/>
  <c r="AV147" i="64"/>
  <c r="BF147" i="64"/>
  <c r="BE147" i="64"/>
  <c r="BM147" i="64"/>
  <c r="AQ147" i="64"/>
  <c r="BR147" i="64"/>
  <c r="AW147" i="64"/>
  <c r="BL147" i="64"/>
  <c r="AY147" i="64"/>
  <c r="BJ147" i="64"/>
  <c r="BI147" i="64"/>
  <c r="BG147" i="64"/>
  <c r="BA147" i="64"/>
  <c r="AB147" i="64" l="1"/>
  <c r="AA147" i="64"/>
  <c r="Q147" i="64"/>
  <c r="Z146" i="64"/>
  <c r="Y146" i="64" s="1"/>
  <c r="AI147" i="64"/>
  <c r="AG147" i="64"/>
  <c r="AF147" i="64"/>
  <c r="AE147" i="64"/>
  <c r="AD147" i="64"/>
  <c r="AC147" i="64"/>
  <c r="BX148" i="64"/>
  <c r="Z147" i="64" l="1"/>
  <c r="Y147" i="64" s="1"/>
  <c r="BX149" i="64"/>
  <c r="D155" i="64" l="1"/>
  <c r="D156" i="64"/>
  <c r="D158" i="64"/>
  <c r="D159" i="64"/>
  <c r="D161" i="64"/>
  <c r="D162" i="64"/>
  <c r="AP178" i="64"/>
  <c r="AQ178" i="64"/>
  <c r="AR178" i="64"/>
  <c r="AS178" i="64"/>
  <c r="AT178" i="64"/>
  <c r="AU178" i="64"/>
  <c r="AV178" i="64"/>
  <c r="AW178" i="64"/>
  <c r="AX178" i="64"/>
  <c r="AY178" i="64"/>
  <c r="AZ178" i="64"/>
  <c r="BA178" i="64"/>
  <c r="BB178" i="64"/>
  <c r="BC178" i="64"/>
  <c r="BD178" i="64"/>
  <c r="Z179" i="64"/>
  <c r="BD179" i="64"/>
  <c r="BB179" i="64"/>
  <c r="BX179" i="64"/>
  <c r="BH179" i="64"/>
  <c r="AT179" i="64"/>
  <c r="BC179" i="64"/>
  <c r="BO179" i="64"/>
  <c r="BQ179" i="64"/>
  <c r="BK179" i="64"/>
  <c r="AQ179" i="64"/>
  <c r="AU179" i="64"/>
  <c r="BN179" i="64"/>
  <c r="AY179" i="64"/>
  <c r="BG179" i="64"/>
  <c r="BM179" i="64"/>
  <c r="BF179" i="64"/>
  <c r="BP179" i="64"/>
  <c r="BA179" i="64"/>
  <c r="BS179" i="64"/>
  <c r="BE179" i="64"/>
  <c r="BI179" i="64"/>
  <c r="AR179" i="64"/>
  <c r="AZ179" i="64"/>
  <c r="AW179" i="64"/>
  <c r="BT179" i="64"/>
  <c r="BL179" i="64"/>
  <c r="AX179" i="64"/>
  <c r="BW179" i="64"/>
  <c r="AS179" i="64"/>
  <c r="BR179" i="64"/>
  <c r="AV179" i="64"/>
  <c r="BJ179" i="64"/>
  <c r="AP179" i="64"/>
  <c r="P139" i="64" l="1"/>
  <c r="R181" i="64"/>
  <c r="S181" i="64"/>
  <c r="T181" i="64"/>
  <c r="U181" i="64"/>
  <c r="V181" i="64"/>
  <c r="W181" i="64"/>
  <c r="X181" i="64"/>
  <c r="AH181" i="64"/>
  <c r="BS181" i="64"/>
  <c r="BO181" i="64"/>
  <c r="BD181" i="64"/>
  <c r="BW181" i="64"/>
  <c r="AP181" i="64"/>
  <c r="BP181" i="64"/>
  <c r="BA181" i="64"/>
  <c r="BG181" i="64"/>
  <c r="BM181" i="64"/>
  <c r="BF181" i="64"/>
  <c r="AQ181" i="64"/>
  <c r="AZ181" i="64"/>
  <c r="BE181" i="64"/>
  <c r="BL181" i="64"/>
  <c r="AU181" i="64"/>
  <c r="AS181" i="64"/>
  <c r="BK181" i="64"/>
  <c r="AW181" i="64"/>
  <c r="BI181" i="64"/>
  <c r="BR181" i="64"/>
  <c r="BH181" i="64"/>
  <c r="BQ181" i="64"/>
  <c r="BJ181" i="64"/>
  <c r="BX181" i="64"/>
  <c r="AT181" i="64"/>
  <c r="AX181" i="64"/>
  <c r="BN181" i="64"/>
  <c r="AY181" i="64"/>
  <c r="BT181" i="64"/>
  <c r="AR181" i="64"/>
  <c r="BB181" i="64"/>
  <c r="BC181" i="64"/>
  <c r="AV181" i="64"/>
  <c r="H136" i="64" l="1"/>
  <c r="H171" i="64"/>
  <c r="AB181" i="64"/>
  <c r="AA181" i="64"/>
  <c r="O138" i="64" a="1"/>
  <c r="O138" i="64" s="1"/>
  <c r="N138" i="64" s="1"/>
  <c r="O139" i="64" a="1"/>
  <c r="O139" i="64" s="1"/>
  <c r="K139" i="64" s="1"/>
  <c r="L139" i="64" s="1"/>
  <c r="O140" i="64" a="1"/>
  <c r="O140" i="64" s="1"/>
  <c r="K140" i="64" s="1"/>
  <c r="L140" i="64" s="1"/>
  <c r="O142" i="64" a="1"/>
  <c r="O142" i="64" s="1"/>
  <c r="N142" i="64" s="1"/>
  <c r="O141" i="64" a="1"/>
  <c r="O141" i="64" s="1"/>
  <c r="K141" i="64" s="1"/>
  <c r="L141" i="64" s="1"/>
  <c r="O143" i="64" a="1"/>
  <c r="O143" i="64" s="1"/>
  <c r="K143" i="64" s="1"/>
  <c r="L143" i="64" s="1"/>
  <c r="Q181" i="64"/>
  <c r="P140" i="64"/>
  <c r="I171" i="64" s="1"/>
  <c r="P138" i="64"/>
  <c r="AI181" i="64"/>
  <c r="AG181" i="64"/>
  <c r="AF181" i="64"/>
  <c r="AE181" i="64"/>
  <c r="AD181" i="64"/>
  <c r="AC181" i="64"/>
  <c r="H133" i="64"/>
  <c r="R182" i="64"/>
  <c r="S182" i="64"/>
  <c r="T182" i="64"/>
  <c r="U182" i="64"/>
  <c r="V182" i="64"/>
  <c r="W182" i="64"/>
  <c r="X182" i="64"/>
  <c r="AH182" i="64"/>
  <c r="BW182" i="64"/>
  <c r="BG182" i="64"/>
  <c r="BJ182" i="64"/>
  <c r="BF182" i="64"/>
  <c r="AP182" i="64"/>
  <c r="AY182" i="64"/>
  <c r="BS182" i="64"/>
  <c r="BX182" i="64"/>
  <c r="BO182" i="64"/>
  <c r="BA182" i="64"/>
  <c r="AX182" i="64"/>
  <c r="BN182" i="64"/>
  <c r="BB182" i="64"/>
  <c r="BK182" i="64"/>
  <c r="BP182" i="64"/>
  <c r="BL182" i="64"/>
  <c r="BI182" i="64"/>
  <c r="AQ182" i="64"/>
  <c r="AV182" i="64"/>
  <c r="AW182" i="64"/>
  <c r="AT182" i="64"/>
  <c r="BQ182" i="64"/>
  <c r="BC182" i="64"/>
  <c r="BT182" i="64"/>
  <c r="BM182" i="64"/>
  <c r="AZ182" i="64"/>
  <c r="BH182" i="64"/>
  <c r="BR182" i="64"/>
  <c r="AU182" i="64"/>
  <c r="AS182" i="64"/>
  <c r="BE182" i="64"/>
  <c r="BD182" i="64"/>
  <c r="AR182" i="64"/>
  <c r="G136" i="64" l="1"/>
  <c r="G171" i="64"/>
  <c r="I133" i="64"/>
  <c r="I146" i="64" s="1"/>
  <c r="I136" i="64"/>
  <c r="AB182" i="64"/>
  <c r="AA182" i="64"/>
  <c r="K138" i="64"/>
  <c r="L138" i="64" s="1"/>
  <c r="N139" i="64"/>
  <c r="K142" i="64"/>
  <c r="L142" i="64" s="1"/>
  <c r="N140" i="64"/>
  <c r="N141" i="64"/>
  <c r="N143" i="64"/>
  <c r="G133" i="64"/>
  <c r="G137" i="64" s="1"/>
  <c r="Q182" i="64"/>
  <c r="AI182" i="64"/>
  <c r="AG182" i="64"/>
  <c r="AF182" i="64"/>
  <c r="AE182" i="64"/>
  <c r="AD182" i="64"/>
  <c r="AC182" i="64"/>
  <c r="H137" i="64"/>
  <c r="H138" i="64"/>
  <c r="H139" i="64"/>
  <c r="H140" i="64"/>
  <c r="H141" i="64"/>
  <c r="H142" i="64"/>
  <c r="H143" i="64"/>
  <c r="H144" i="64"/>
  <c r="H145" i="64"/>
  <c r="H146" i="64"/>
  <c r="H147" i="64"/>
  <c r="H148" i="64"/>
  <c r="H149" i="64"/>
  <c r="H157" i="64"/>
  <c r="H162" i="64"/>
  <c r="H166" i="64"/>
  <c r="H150" i="64"/>
  <c r="H160" i="64"/>
  <c r="H164" i="64"/>
  <c r="H167" i="64"/>
  <c r="H158" i="64"/>
  <c r="H155" i="64"/>
  <c r="H156" i="64"/>
  <c r="H165" i="64"/>
  <c r="H151" i="64"/>
  <c r="H161" i="64"/>
  <c r="H154" i="64"/>
  <c r="H159" i="64"/>
  <c r="Z181" i="64"/>
  <c r="Y181" i="64" s="1"/>
  <c r="R183" i="64"/>
  <c r="S183" i="64"/>
  <c r="T183" i="64"/>
  <c r="U183" i="64"/>
  <c r="V183" i="64"/>
  <c r="W183" i="64"/>
  <c r="X183" i="64"/>
  <c r="AH183" i="64"/>
  <c r="BL183" i="64"/>
  <c r="AP183" i="64"/>
  <c r="BT183" i="64"/>
  <c r="AZ183" i="64"/>
  <c r="BE183" i="64"/>
  <c r="BC183" i="64"/>
  <c r="AT183" i="64"/>
  <c r="AQ183" i="64"/>
  <c r="BF183" i="64"/>
  <c r="BX183" i="64"/>
  <c r="BD183" i="64"/>
  <c r="BW183" i="64"/>
  <c r="AX183" i="64"/>
  <c r="BB183" i="64"/>
  <c r="BI183" i="64"/>
  <c r="AU183" i="64"/>
  <c r="BJ183" i="64"/>
  <c r="BH183" i="64"/>
  <c r="BG183" i="64"/>
  <c r="AW183" i="64"/>
  <c r="BO183" i="64"/>
  <c r="AY183" i="64"/>
  <c r="BM183" i="64"/>
  <c r="BQ183" i="64"/>
  <c r="AR183" i="64"/>
  <c r="BR183" i="64"/>
  <c r="AS183" i="64"/>
  <c r="BN183" i="64"/>
  <c r="BS183" i="64"/>
  <c r="AV183" i="64"/>
  <c r="BA183" i="64"/>
  <c r="BK183" i="64"/>
  <c r="BP183" i="64"/>
  <c r="I143" i="64" l="1"/>
  <c r="I142" i="64"/>
  <c r="I150" i="64"/>
  <c r="I138" i="64"/>
  <c r="I156" i="64"/>
  <c r="I158" i="64"/>
  <c r="I164" i="64"/>
  <c r="I137" i="64"/>
  <c r="I155" i="64"/>
  <c r="I157" i="64"/>
  <c r="I148" i="64"/>
  <c r="I145" i="64"/>
  <c r="I144" i="64"/>
  <c r="I151" i="64"/>
  <c r="I141" i="64"/>
  <c r="I166" i="64"/>
  <c r="I162" i="64"/>
  <c r="I160" i="64"/>
  <c r="I140" i="64"/>
  <c r="I154" i="64"/>
  <c r="I149" i="64"/>
  <c r="I165" i="64"/>
  <c r="I159" i="64"/>
  <c r="I139" i="64"/>
  <c r="I161" i="64"/>
  <c r="I147" i="64"/>
  <c r="I167" i="64"/>
  <c r="AB183" i="64"/>
  <c r="AA183" i="64"/>
  <c r="G138" i="64"/>
  <c r="G142" i="64"/>
  <c r="G156" i="64"/>
  <c r="G143" i="64"/>
  <c r="G161" i="64"/>
  <c r="G164" i="64"/>
  <c r="G149" i="64"/>
  <c r="G160" i="64"/>
  <c r="G148" i="64"/>
  <c r="G155" i="64"/>
  <c r="G145" i="64"/>
  <c r="G158" i="64"/>
  <c r="G147" i="64"/>
  <c r="G151" i="64"/>
  <c r="G146" i="64"/>
  <c r="G167" i="64"/>
  <c r="G144" i="64"/>
  <c r="G150" i="64"/>
  <c r="G141" i="64"/>
  <c r="G159" i="64"/>
  <c r="G166" i="64"/>
  <c r="G140" i="64"/>
  <c r="G154" i="64"/>
  <c r="G162" i="64"/>
  <c r="G139" i="64"/>
  <c r="G165" i="64"/>
  <c r="G157" i="64"/>
  <c r="Q183" i="64"/>
  <c r="Z182" i="64"/>
  <c r="Y182" i="64" s="1"/>
  <c r="AI183" i="64"/>
  <c r="AG183" i="64"/>
  <c r="AF183" i="64"/>
  <c r="AE183" i="64"/>
  <c r="AD183" i="64"/>
  <c r="AC183" i="64"/>
  <c r="R184" i="64"/>
  <c r="S184" i="64"/>
  <c r="T184" i="64"/>
  <c r="U184" i="64"/>
  <c r="V184" i="64"/>
  <c r="W184" i="64"/>
  <c r="X184" i="64"/>
  <c r="AH184" i="64"/>
  <c r="BS184" i="64"/>
  <c r="BE184" i="64"/>
  <c r="AX184" i="64"/>
  <c r="BB184" i="64"/>
  <c r="BD184" i="64"/>
  <c r="BQ184" i="64"/>
  <c r="AZ184" i="64"/>
  <c r="BT184" i="64"/>
  <c r="BO184" i="64"/>
  <c r="BN184" i="64"/>
  <c r="BG184" i="64"/>
  <c r="AU184" i="64"/>
  <c r="AY184" i="64"/>
  <c r="AW184" i="64"/>
  <c r="AR184" i="64"/>
  <c r="BM184" i="64"/>
  <c r="BP184" i="64"/>
  <c r="BK184" i="64"/>
  <c r="BJ184" i="64"/>
  <c r="BI184" i="64"/>
  <c r="AQ184" i="64"/>
  <c r="AS184" i="64"/>
  <c r="BR184" i="64"/>
  <c r="BX184" i="64"/>
  <c r="AV184" i="64"/>
  <c r="BA184" i="64"/>
  <c r="BC184" i="64"/>
  <c r="AT184" i="64"/>
  <c r="BW184" i="64"/>
  <c r="BH184" i="64"/>
  <c r="BL184" i="64"/>
  <c r="BF184" i="64"/>
  <c r="AP184" i="64"/>
  <c r="AB184" i="64" l="1"/>
  <c r="AA184" i="64"/>
  <c r="Q184" i="64"/>
  <c r="Z183" i="64"/>
  <c r="Y183" i="64" s="1"/>
  <c r="AI184" i="64"/>
  <c r="AG184" i="64"/>
  <c r="AF184" i="64"/>
  <c r="AE184" i="64"/>
  <c r="AD184" i="64"/>
  <c r="AC184" i="64"/>
  <c r="R185" i="64"/>
  <c r="S185" i="64"/>
  <c r="T185" i="64"/>
  <c r="U185" i="64"/>
  <c r="V185" i="64"/>
  <c r="W185" i="64"/>
  <c r="X185" i="64"/>
  <c r="AH185" i="64"/>
  <c r="BD185" i="64"/>
  <c r="BK185" i="64"/>
  <c r="BO185" i="64"/>
  <c r="AR185" i="64"/>
  <c r="BA185" i="64"/>
  <c r="BF185" i="64"/>
  <c r="AU185" i="64"/>
  <c r="BB185" i="64"/>
  <c r="AW185" i="64"/>
  <c r="AY185" i="64"/>
  <c r="BC185" i="64"/>
  <c r="AV185" i="64"/>
  <c r="AT185" i="64"/>
  <c r="AP185" i="64"/>
  <c r="BJ185" i="64"/>
  <c r="BE185" i="64"/>
  <c r="AQ185" i="64"/>
  <c r="BH185" i="64"/>
  <c r="BN185" i="64"/>
  <c r="BL185" i="64"/>
  <c r="BS185" i="64"/>
  <c r="BM185" i="64"/>
  <c r="BG185" i="64"/>
  <c r="BQ185" i="64"/>
  <c r="AX185" i="64"/>
  <c r="BW185" i="64"/>
  <c r="BX185" i="64"/>
  <c r="AZ185" i="64"/>
  <c r="BP185" i="64"/>
  <c r="BI185" i="64"/>
  <c r="AS185" i="64"/>
  <c r="BR185" i="64"/>
  <c r="BT185" i="64"/>
  <c r="AB185" i="64" l="1"/>
  <c r="AA185" i="64"/>
  <c r="Q185" i="64"/>
  <c r="Z184" i="64"/>
  <c r="Y184" i="64" s="1"/>
  <c r="AI185" i="64"/>
  <c r="AG185" i="64"/>
  <c r="AF185" i="64"/>
  <c r="AE185" i="64"/>
  <c r="AD185" i="64"/>
  <c r="AC185" i="64"/>
  <c r="R186" i="64"/>
  <c r="S186" i="64"/>
  <c r="T186" i="64"/>
  <c r="U186" i="64"/>
  <c r="V186" i="64"/>
  <c r="W186" i="64"/>
  <c r="X186" i="64"/>
  <c r="AH186" i="64"/>
  <c r="AS186" i="64"/>
  <c r="BW186" i="64"/>
  <c r="BG186" i="64"/>
  <c r="AQ186" i="64"/>
  <c r="BS186" i="64"/>
  <c r="AZ186" i="64"/>
  <c r="BI186" i="64"/>
  <c r="BP186" i="64"/>
  <c r="BA186" i="64"/>
  <c r="BD186" i="64"/>
  <c r="AT186" i="64"/>
  <c r="AX186" i="64"/>
  <c r="BQ186" i="64"/>
  <c r="BX186" i="64"/>
  <c r="BE186" i="64"/>
  <c r="BF186" i="64"/>
  <c r="BR186" i="64"/>
  <c r="BC186" i="64"/>
  <c r="AY186" i="64"/>
  <c r="BO186" i="64"/>
  <c r="BN186" i="64"/>
  <c r="AU186" i="64"/>
  <c r="AV186" i="64"/>
  <c r="BB186" i="64"/>
  <c r="BL186" i="64"/>
  <c r="BM186" i="64"/>
  <c r="AW186" i="64"/>
  <c r="BK186" i="64"/>
  <c r="BT186" i="64"/>
  <c r="AP186" i="64"/>
  <c r="BH186" i="64"/>
  <c r="BJ186" i="64"/>
  <c r="AR186" i="64"/>
  <c r="AB186" i="64" l="1"/>
  <c r="AA186" i="64"/>
  <c r="Q186" i="64"/>
  <c r="Z185" i="64"/>
  <c r="Y185" i="64" s="1"/>
  <c r="AI186" i="64"/>
  <c r="AG186" i="64"/>
  <c r="AF186" i="64"/>
  <c r="AE186" i="64"/>
  <c r="AD186" i="64"/>
  <c r="AC186" i="64"/>
  <c r="R187" i="64"/>
  <c r="S187" i="64"/>
  <c r="T187" i="64"/>
  <c r="U187" i="64"/>
  <c r="V187" i="64"/>
  <c r="W187" i="64"/>
  <c r="X187" i="64"/>
  <c r="AH187" i="64"/>
  <c r="BQ187" i="64"/>
  <c r="BX187" i="64"/>
  <c r="AS187" i="64"/>
  <c r="BT187" i="64"/>
  <c r="BJ187" i="64"/>
  <c r="BK187" i="64"/>
  <c r="BL187" i="64"/>
  <c r="BA187" i="64"/>
  <c r="AQ187" i="64"/>
  <c r="AT187" i="64"/>
  <c r="BM187" i="64"/>
  <c r="BF187" i="64"/>
  <c r="AX187" i="64"/>
  <c r="BO187" i="64"/>
  <c r="BG187" i="64"/>
  <c r="AR187" i="64"/>
  <c r="BC187" i="64"/>
  <c r="BB187" i="64"/>
  <c r="BS187" i="64"/>
  <c r="AU187" i="64"/>
  <c r="BP187" i="64"/>
  <c r="AW187" i="64"/>
  <c r="BI187" i="64"/>
  <c r="AV187" i="64"/>
  <c r="AP187" i="64"/>
  <c r="BD187" i="64"/>
  <c r="BH187" i="64"/>
  <c r="BN187" i="64"/>
  <c r="BE187" i="64"/>
  <c r="BR187" i="64"/>
  <c r="AZ187" i="64"/>
  <c r="BW187" i="64"/>
  <c r="AY187" i="64"/>
  <c r="AB187" i="64" l="1"/>
  <c r="AA187" i="64"/>
  <c r="Z186" i="64"/>
  <c r="Y186" i="64" s="1"/>
  <c r="Q187" i="64"/>
  <c r="AI187" i="64"/>
  <c r="AG187" i="64"/>
  <c r="AF187" i="64"/>
  <c r="AE187" i="64"/>
  <c r="AD187" i="64"/>
  <c r="AC187" i="64"/>
  <c r="R188" i="64"/>
  <c r="S188" i="64"/>
  <c r="T188" i="64"/>
  <c r="U188" i="64"/>
  <c r="V188" i="64"/>
  <c r="W188" i="64"/>
  <c r="X188" i="64"/>
  <c r="AH188" i="64"/>
  <c r="BM188" i="64"/>
  <c r="BO188" i="64"/>
  <c r="BC188" i="64"/>
  <c r="BX188" i="64"/>
  <c r="BB188" i="64"/>
  <c r="AZ188" i="64"/>
  <c r="BK188" i="64"/>
  <c r="BE188" i="64"/>
  <c r="BR188" i="64"/>
  <c r="BG188" i="64"/>
  <c r="BS188" i="64"/>
  <c r="BH188" i="64"/>
  <c r="BF188" i="64"/>
  <c r="AS188" i="64"/>
  <c r="AY188" i="64"/>
  <c r="BJ188" i="64"/>
  <c r="BT188" i="64"/>
  <c r="BL188" i="64"/>
  <c r="AT188" i="64"/>
  <c r="BI188" i="64"/>
  <c r="AX188" i="64"/>
  <c r="AV188" i="64"/>
  <c r="AU188" i="64"/>
  <c r="AQ188" i="64"/>
  <c r="BQ188" i="64"/>
  <c r="BP188" i="64"/>
  <c r="BW188" i="64"/>
  <c r="AW188" i="64"/>
  <c r="AR188" i="64"/>
  <c r="BD188" i="64"/>
  <c r="BA188" i="64"/>
  <c r="BN188" i="64"/>
  <c r="AP188" i="64"/>
  <c r="AB188" i="64" l="1"/>
  <c r="AA188" i="64"/>
  <c r="Z187" i="64"/>
  <c r="Y187" i="64" s="1"/>
  <c r="Q188" i="64"/>
  <c r="AI188" i="64"/>
  <c r="AG188" i="64"/>
  <c r="AF188" i="64"/>
  <c r="AE188" i="64"/>
  <c r="AD188" i="64"/>
  <c r="AC188" i="64"/>
  <c r="R189" i="64"/>
  <c r="S189" i="64"/>
  <c r="T189" i="64"/>
  <c r="U189" i="64"/>
  <c r="V189" i="64"/>
  <c r="W189" i="64"/>
  <c r="X189" i="64"/>
  <c r="AH189" i="64"/>
  <c r="BL189" i="64"/>
  <c r="BS189" i="64"/>
  <c r="BP189" i="64"/>
  <c r="BF189" i="64"/>
  <c r="BO189" i="64"/>
  <c r="AP189" i="64"/>
  <c r="AU189" i="64"/>
  <c r="BB189" i="64"/>
  <c r="BA189" i="64"/>
  <c r="BT189" i="64"/>
  <c r="AR189" i="64"/>
  <c r="AZ189" i="64"/>
  <c r="AT189" i="64"/>
  <c r="BI189" i="64"/>
  <c r="BQ189" i="64"/>
  <c r="BR189" i="64"/>
  <c r="BG189" i="64"/>
  <c r="BN189" i="64"/>
  <c r="BH189" i="64"/>
  <c r="AS189" i="64"/>
  <c r="BC189" i="64"/>
  <c r="AW189" i="64"/>
  <c r="BW189" i="64"/>
  <c r="BX189" i="64"/>
  <c r="AX189" i="64"/>
  <c r="BE189" i="64"/>
  <c r="AV189" i="64"/>
  <c r="BJ189" i="64"/>
  <c r="BK189" i="64"/>
  <c r="AY189" i="64"/>
  <c r="AQ189" i="64"/>
  <c r="BM189" i="64"/>
  <c r="BD189" i="64"/>
  <c r="AA189" i="64" l="1"/>
  <c r="AB189" i="64"/>
  <c r="Q189" i="64"/>
  <c r="Z188" i="64"/>
  <c r="Y188" i="64" s="1"/>
  <c r="AI189" i="64"/>
  <c r="AG189" i="64"/>
  <c r="AF189" i="64"/>
  <c r="AE189" i="64"/>
  <c r="AD189" i="64"/>
  <c r="AC189" i="64"/>
  <c r="R190" i="64"/>
  <c r="S190" i="64"/>
  <c r="T190" i="64"/>
  <c r="U190" i="64"/>
  <c r="V190" i="64"/>
  <c r="W190" i="64"/>
  <c r="X190" i="64"/>
  <c r="AH190" i="64"/>
  <c r="BR190" i="64"/>
  <c r="BI190" i="64"/>
  <c r="AW190" i="64"/>
  <c r="BQ190" i="64"/>
  <c r="BO190" i="64"/>
  <c r="BP190" i="64"/>
  <c r="BA190" i="64"/>
  <c r="BJ190" i="64"/>
  <c r="BM190" i="64"/>
  <c r="BD190" i="64"/>
  <c r="BG190" i="64"/>
  <c r="BC190" i="64"/>
  <c r="BB190" i="64"/>
  <c r="AY190" i="64"/>
  <c r="BL190" i="64"/>
  <c r="AT190" i="64"/>
  <c r="AX190" i="64"/>
  <c r="BE190" i="64"/>
  <c r="BF190" i="64"/>
  <c r="BN190" i="64"/>
  <c r="BT190" i="64"/>
  <c r="BX190" i="64"/>
  <c r="AU190" i="64"/>
  <c r="AP190" i="64"/>
  <c r="BH190" i="64"/>
  <c r="BK190" i="64"/>
  <c r="BW190" i="64"/>
  <c r="AR190" i="64"/>
  <c r="BS190" i="64"/>
  <c r="AS190" i="64"/>
  <c r="AV190" i="64"/>
  <c r="AQ190" i="64"/>
  <c r="AZ190" i="64"/>
  <c r="AB190" i="64" l="1"/>
  <c r="AA190" i="64"/>
  <c r="Q190" i="64"/>
  <c r="Z189" i="64"/>
  <c r="Y189" i="64" s="1"/>
  <c r="AI190" i="64"/>
  <c r="AG190" i="64"/>
  <c r="AF190" i="64"/>
  <c r="AE190" i="64"/>
  <c r="AD190" i="64"/>
  <c r="AC190" i="64"/>
  <c r="Z190" i="64" l="1"/>
  <c r="Y190" i="64" s="1"/>
  <c r="D198" i="64" l="1"/>
  <c r="D199" i="64"/>
  <c r="D201" i="64"/>
  <c r="D202" i="64"/>
  <c r="D204" i="64"/>
  <c r="D205" i="64"/>
  <c r="AP93" i="64"/>
  <c r="AQ93" i="64"/>
  <c r="AR93" i="64"/>
  <c r="AS93" i="64"/>
  <c r="AT93" i="64"/>
  <c r="AU93" i="64"/>
  <c r="AV93" i="64"/>
  <c r="AW93" i="64"/>
  <c r="AX93" i="64"/>
  <c r="AY93" i="64"/>
  <c r="AZ93" i="64"/>
  <c r="BA93" i="64"/>
  <c r="BB93" i="64"/>
  <c r="BC93" i="64"/>
  <c r="BD93" i="64"/>
  <c r="Z94" i="64"/>
  <c r="BH94" i="64"/>
  <c r="BQ94" i="64"/>
  <c r="AX94" i="64"/>
  <c r="BP94" i="64"/>
  <c r="BA94" i="64"/>
  <c r="AS94" i="64"/>
  <c r="BI94" i="64"/>
  <c r="BO94" i="64"/>
  <c r="BX94" i="64"/>
  <c r="BJ94" i="64"/>
  <c r="AT94" i="64"/>
  <c r="BT94" i="64"/>
  <c r="BW94" i="64"/>
  <c r="BR94" i="64"/>
  <c r="BE94" i="64"/>
  <c r="BN94" i="64"/>
  <c r="BL94" i="64"/>
  <c r="AQ94" i="64"/>
  <c r="AZ94" i="64"/>
  <c r="BK94" i="64"/>
  <c r="BD94" i="64"/>
  <c r="BB94" i="64"/>
  <c r="AY94" i="64"/>
  <c r="AV94" i="64"/>
  <c r="AW94" i="64"/>
  <c r="BS94" i="64"/>
  <c r="BC94" i="64"/>
  <c r="AR94" i="64"/>
  <c r="AU94" i="64"/>
  <c r="BF94" i="64"/>
  <c r="BM94" i="64"/>
  <c r="BG94" i="64"/>
  <c r="AP94" i="64"/>
  <c r="P183" i="64" l="1"/>
  <c r="R96" i="64"/>
  <c r="S96" i="64"/>
  <c r="T96" i="64"/>
  <c r="U96" i="64"/>
  <c r="V96" i="64"/>
  <c r="W96" i="64"/>
  <c r="X96" i="64"/>
  <c r="AH96" i="64"/>
  <c r="R97" i="64"/>
  <c r="S97" i="64"/>
  <c r="T97" i="64"/>
  <c r="U97" i="64"/>
  <c r="V97" i="64"/>
  <c r="W97" i="64"/>
  <c r="X97" i="64"/>
  <c r="AH97" i="64"/>
  <c r="R98" i="64"/>
  <c r="S98" i="64"/>
  <c r="T98" i="64"/>
  <c r="U98" i="64"/>
  <c r="V98" i="64"/>
  <c r="W98" i="64"/>
  <c r="X98" i="64"/>
  <c r="AH98" i="64"/>
  <c r="R99" i="64"/>
  <c r="S99" i="64"/>
  <c r="T99" i="64"/>
  <c r="U99" i="64"/>
  <c r="V99" i="64"/>
  <c r="W99" i="64"/>
  <c r="X99" i="64"/>
  <c r="AH99" i="64"/>
  <c r="R100" i="64"/>
  <c r="S100" i="64"/>
  <c r="T100" i="64"/>
  <c r="U100" i="64"/>
  <c r="V100" i="64"/>
  <c r="W100" i="64"/>
  <c r="X100" i="64"/>
  <c r="AH100" i="64"/>
  <c r="R101" i="64"/>
  <c r="S101" i="64"/>
  <c r="T101" i="64"/>
  <c r="U101" i="64"/>
  <c r="V101" i="64"/>
  <c r="W101" i="64"/>
  <c r="X101" i="64"/>
  <c r="AH101" i="64"/>
  <c r="R102" i="64"/>
  <c r="S102" i="64"/>
  <c r="T102" i="64"/>
  <c r="U102" i="64"/>
  <c r="V102" i="64"/>
  <c r="W102" i="64"/>
  <c r="X102" i="64"/>
  <c r="AH102" i="64"/>
  <c r="R103" i="64"/>
  <c r="S103" i="64"/>
  <c r="T103" i="64"/>
  <c r="U103" i="64"/>
  <c r="V103" i="64"/>
  <c r="W103" i="64"/>
  <c r="X103" i="64"/>
  <c r="AH103" i="64"/>
  <c r="AP99" i="64"/>
  <c r="AU98" i="64"/>
  <c r="BM98" i="64"/>
  <c r="BF98" i="64"/>
  <c r="AZ102" i="64"/>
  <c r="AR100" i="64"/>
  <c r="BI101" i="64"/>
  <c r="BW102" i="64"/>
  <c r="BN96" i="64"/>
  <c r="BC97" i="64"/>
  <c r="BQ98" i="64"/>
  <c r="AU97" i="64"/>
  <c r="BS98" i="64"/>
  <c r="AR98" i="64"/>
  <c r="BB102" i="64"/>
  <c r="BN101" i="64"/>
  <c r="BJ102" i="64"/>
  <c r="AS96" i="64"/>
  <c r="BN98" i="64"/>
  <c r="BF96" i="64"/>
  <c r="BE99" i="64"/>
  <c r="BC98" i="64"/>
  <c r="BJ96" i="64"/>
  <c r="BG97" i="64"/>
  <c r="BX96" i="64"/>
  <c r="BE97" i="64"/>
  <c r="BD97" i="64"/>
  <c r="BQ97" i="64"/>
  <c r="BT96" i="64"/>
  <c r="AU96" i="64"/>
  <c r="BF102" i="64"/>
  <c r="BJ101" i="64"/>
  <c r="BP100" i="64"/>
  <c r="AP96" i="64"/>
  <c r="AU100" i="64"/>
  <c r="BN102" i="64"/>
  <c r="BR102" i="64"/>
  <c r="BW99" i="64"/>
  <c r="AV101" i="64"/>
  <c r="BP99" i="64"/>
  <c r="BH100" i="64"/>
  <c r="BN97" i="64"/>
  <c r="AU102" i="64"/>
  <c r="BE96" i="64"/>
  <c r="AS99" i="64"/>
  <c r="AX96" i="64"/>
  <c r="AY98" i="64"/>
  <c r="BN99" i="64"/>
  <c r="BD98" i="64"/>
  <c r="AV97" i="64"/>
  <c r="AR101" i="64"/>
  <c r="BN100" i="64"/>
  <c r="BK101" i="64"/>
  <c r="BR98" i="64"/>
  <c r="BA99" i="64"/>
  <c r="AT101" i="64"/>
  <c r="BX100" i="64"/>
  <c r="BC100" i="64"/>
  <c r="BW97" i="64"/>
  <c r="BX102" i="64"/>
  <c r="BH98" i="64"/>
  <c r="BC99" i="64"/>
  <c r="AZ100" i="64"/>
  <c r="BX97" i="64"/>
  <c r="AR97" i="64"/>
  <c r="AS100" i="64"/>
  <c r="BD100" i="64"/>
  <c r="AQ101" i="64"/>
  <c r="BT101" i="64"/>
  <c r="AY101" i="64"/>
  <c r="AY99" i="64"/>
  <c r="BI102" i="64"/>
  <c r="BQ96" i="64"/>
  <c r="BJ98" i="64"/>
  <c r="AT102" i="64"/>
  <c r="BM96" i="64"/>
  <c r="AX102" i="64"/>
  <c r="BO98" i="64"/>
  <c r="BI97" i="64"/>
  <c r="AZ96" i="64"/>
  <c r="AZ101" i="64"/>
  <c r="BB96" i="64"/>
  <c r="BW101" i="64"/>
  <c r="BD101" i="64"/>
  <c r="BL96" i="64"/>
  <c r="AR96" i="64"/>
  <c r="AX100" i="64"/>
  <c r="BX101" i="64"/>
  <c r="BI99" i="64"/>
  <c r="BT102" i="64"/>
  <c r="BP98" i="64"/>
  <c r="BS102" i="64"/>
  <c r="AW102" i="64"/>
  <c r="BJ97" i="64"/>
  <c r="AY102" i="64"/>
  <c r="AV100" i="64"/>
  <c r="BJ100" i="64"/>
  <c r="BG100" i="64"/>
  <c r="BA96" i="64"/>
  <c r="AX101" i="64"/>
  <c r="AQ102" i="64"/>
  <c r="AU101" i="64"/>
  <c r="AW96" i="64"/>
  <c r="BA98" i="64"/>
  <c r="BX98" i="64"/>
  <c r="BR101" i="64"/>
  <c r="BA100" i="64"/>
  <c r="BR96" i="64"/>
  <c r="BB100" i="64"/>
  <c r="BA97" i="64"/>
  <c r="BS96" i="64"/>
  <c r="BT98" i="64"/>
  <c r="AV99" i="64"/>
  <c r="BK96" i="64"/>
  <c r="BT100" i="64"/>
  <c r="BI98" i="64"/>
  <c r="AY97" i="64"/>
  <c r="AZ98" i="64"/>
  <c r="AP97" i="64"/>
  <c r="BA101" i="64"/>
  <c r="BO102" i="64"/>
  <c r="BK99" i="64"/>
  <c r="BF100" i="64"/>
  <c r="BH101" i="64"/>
  <c r="BO96" i="64"/>
  <c r="BF97" i="64"/>
  <c r="BF101" i="64"/>
  <c r="AR103" i="64"/>
  <c r="BG98" i="64"/>
  <c r="BS99" i="64"/>
  <c r="AT97" i="64"/>
  <c r="BT99" i="64"/>
  <c r="BC102" i="64"/>
  <c r="BG102" i="64"/>
  <c r="AW100" i="64"/>
  <c r="BI96" i="64"/>
  <c r="AQ98" i="64"/>
  <c r="AW97" i="64"/>
  <c r="BL101" i="64"/>
  <c r="BH99" i="64"/>
  <c r="AS103" i="64"/>
  <c r="BC101" i="64"/>
  <c r="BM99" i="64"/>
  <c r="AZ99" i="64"/>
  <c r="BA102" i="64"/>
  <c r="AY96" i="64"/>
  <c r="BK100" i="64"/>
  <c r="BM101" i="64"/>
  <c r="BE100" i="64"/>
  <c r="BR100" i="64"/>
  <c r="BQ99" i="64"/>
  <c r="BB99" i="64"/>
  <c r="BP97" i="64"/>
  <c r="BO100" i="64"/>
  <c r="BJ99" i="64"/>
  <c r="AP98" i="64"/>
  <c r="BS100" i="64"/>
  <c r="BQ101" i="64"/>
  <c r="AW101" i="64"/>
  <c r="BK102" i="64"/>
  <c r="AT100" i="64"/>
  <c r="BH97" i="64"/>
  <c r="BB97" i="64"/>
  <c r="BL102" i="64"/>
  <c r="BB101" i="64"/>
  <c r="BE102" i="64"/>
  <c r="AS101" i="64"/>
  <c r="BH96" i="64"/>
  <c r="BP96" i="64"/>
  <c r="BW100" i="64"/>
  <c r="AQ100" i="64"/>
  <c r="BL99" i="64"/>
  <c r="BG96" i="64"/>
  <c r="BP102" i="64"/>
  <c r="BP101" i="64"/>
  <c r="BQ100" i="64"/>
  <c r="BG101" i="64"/>
  <c r="AQ97" i="64"/>
  <c r="BO97" i="64"/>
  <c r="AT99" i="64"/>
  <c r="AY100" i="64"/>
  <c r="BH102" i="64"/>
  <c r="BM102" i="64"/>
  <c r="BG99" i="64"/>
  <c r="AP100" i="64"/>
  <c r="BD102" i="64"/>
  <c r="BD99" i="64"/>
  <c r="BT97" i="64"/>
  <c r="AS97" i="64"/>
  <c r="BO99" i="64"/>
  <c r="AS98" i="64"/>
  <c r="AX97" i="64"/>
  <c r="BW96" i="64"/>
  <c r="AU99" i="64"/>
  <c r="BM97" i="64"/>
  <c r="BS101" i="64"/>
  <c r="AX98" i="64"/>
  <c r="AV102" i="64"/>
  <c r="BQ102" i="64"/>
  <c r="BI100" i="64"/>
  <c r="AQ99" i="64"/>
  <c r="AP103" i="64"/>
  <c r="AS102" i="64"/>
  <c r="AX99" i="64"/>
  <c r="AW98" i="64"/>
  <c r="BL98" i="64"/>
  <c r="BL97" i="64"/>
  <c r="AV98" i="64"/>
  <c r="BD96" i="64"/>
  <c r="AP101" i="64"/>
  <c r="AW99" i="64"/>
  <c r="AQ96" i="64"/>
  <c r="BS97" i="64"/>
  <c r="AR102" i="64"/>
  <c r="AV96" i="64"/>
  <c r="BK98" i="64"/>
  <c r="BO101" i="64"/>
  <c r="BX99" i="64"/>
  <c r="BK97" i="64"/>
  <c r="AP102" i="64"/>
  <c r="BW98" i="64"/>
  <c r="BM100" i="64"/>
  <c r="BE98" i="64"/>
  <c r="BL100" i="64"/>
  <c r="BB98" i="64"/>
  <c r="AQ103" i="64"/>
  <c r="BR99" i="64"/>
  <c r="AT96" i="64"/>
  <c r="BC96" i="64"/>
  <c r="BF99" i="64"/>
  <c r="AT98" i="64"/>
  <c r="BR97" i="64"/>
  <c r="AZ97" i="64"/>
  <c r="AR99" i="64"/>
  <c r="BE101" i="64"/>
  <c r="I179" i="64" l="1"/>
  <c r="I214" i="64"/>
  <c r="AA100" i="64"/>
  <c r="AA98" i="64"/>
  <c r="AA97" i="64"/>
  <c r="AB103" i="64"/>
  <c r="AA102" i="64"/>
  <c r="AA101" i="64"/>
  <c r="AA103" i="64"/>
  <c r="AB102" i="64"/>
  <c r="AB98" i="64"/>
  <c r="AB96" i="64"/>
  <c r="AA96" i="64"/>
  <c r="AB100" i="64"/>
  <c r="AB97" i="64"/>
  <c r="AB99" i="64"/>
  <c r="AA99" i="64"/>
  <c r="AB101" i="64"/>
  <c r="O183" i="64" a="1"/>
  <c r="O183" i="64" s="1"/>
  <c r="K183" i="64" s="1"/>
  <c r="L183" i="64" s="1"/>
  <c r="O185" i="64" a="1"/>
  <c r="O185" i="64" s="1"/>
  <c r="N185" i="64" s="1"/>
  <c r="O181" i="64" a="1"/>
  <c r="O181" i="64" s="1"/>
  <c r="K181" i="64" s="1"/>
  <c r="L181" i="64" s="1"/>
  <c r="O186" i="64" a="1"/>
  <c r="O186" i="64" s="1"/>
  <c r="N186" i="64" s="1"/>
  <c r="O184" i="64" a="1"/>
  <c r="O184" i="64" s="1"/>
  <c r="K184" i="64" s="1"/>
  <c r="L184" i="64" s="1"/>
  <c r="O182" i="64" a="1"/>
  <c r="O182" i="64" s="1"/>
  <c r="K182" i="64" s="1"/>
  <c r="L182" i="64" s="1"/>
  <c r="Q103" i="64"/>
  <c r="Q98" i="64"/>
  <c r="P182" i="64"/>
  <c r="H214" i="64" s="1"/>
  <c r="P181" i="64"/>
  <c r="Q97" i="64"/>
  <c r="Q101" i="64"/>
  <c r="Q99" i="64"/>
  <c r="Q100" i="64"/>
  <c r="Q102" i="64"/>
  <c r="I176" i="64"/>
  <c r="Q96" i="64"/>
  <c r="AD103" i="64"/>
  <c r="AE102" i="64"/>
  <c r="AD100" i="64"/>
  <c r="AD102" i="64"/>
  <c r="AC100" i="64"/>
  <c r="AC102" i="64"/>
  <c r="AD99" i="64"/>
  <c r="AF98" i="64"/>
  <c r="AI101" i="64"/>
  <c r="AD98" i="64"/>
  <c r="AG97" i="64"/>
  <c r="AI96" i="64"/>
  <c r="AC99" i="64"/>
  <c r="AE98" i="64"/>
  <c r="AF97" i="64"/>
  <c r="AI100" i="64"/>
  <c r="AE97" i="64"/>
  <c r="AC103" i="64"/>
  <c r="AC98" i="64"/>
  <c r="AI102" i="64"/>
  <c r="AG101" i="64"/>
  <c r="AD97" i="64"/>
  <c r="AG96" i="64"/>
  <c r="AF101" i="64"/>
  <c r="AI99" i="64"/>
  <c r="AC97" i="64"/>
  <c r="AF96" i="64"/>
  <c r="AE96" i="64"/>
  <c r="AG100" i="64"/>
  <c r="AG102" i="64"/>
  <c r="AD101" i="64"/>
  <c r="AF100" i="64"/>
  <c r="AI98" i="64"/>
  <c r="AD96" i="64"/>
  <c r="AE101" i="64"/>
  <c r="AF102" i="64"/>
  <c r="AC101" i="64"/>
  <c r="AE100" i="64"/>
  <c r="AG99" i="64"/>
  <c r="AC96" i="64"/>
  <c r="AF99" i="64"/>
  <c r="AE99" i="64"/>
  <c r="AG98" i="64"/>
  <c r="AI97" i="64"/>
  <c r="R104" i="64"/>
  <c r="S104" i="64"/>
  <c r="T104" i="64"/>
  <c r="U104" i="64"/>
  <c r="V104" i="64"/>
  <c r="W104" i="64"/>
  <c r="X104" i="64"/>
  <c r="AH104" i="64"/>
  <c r="R105" i="64"/>
  <c r="S105" i="64"/>
  <c r="T105" i="64"/>
  <c r="U105" i="64"/>
  <c r="V105" i="64"/>
  <c r="W105" i="64"/>
  <c r="X105" i="64"/>
  <c r="AH105" i="64"/>
  <c r="BN105" i="64"/>
  <c r="BN104" i="64"/>
  <c r="BS104" i="64"/>
  <c r="BD104" i="64"/>
  <c r="BT103" i="64"/>
  <c r="BP104" i="64"/>
  <c r="AW105" i="64"/>
  <c r="BL104" i="64"/>
  <c r="BN103" i="64"/>
  <c r="BH103" i="64"/>
  <c r="AS104" i="64"/>
  <c r="BP103" i="64"/>
  <c r="BK105" i="64"/>
  <c r="BO104" i="64"/>
  <c r="BD105" i="64"/>
  <c r="BM104" i="64"/>
  <c r="BC104" i="64"/>
  <c r="AR104" i="64"/>
  <c r="BJ104" i="64"/>
  <c r="AY103" i="64"/>
  <c r="BR103" i="64"/>
  <c r="BC103" i="64"/>
  <c r="BA103" i="64"/>
  <c r="AX104" i="64"/>
  <c r="BA104" i="64"/>
  <c r="BG104" i="64"/>
  <c r="BK103" i="64"/>
  <c r="BX104" i="64"/>
  <c r="BL105" i="64"/>
  <c r="BO105" i="64"/>
  <c r="BH105" i="64"/>
  <c r="BJ105" i="64"/>
  <c r="BR104" i="64"/>
  <c r="AZ103" i="64"/>
  <c r="AX103" i="64"/>
  <c r="AX105" i="64"/>
  <c r="BP105" i="64"/>
  <c r="BE103" i="64"/>
  <c r="AQ104" i="64"/>
  <c r="BO103" i="64"/>
  <c r="BQ105" i="64"/>
  <c r="BI104" i="64"/>
  <c r="BF105" i="64"/>
  <c r="BK104" i="64"/>
  <c r="AV104" i="64"/>
  <c r="BW104" i="64"/>
  <c r="AT104" i="64"/>
  <c r="BJ103" i="64"/>
  <c r="BX105" i="64"/>
  <c r="AT105" i="64"/>
  <c r="BM103" i="64"/>
  <c r="AZ105" i="64"/>
  <c r="AQ105" i="64"/>
  <c r="AV103" i="64"/>
  <c r="BF103" i="64"/>
  <c r="BQ104" i="64"/>
  <c r="BA105" i="64"/>
  <c r="AW103" i="64"/>
  <c r="AY104" i="64"/>
  <c r="BQ103" i="64"/>
  <c r="BW103" i="64"/>
  <c r="BS105" i="64"/>
  <c r="BB105" i="64"/>
  <c r="BI103" i="64"/>
  <c r="BI105" i="64"/>
  <c r="BH104" i="64"/>
  <c r="BE104" i="64"/>
  <c r="AS105" i="64"/>
  <c r="BW105" i="64"/>
  <c r="AT103" i="64"/>
  <c r="BS103" i="64"/>
  <c r="BL103" i="64"/>
  <c r="AU103" i="64"/>
  <c r="BX103" i="64"/>
  <c r="BG103" i="64"/>
  <c r="BG105" i="64"/>
  <c r="AU105" i="64"/>
  <c r="BM105" i="64"/>
  <c r="BB103" i="64"/>
  <c r="BE105" i="64"/>
  <c r="AZ104" i="64"/>
  <c r="AU104" i="64"/>
  <c r="AW104" i="64"/>
  <c r="AR105" i="64"/>
  <c r="AY105" i="64"/>
  <c r="BD103" i="64"/>
  <c r="BC105" i="64"/>
  <c r="BB104" i="64"/>
  <c r="AP104" i="64"/>
  <c r="BT105" i="64"/>
  <c r="AV105" i="64"/>
  <c r="AP105" i="64"/>
  <c r="BR105" i="64"/>
  <c r="BF104" i="64"/>
  <c r="BT104" i="64"/>
  <c r="G179" i="64" l="1"/>
  <c r="G214" i="64"/>
  <c r="H176" i="64"/>
  <c r="H186" i="64" s="1"/>
  <c r="H179" i="64"/>
  <c r="AA105" i="64"/>
  <c r="AA104" i="64"/>
  <c r="AB105" i="64"/>
  <c r="AB104" i="64"/>
  <c r="G176" i="64"/>
  <c r="G190" i="64" s="1"/>
  <c r="N184" i="64"/>
  <c r="K185" i="64"/>
  <c r="L185" i="64" s="1"/>
  <c r="K186" i="64"/>
  <c r="L186" i="64" s="1"/>
  <c r="N182" i="64"/>
  <c r="N181" i="64"/>
  <c r="N183" i="64"/>
  <c r="Q104" i="64"/>
  <c r="I180" i="64"/>
  <c r="I181" i="64"/>
  <c r="I182" i="64"/>
  <c r="I183" i="64"/>
  <c r="I184" i="64"/>
  <c r="I185" i="64"/>
  <c r="I186" i="64"/>
  <c r="I187" i="64"/>
  <c r="I188" i="64"/>
  <c r="I189" i="64"/>
  <c r="I190" i="64"/>
  <c r="I191" i="64"/>
  <c r="I192" i="64"/>
  <c r="I203" i="64"/>
  <c r="I197" i="64"/>
  <c r="I202" i="64"/>
  <c r="I200" i="64"/>
  <c r="I205" i="64"/>
  <c r="I209" i="64"/>
  <c r="I198" i="64"/>
  <c r="I207" i="64"/>
  <c r="I210" i="64"/>
  <c r="I201" i="64"/>
  <c r="I204" i="64"/>
  <c r="I193" i="64"/>
  <c r="I194" i="64"/>
  <c r="I199" i="64"/>
  <c r="I208" i="64"/>
  <c r="Q105" i="64"/>
  <c r="Z98" i="64"/>
  <c r="Y98" i="64" s="1"/>
  <c r="Z99" i="64"/>
  <c r="Y99" i="64" s="1"/>
  <c r="Z100" i="64"/>
  <c r="Y100" i="64" s="1"/>
  <c r="Z97" i="64"/>
  <c r="Y97" i="64" s="1"/>
  <c r="AI105" i="64"/>
  <c r="AG104" i="64"/>
  <c r="AF104" i="64"/>
  <c r="AG105" i="64"/>
  <c r="AD104" i="64"/>
  <c r="AF105" i="64"/>
  <c r="AC104" i="64"/>
  <c r="AE105" i="64"/>
  <c r="AE104" i="64"/>
  <c r="AD105" i="64"/>
  <c r="AI103" i="64"/>
  <c r="AC105" i="64"/>
  <c r="AI104" i="64"/>
  <c r="AG103" i="64"/>
  <c r="AF103" i="64"/>
  <c r="AE103" i="64"/>
  <c r="Z102" i="64"/>
  <c r="Y102" i="64" s="1"/>
  <c r="Z96" i="64"/>
  <c r="Y96" i="64" s="1"/>
  <c r="Z101" i="64"/>
  <c r="Y101" i="64" s="1"/>
  <c r="H181" i="64" l="1"/>
  <c r="H180" i="64"/>
  <c r="H185" i="64"/>
  <c r="H184" i="64"/>
  <c r="H183" i="64"/>
  <c r="H182" i="64"/>
  <c r="H203" i="64"/>
  <c r="H194" i="64"/>
  <c r="H210" i="64"/>
  <c r="H205" i="64"/>
  <c r="H202" i="64"/>
  <c r="H193" i="64"/>
  <c r="H192" i="64"/>
  <c r="H208" i="64"/>
  <c r="H190" i="64"/>
  <c r="H209" i="64"/>
  <c r="H189" i="64"/>
  <c r="H200" i="64"/>
  <c r="H204" i="64"/>
  <c r="H188" i="64"/>
  <c r="H198" i="64"/>
  <c r="H197" i="64"/>
  <c r="H201" i="64"/>
  <c r="H187" i="64"/>
  <c r="H199" i="64"/>
  <c r="H191" i="64"/>
  <c r="H207" i="64"/>
  <c r="G184" i="64"/>
  <c r="G201" i="64"/>
  <c r="G194" i="64"/>
  <c r="G187" i="64"/>
  <c r="G209" i="64"/>
  <c r="G189" i="64"/>
  <c r="G204" i="64"/>
  <c r="G205" i="64"/>
  <c r="G188" i="64"/>
  <c r="G183" i="64"/>
  <c r="G202" i="64"/>
  <c r="G203" i="64"/>
  <c r="G186" i="64"/>
  <c r="G193" i="64"/>
  <c r="G185" i="64"/>
  <c r="G197" i="64"/>
  <c r="G200" i="64"/>
  <c r="G182" i="64"/>
  <c r="G198" i="64"/>
  <c r="G210" i="64"/>
  <c r="G181" i="64"/>
  <c r="G208" i="64"/>
  <c r="G192" i="64"/>
  <c r="G180" i="64"/>
  <c r="G199" i="64"/>
  <c r="G191" i="64"/>
  <c r="G207" i="64"/>
  <c r="Z103" i="64"/>
  <c r="Y103" i="64" s="1"/>
  <c r="Z104" i="64"/>
  <c r="Y104" i="64" s="1"/>
  <c r="Z105" i="64"/>
  <c r="Y105" i="64" s="1"/>
  <c r="D113" i="64"/>
  <c r="D114" i="64"/>
  <c r="D116" i="64"/>
  <c r="D117" i="64"/>
  <c r="D119" i="64"/>
  <c r="D120" i="64"/>
  <c r="AP51" i="64"/>
  <c r="AQ51" i="64"/>
  <c r="AR51" i="64"/>
  <c r="AS51" i="64"/>
  <c r="AT51" i="64"/>
  <c r="AU51" i="64"/>
  <c r="AV51" i="64"/>
  <c r="AW51" i="64"/>
  <c r="AX51" i="64"/>
  <c r="AY51" i="64"/>
  <c r="AZ51" i="64"/>
  <c r="BA51" i="64"/>
  <c r="BB51" i="64"/>
  <c r="BC51" i="64"/>
  <c r="BD51" i="64"/>
  <c r="Z52" i="64"/>
  <c r="BC52" i="64"/>
  <c r="AR52" i="64"/>
  <c r="AP52" i="64"/>
  <c r="BK52" i="64"/>
  <c r="BW52" i="64"/>
  <c r="AU52" i="64"/>
  <c r="BS52" i="64"/>
  <c r="AY52" i="64"/>
  <c r="BR52" i="64"/>
  <c r="AX52" i="64"/>
  <c r="AS52" i="64"/>
  <c r="BB52" i="64"/>
  <c r="BT52" i="64"/>
  <c r="BQ52" i="64"/>
  <c r="BD52" i="64"/>
  <c r="BM52" i="64"/>
  <c r="BO52" i="64"/>
  <c r="BA52" i="64"/>
  <c r="BI52" i="64"/>
  <c r="BH52" i="64"/>
  <c r="BN52" i="64"/>
  <c r="AQ52" i="64"/>
  <c r="BF52" i="64"/>
  <c r="AT52" i="64"/>
  <c r="BG52" i="64"/>
  <c r="BP52" i="64"/>
  <c r="BL52" i="64"/>
  <c r="AW52" i="64"/>
  <c r="AV52" i="64"/>
  <c r="BE52" i="64"/>
  <c r="AZ52" i="64"/>
  <c r="BX52" i="64"/>
  <c r="BJ52" i="64"/>
  <c r="O101" i="64" l="1" a="1"/>
  <c r="O101" i="64" s="1"/>
  <c r="R54" i="64"/>
  <c r="S54" i="64"/>
  <c r="T54" i="64"/>
  <c r="U54" i="64"/>
  <c r="V54" i="64"/>
  <c r="W54" i="64"/>
  <c r="X54" i="64"/>
  <c r="AH54" i="64"/>
  <c r="R55" i="64"/>
  <c r="S55" i="64"/>
  <c r="T55" i="64"/>
  <c r="U55" i="64"/>
  <c r="V55" i="64"/>
  <c r="W55" i="64"/>
  <c r="X55" i="64"/>
  <c r="AH55" i="64"/>
  <c r="R56" i="64"/>
  <c r="S56" i="64"/>
  <c r="T56" i="64"/>
  <c r="U56" i="64"/>
  <c r="V56" i="64"/>
  <c r="W56" i="64"/>
  <c r="X56" i="64"/>
  <c r="AH56" i="64"/>
  <c r="R57" i="64"/>
  <c r="S57" i="64"/>
  <c r="T57" i="64"/>
  <c r="U57" i="64"/>
  <c r="V57" i="64"/>
  <c r="W57" i="64"/>
  <c r="X57" i="64"/>
  <c r="AH57" i="64"/>
  <c r="R58" i="64"/>
  <c r="S58" i="64"/>
  <c r="T58" i="64"/>
  <c r="U58" i="64"/>
  <c r="V58" i="64"/>
  <c r="W58" i="64"/>
  <c r="X58" i="64"/>
  <c r="AH58" i="64"/>
  <c r="R59" i="64"/>
  <c r="S59" i="64"/>
  <c r="T59" i="64"/>
  <c r="U59" i="64"/>
  <c r="V59" i="64"/>
  <c r="W59" i="64"/>
  <c r="X59" i="64"/>
  <c r="AH59" i="64"/>
  <c r="R60" i="64"/>
  <c r="S60" i="64"/>
  <c r="T60" i="64"/>
  <c r="U60" i="64"/>
  <c r="V60" i="64"/>
  <c r="W60" i="64"/>
  <c r="X60" i="64"/>
  <c r="AH60" i="64"/>
  <c r="R61" i="64"/>
  <c r="S61" i="64"/>
  <c r="T61" i="64"/>
  <c r="U61" i="64"/>
  <c r="V61" i="64"/>
  <c r="W61" i="64"/>
  <c r="X61" i="64"/>
  <c r="AH61" i="64"/>
  <c r="BS54" i="64"/>
  <c r="BO59" i="64"/>
  <c r="BJ60" i="64"/>
  <c r="BJ55" i="64"/>
  <c r="AV55" i="64"/>
  <c r="BT59" i="64"/>
  <c r="AS56" i="64"/>
  <c r="BM56" i="64"/>
  <c r="BG54" i="64"/>
  <c r="BS57" i="64"/>
  <c r="AY58" i="64"/>
  <c r="BA55" i="64"/>
  <c r="BL55" i="64"/>
  <c r="BX57" i="64"/>
  <c r="AW60" i="64"/>
  <c r="BT60" i="64"/>
  <c r="BJ58" i="64"/>
  <c r="BX60" i="64"/>
  <c r="BC54" i="64"/>
  <c r="BT56" i="64"/>
  <c r="BC55" i="64"/>
  <c r="BT57" i="64"/>
  <c r="AS60" i="64"/>
  <c r="BP59" i="64"/>
  <c r="BK56" i="64"/>
  <c r="BP56" i="64"/>
  <c r="AS61" i="64"/>
  <c r="AT55" i="64"/>
  <c r="AW55" i="64"/>
  <c r="BR59" i="64"/>
  <c r="AP55" i="64"/>
  <c r="AU55" i="64"/>
  <c r="BO54" i="64"/>
  <c r="BX59" i="64"/>
  <c r="AP54" i="64"/>
  <c r="BB60" i="64"/>
  <c r="AS58" i="64"/>
  <c r="BD59" i="64"/>
  <c r="BS59" i="64"/>
  <c r="AZ58" i="64"/>
  <c r="BG60" i="64"/>
  <c r="AU56" i="64"/>
  <c r="BQ60" i="64"/>
  <c r="BA59" i="64"/>
  <c r="BK59" i="64"/>
  <c r="AT59" i="64"/>
  <c r="BG55" i="64"/>
  <c r="BQ59" i="64"/>
  <c r="AV58" i="64"/>
  <c r="AX60" i="64"/>
  <c r="AV54" i="64"/>
  <c r="AT58" i="64"/>
  <c r="AR58" i="64"/>
  <c r="AX59" i="64"/>
  <c r="AS54" i="64"/>
  <c r="AX58" i="64"/>
  <c r="BA54" i="64"/>
  <c r="AR59" i="64"/>
  <c r="BW56" i="64"/>
  <c r="BD57" i="64"/>
  <c r="BB56" i="64"/>
  <c r="AS55" i="64"/>
  <c r="BC57" i="64"/>
  <c r="AQ59" i="64"/>
  <c r="AU60" i="64"/>
  <c r="AT57" i="64"/>
  <c r="BS58" i="64"/>
  <c r="BH57" i="64"/>
  <c r="BT54" i="64"/>
  <c r="BJ56" i="64"/>
  <c r="AX55" i="64"/>
  <c r="BL56" i="64"/>
  <c r="BI59" i="64"/>
  <c r="AQ56" i="64"/>
  <c r="AY57" i="64"/>
  <c r="BE54" i="64"/>
  <c r="AQ60" i="64"/>
  <c r="BK57" i="64"/>
  <c r="BS60" i="64"/>
  <c r="BI60" i="64"/>
  <c r="BT58" i="64"/>
  <c r="AU58" i="64"/>
  <c r="BT55" i="64"/>
  <c r="AQ55" i="64"/>
  <c r="BI54" i="64"/>
  <c r="BA60" i="64"/>
  <c r="BW55" i="64"/>
  <c r="BN60" i="64"/>
  <c r="BB54" i="64"/>
  <c r="BB57" i="64"/>
  <c r="BO60" i="64"/>
  <c r="BQ55" i="64"/>
  <c r="AU54" i="64"/>
  <c r="BB58" i="64"/>
  <c r="BM55" i="64"/>
  <c r="BQ57" i="64"/>
  <c r="BC59" i="64"/>
  <c r="BH54" i="64"/>
  <c r="BF58" i="64"/>
  <c r="AQ57" i="64"/>
  <c r="BD58" i="64"/>
  <c r="BG56" i="64"/>
  <c r="AZ57" i="64"/>
  <c r="BE56" i="64"/>
  <c r="BR60" i="64"/>
  <c r="BD54" i="64"/>
  <c r="BQ56" i="64"/>
  <c r="AV60" i="64"/>
  <c r="BM60" i="64"/>
  <c r="BL59" i="64"/>
  <c r="BN56" i="64"/>
  <c r="BI57" i="64"/>
  <c r="AR54" i="64"/>
  <c r="BG59" i="64"/>
  <c r="BS56" i="64"/>
  <c r="BH56" i="64"/>
  <c r="BI58" i="64"/>
  <c r="AY54" i="64"/>
  <c r="BG58" i="64"/>
  <c r="AQ58" i="64"/>
  <c r="AZ56" i="64"/>
  <c r="BF55" i="64"/>
  <c r="AW54" i="64"/>
  <c r="BK60" i="64"/>
  <c r="BX58" i="64"/>
  <c r="BF54" i="64"/>
  <c r="BF59" i="64"/>
  <c r="BK54" i="64"/>
  <c r="BW59" i="64"/>
  <c r="BX54" i="64"/>
  <c r="BR56" i="64"/>
  <c r="AY60" i="64"/>
  <c r="AP57" i="64"/>
  <c r="BP60" i="64"/>
  <c r="AP60" i="64"/>
  <c r="AU59" i="64"/>
  <c r="AQ61" i="64"/>
  <c r="AT56" i="64"/>
  <c r="BL54" i="64"/>
  <c r="AY55" i="64"/>
  <c r="BE59" i="64"/>
  <c r="BN57" i="64"/>
  <c r="BX55" i="64"/>
  <c r="AW58" i="64"/>
  <c r="BE58" i="64"/>
  <c r="BI55" i="64"/>
  <c r="BN54" i="64"/>
  <c r="AQ54" i="64"/>
  <c r="BG57" i="64"/>
  <c r="BB59" i="64"/>
  <c r="BA58" i="64"/>
  <c r="BL57" i="64"/>
  <c r="BO58" i="64"/>
  <c r="BW57" i="64"/>
  <c r="AW59" i="64"/>
  <c r="BM59" i="64"/>
  <c r="AT60" i="64"/>
  <c r="BO55" i="64"/>
  <c r="BR58" i="64"/>
  <c r="BE55" i="64"/>
  <c r="AP58" i="64"/>
  <c r="BR55" i="64"/>
  <c r="BB55" i="64"/>
  <c r="AR61" i="64"/>
  <c r="BH60" i="64"/>
  <c r="BD55" i="64"/>
  <c r="AR60" i="64"/>
  <c r="AZ60" i="64"/>
  <c r="BA57" i="64"/>
  <c r="BE57" i="64"/>
  <c r="BJ57" i="64"/>
  <c r="BP58" i="64"/>
  <c r="AY56" i="64"/>
  <c r="BK55" i="64"/>
  <c r="AP59" i="64"/>
  <c r="BM57" i="64"/>
  <c r="BP55" i="64"/>
  <c r="AW56" i="64"/>
  <c r="AX54" i="64"/>
  <c r="BD56" i="64"/>
  <c r="AR55" i="64"/>
  <c r="BP57" i="64"/>
  <c r="BD60" i="64"/>
  <c r="AV56" i="64"/>
  <c r="AP61" i="64"/>
  <c r="BM54" i="64"/>
  <c r="AW57" i="64"/>
  <c r="AZ55" i="64"/>
  <c r="BN58" i="64"/>
  <c r="BJ59" i="64"/>
  <c r="BF56" i="64"/>
  <c r="BA56" i="64"/>
  <c r="BC58" i="64"/>
  <c r="BN59" i="64"/>
  <c r="BJ54" i="64"/>
  <c r="BH55" i="64"/>
  <c r="BO57" i="64"/>
  <c r="BW58" i="64"/>
  <c r="AT54" i="64"/>
  <c r="BL58" i="64"/>
  <c r="BX56" i="64"/>
  <c r="BH58" i="64"/>
  <c r="AU57" i="64"/>
  <c r="BK58" i="64"/>
  <c r="BL60" i="64"/>
  <c r="BN55" i="64"/>
  <c r="BQ54" i="64"/>
  <c r="BP54" i="64"/>
  <c r="BQ58" i="64"/>
  <c r="AZ54" i="64"/>
  <c r="AZ59" i="64"/>
  <c r="AP56" i="64"/>
  <c r="BC60" i="64"/>
  <c r="BR57" i="64"/>
  <c r="AX56" i="64"/>
  <c r="AY59" i="64"/>
  <c r="AR56" i="64"/>
  <c r="BE60" i="64"/>
  <c r="BR54" i="64"/>
  <c r="BI56" i="64"/>
  <c r="BH59" i="64"/>
  <c r="AS59" i="64"/>
  <c r="AV59" i="64"/>
  <c r="BC56" i="64"/>
  <c r="AR57" i="64"/>
  <c r="AX57" i="64"/>
  <c r="BW60" i="64"/>
  <c r="AS57" i="64"/>
  <c r="BO56" i="64"/>
  <c r="BF57" i="64"/>
  <c r="AV57" i="64"/>
  <c r="BF60" i="64"/>
  <c r="BS55" i="64"/>
  <c r="BM58" i="64"/>
  <c r="BW54" i="64"/>
  <c r="AA61" i="64" l="1"/>
  <c r="AA55" i="64"/>
  <c r="AB58" i="64"/>
  <c r="AA57" i="64"/>
  <c r="AB57" i="64"/>
  <c r="AA60" i="64"/>
  <c r="AB61" i="64"/>
  <c r="AA54" i="64"/>
  <c r="AA58" i="64"/>
  <c r="AB55" i="64"/>
  <c r="AB59" i="64"/>
  <c r="AA56" i="64"/>
  <c r="AB60" i="64"/>
  <c r="AB54" i="64"/>
  <c r="AB56" i="64"/>
  <c r="AA59" i="64"/>
  <c r="O97" i="64" a="1"/>
  <c r="O97" i="64" s="1"/>
  <c r="K97" i="64" s="1"/>
  <c r="L97" i="64" s="1"/>
  <c r="O98" i="64" a="1"/>
  <c r="O98" i="64" s="1"/>
  <c r="K98" i="64" s="1"/>
  <c r="L98" i="64" s="1"/>
  <c r="O99" i="64" a="1"/>
  <c r="O99" i="64" s="1"/>
  <c r="N99" i="64" s="1"/>
  <c r="O100" i="64" a="1"/>
  <c r="O100" i="64" s="1"/>
  <c r="K100" i="64" s="1"/>
  <c r="L100" i="64" s="1"/>
  <c r="Q61" i="64"/>
  <c r="Q56" i="64"/>
  <c r="O96" i="64" a="1"/>
  <c r="O96" i="64" s="1"/>
  <c r="P96" i="64"/>
  <c r="P97" i="64"/>
  <c r="H129" i="64" s="1"/>
  <c r="P98" i="64"/>
  <c r="I129" i="64" s="1"/>
  <c r="Q54" i="64"/>
  <c r="Q60" i="64"/>
  <c r="Q55" i="64"/>
  <c r="Q59" i="64"/>
  <c r="Q57" i="64"/>
  <c r="K101" i="64"/>
  <c r="L101" i="64" s="1"/>
  <c r="N101" i="64"/>
  <c r="Q58" i="64"/>
  <c r="AD61" i="64"/>
  <c r="AC57" i="64"/>
  <c r="AF60" i="64"/>
  <c r="AC59" i="64"/>
  <c r="AD60" i="64"/>
  <c r="AC58" i="64"/>
  <c r="AC60" i="64"/>
  <c r="AD57" i="64"/>
  <c r="AF56" i="64"/>
  <c r="AE56" i="64"/>
  <c r="AC56" i="64"/>
  <c r="AF55" i="64"/>
  <c r="AG55" i="64"/>
  <c r="AI54" i="64"/>
  <c r="AI58" i="64"/>
  <c r="AE55" i="64"/>
  <c r="AC61" i="64"/>
  <c r="AD55" i="64"/>
  <c r="AG54" i="64"/>
  <c r="AI59" i="64"/>
  <c r="AD56" i="64"/>
  <c r="AI60" i="64"/>
  <c r="AG59" i="64"/>
  <c r="AF59" i="64"/>
  <c r="AI57" i="64"/>
  <c r="AC55" i="64"/>
  <c r="AF54" i="64"/>
  <c r="AE59" i="64"/>
  <c r="AG58" i="64"/>
  <c r="AE54" i="64"/>
  <c r="AG60" i="64"/>
  <c r="AD59" i="64"/>
  <c r="AF58" i="64"/>
  <c r="AI56" i="64"/>
  <c r="AD54" i="64"/>
  <c r="AE58" i="64"/>
  <c r="AG57" i="64"/>
  <c r="AC54" i="64"/>
  <c r="AE60" i="64"/>
  <c r="AD58" i="64"/>
  <c r="AF57" i="64"/>
  <c r="AE57" i="64"/>
  <c r="AG56" i="64"/>
  <c r="AI55" i="64"/>
  <c r="R62" i="64"/>
  <c r="S62" i="64"/>
  <c r="T62" i="64"/>
  <c r="U62" i="64"/>
  <c r="V62" i="64"/>
  <c r="W62" i="64"/>
  <c r="X62" i="64"/>
  <c r="AH62" i="64"/>
  <c r="R63" i="64"/>
  <c r="S63" i="64"/>
  <c r="T63" i="64"/>
  <c r="U63" i="64"/>
  <c r="V63" i="64"/>
  <c r="W63" i="64"/>
  <c r="X63" i="64"/>
  <c r="AH63" i="64"/>
  <c r="BB62" i="64"/>
  <c r="BC61" i="64"/>
  <c r="AT63" i="64"/>
  <c r="AW62" i="64"/>
  <c r="BB61" i="64"/>
  <c r="BG63" i="64"/>
  <c r="BK63" i="64"/>
  <c r="AU61" i="64"/>
  <c r="AU62" i="64"/>
  <c r="AW61" i="64"/>
  <c r="BB63" i="64"/>
  <c r="AP63" i="64"/>
  <c r="AY63" i="64"/>
  <c r="AV61" i="64"/>
  <c r="BA61" i="64"/>
  <c r="BW62" i="64"/>
  <c r="AQ62" i="64"/>
  <c r="BE62" i="64"/>
  <c r="BM63" i="64"/>
  <c r="BD62" i="64"/>
  <c r="AS62" i="64"/>
  <c r="BD63" i="64"/>
  <c r="AX63" i="64"/>
  <c r="BL63" i="64"/>
  <c r="BI63" i="64"/>
  <c r="AY61" i="64"/>
  <c r="BH63" i="64"/>
  <c r="BI62" i="64"/>
  <c r="AS63" i="64"/>
  <c r="BT63" i="64"/>
  <c r="BW61" i="64"/>
  <c r="BM62" i="64"/>
  <c r="AZ62" i="64"/>
  <c r="BS62" i="64"/>
  <c r="BR61" i="64"/>
  <c r="BL61" i="64"/>
  <c r="BF63" i="64"/>
  <c r="BJ61" i="64"/>
  <c r="AR62" i="64"/>
  <c r="BK62" i="64"/>
  <c r="BF61" i="64"/>
  <c r="BR63" i="64"/>
  <c r="BM61" i="64"/>
  <c r="BO63" i="64"/>
  <c r="AU63" i="64"/>
  <c r="BQ62" i="64"/>
  <c r="BH62" i="64"/>
  <c r="BH61" i="64"/>
  <c r="BR62" i="64"/>
  <c r="BO61" i="64"/>
  <c r="BX61" i="64"/>
  <c r="BW63" i="64"/>
  <c r="BD61" i="64"/>
  <c r="AT62" i="64"/>
  <c r="BX62" i="64"/>
  <c r="BS63" i="64"/>
  <c r="BG61" i="64"/>
  <c r="BG62" i="64"/>
  <c r="AV63" i="64"/>
  <c r="BC62" i="64"/>
  <c r="AP62" i="64"/>
  <c r="BJ62" i="64"/>
  <c r="BX63" i="64"/>
  <c r="AX61" i="64"/>
  <c r="AX62" i="64"/>
  <c r="BC63" i="64"/>
  <c r="BE63" i="64"/>
  <c r="BQ61" i="64"/>
  <c r="AZ63" i="64"/>
  <c r="BN63" i="64"/>
  <c r="BP62" i="64"/>
  <c r="BE61" i="64"/>
  <c r="BA62" i="64"/>
  <c r="BL62" i="64"/>
  <c r="BN61" i="64"/>
  <c r="BK61" i="64"/>
  <c r="BJ63" i="64"/>
  <c r="BS61" i="64"/>
  <c r="BT61" i="64"/>
  <c r="AZ61" i="64"/>
  <c r="BN62" i="64"/>
  <c r="AT61" i="64"/>
  <c r="AV62" i="64"/>
  <c r="BF62" i="64"/>
  <c r="AQ63" i="64"/>
  <c r="BA63" i="64"/>
  <c r="BP61" i="64"/>
  <c r="BT62" i="64"/>
  <c r="BQ63" i="64"/>
  <c r="AY62" i="64"/>
  <c r="BI61" i="64"/>
  <c r="BP63" i="64"/>
  <c r="AR63" i="64"/>
  <c r="AW63" i="64"/>
  <c r="BO62" i="64"/>
  <c r="G94" i="64" l="1"/>
  <c r="G129" i="64"/>
  <c r="I91" i="64"/>
  <c r="I103" i="64" s="1"/>
  <c r="I94" i="64"/>
  <c r="H94" i="64"/>
  <c r="AB63" i="64"/>
  <c r="AA63" i="64"/>
  <c r="AA62" i="64"/>
  <c r="AB62" i="64"/>
  <c r="K99" i="64"/>
  <c r="L99" i="64" s="1"/>
  <c r="N97" i="64"/>
  <c r="N98" i="64"/>
  <c r="N100" i="64"/>
  <c r="H91" i="64"/>
  <c r="H106" i="64" s="1"/>
  <c r="G91" i="64"/>
  <c r="G102" i="64" s="1"/>
  <c r="N96" i="64"/>
  <c r="K96" i="64"/>
  <c r="L96" i="64" s="1"/>
  <c r="Q63" i="64"/>
  <c r="Z58" i="64"/>
  <c r="Y58" i="64" s="1"/>
  <c r="Q62" i="64"/>
  <c r="Z57" i="64"/>
  <c r="Y57" i="64" s="1"/>
  <c r="Z54" i="64"/>
  <c r="Y54" i="64" s="1"/>
  <c r="Z56" i="64"/>
  <c r="Y56" i="64" s="1"/>
  <c r="Z59" i="64"/>
  <c r="Y59" i="64" s="1"/>
  <c r="AG63" i="64"/>
  <c r="AD62" i="64"/>
  <c r="AE62" i="64"/>
  <c r="AF63" i="64"/>
  <c r="AE63" i="64"/>
  <c r="AI62" i="64"/>
  <c r="AD63" i="64"/>
  <c r="AC63" i="64"/>
  <c r="AC62" i="64"/>
  <c r="AI61" i="64"/>
  <c r="AG61" i="64"/>
  <c r="AF61" i="64"/>
  <c r="AG62" i="64"/>
  <c r="AE61" i="64"/>
  <c r="AI63" i="64"/>
  <c r="AF62" i="64"/>
  <c r="Z60" i="64"/>
  <c r="Y60" i="64" s="1"/>
  <c r="Z55" i="64"/>
  <c r="Y55" i="64" s="1"/>
  <c r="I108" i="64" l="1"/>
  <c r="I112" i="64"/>
  <c r="I114" i="64"/>
  <c r="I105" i="64"/>
  <c r="I102" i="64"/>
  <c r="I96" i="64"/>
  <c r="I101" i="64"/>
  <c r="I118" i="64"/>
  <c r="I119" i="64"/>
  <c r="I100" i="64"/>
  <c r="I124" i="64"/>
  <c r="I120" i="64"/>
  <c r="I117" i="64"/>
  <c r="I113" i="64"/>
  <c r="I99" i="64"/>
  <c r="I123" i="64"/>
  <c r="I116" i="64"/>
  <c r="I95" i="64"/>
  <c r="I104" i="64"/>
  <c r="I109" i="64"/>
  <c r="I98" i="64"/>
  <c r="I122" i="64"/>
  <c r="I106" i="64"/>
  <c r="I125" i="64"/>
  <c r="I107" i="64"/>
  <c r="I97" i="64"/>
  <c r="I115" i="64"/>
  <c r="H118" i="64"/>
  <c r="H124" i="64"/>
  <c r="H107" i="64"/>
  <c r="H97" i="64"/>
  <c r="H102" i="64"/>
  <c r="H101" i="64"/>
  <c r="H95" i="64"/>
  <c r="H96" i="64"/>
  <c r="G95" i="64"/>
  <c r="H123" i="64"/>
  <c r="H119" i="64"/>
  <c r="G125" i="64"/>
  <c r="G108" i="64"/>
  <c r="H108" i="64"/>
  <c r="H100" i="64"/>
  <c r="G124" i="64"/>
  <c r="H120" i="64"/>
  <c r="H98" i="64"/>
  <c r="G119" i="64"/>
  <c r="G97" i="64"/>
  <c r="H115" i="64"/>
  <c r="G101" i="64"/>
  <c r="H109" i="64"/>
  <c r="G99" i="64"/>
  <c r="H112" i="64"/>
  <c r="G114" i="64"/>
  <c r="H113" i="64"/>
  <c r="H103" i="64"/>
  <c r="G115" i="64"/>
  <c r="H114" i="64"/>
  <c r="H117" i="64"/>
  <c r="H99" i="64"/>
  <c r="G104" i="64"/>
  <c r="H116" i="64"/>
  <c r="H104" i="64"/>
  <c r="G106" i="64"/>
  <c r="H125" i="64"/>
  <c r="H105" i="64"/>
  <c r="G100" i="64"/>
  <c r="H122" i="64"/>
  <c r="G120" i="64"/>
  <c r="G117" i="64"/>
  <c r="G123" i="64"/>
  <c r="G112" i="64"/>
  <c r="G109" i="64"/>
  <c r="G105" i="64"/>
  <c r="G116" i="64"/>
  <c r="G96" i="64"/>
  <c r="G113" i="64"/>
  <c r="G103" i="64"/>
  <c r="G122" i="64"/>
  <c r="G107" i="64"/>
  <c r="G98" i="64"/>
  <c r="G118" i="64"/>
  <c r="Z62" i="64"/>
  <c r="Y62" i="64" s="1"/>
  <c r="Z61" i="64"/>
  <c r="Y61" i="64" s="1"/>
  <c r="Z63" i="64"/>
  <c r="Y63" i="64" s="1"/>
  <c r="D71" i="64"/>
  <c r="D72" i="64"/>
  <c r="D74" i="64"/>
  <c r="D75" i="64"/>
  <c r="D77" i="64"/>
  <c r="D78" i="64"/>
  <c r="AR386" i="35"/>
  <c r="AS386" i="35"/>
  <c r="AT386" i="35"/>
  <c r="AU386" i="35"/>
  <c r="AV386" i="35"/>
  <c r="AW386" i="35"/>
  <c r="AX386" i="35"/>
  <c r="AY386" i="35"/>
  <c r="AZ386" i="35"/>
  <c r="BA386" i="35"/>
  <c r="BB386" i="35"/>
  <c r="BC386" i="35"/>
  <c r="BD386" i="35"/>
  <c r="BE386" i="35"/>
  <c r="BF386" i="35"/>
  <c r="AC387" i="35"/>
  <c r="BM387" i="35"/>
  <c r="AZ387" i="35"/>
  <c r="BJ387" i="35"/>
  <c r="BK387" i="35"/>
  <c r="BH387" i="35"/>
  <c r="BZ387" i="35"/>
  <c r="BE387" i="35"/>
  <c r="AY387" i="35"/>
  <c r="BI387" i="35"/>
  <c r="BP387" i="35"/>
  <c r="BC387" i="35"/>
  <c r="BL387" i="35"/>
  <c r="AV387" i="35"/>
  <c r="BQ387" i="35"/>
  <c r="AR387" i="35"/>
  <c r="AU387" i="35"/>
  <c r="BD387" i="35"/>
  <c r="AS387" i="35"/>
  <c r="BS387" i="35"/>
  <c r="BB387" i="35"/>
  <c r="BW387" i="35"/>
  <c r="BF387" i="35"/>
  <c r="BU387" i="35"/>
  <c r="AW387" i="35"/>
  <c r="BR387" i="35"/>
  <c r="BT387" i="35"/>
  <c r="BA387" i="35"/>
  <c r="BY387" i="35"/>
  <c r="BV387" i="35"/>
  <c r="BN387" i="35"/>
  <c r="BO387" i="35"/>
  <c r="BG387" i="35"/>
  <c r="AT387" i="35"/>
  <c r="AX387" i="35"/>
  <c r="O59" i="64" l="1" a="1"/>
  <c r="O59" i="64" s="1"/>
  <c r="AK387" i="35"/>
  <c r="AJ387" i="35"/>
  <c r="AI387" i="35"/>
  <c r="AH387" i="35"/>
  <c r="AG387" i="35"/>
  <c r="AF387" i="35"/>
  <c r="AE387" i="35"/>
  <c r="AD387" i="35"/>
  <c r="AB387" i="35"/>
  <c r="R389" i="35"/>
  <c r="S389" i="35"/>
  <c r="T389" i="35"/>
  <c r="U389" i="35"/>
  <c r="V389" i="35"/>
  <c r="W389" i="35"/>
  <c r="X389" i="35"/>
  <c r="Y389" i="35"/>
  <c r="AJ389" i="35"/>
  <c r="BM389" i="35"/>
  <c r="BO389" i="35"/>
  <c r="AT389" i="35"/>
  <c r="BU389" i="35"/>
  <c r="BY389" i="35"/>
  <c r="BI389" i="35"/>
  <c r="BH389" i="35"/>
  <c r="AV389" i="35"/>
  <c r="AR389" i="35"/>
  <c r="BJ389" i="35"/>
  <c r="BP389" i="35"/>
  <c r="AZ389" i="35"/>
  <c r="BC389" i="35"/>
  <c r="BZ389" i="35"/>
  <c r="BQ389" i="35"/>
  <c r="AW389" i="35"/>
  <c r="AS389" i="35"/>
  <c r="BE389" i="35"/>
  <c r="BN389" i="35"/>
  <c r="BV389" i="35"/>
  <c r="BT389" i="35"/>
  <c r="BK389" i="35"/>
  <c r="AX389" i="35"/>
  <c r="BW389" i="35"/>
  <c r="BF389" i="35"/>
  <c r="BA389" i="35"/>
  <c r="BL389" i="35"/>
  <c r="AY389" i="35"/>
  <c r="BB389" i="35"/>
  <c r="BR389" i="35"/>
  <c r="BG389" i="35"/>
  <c r="BS389" i="35"/>
  <c r="BD389" i="35"/>
  <c r="AU389" i="35"/>
  <c r="O54" i="64" l="1" a="1"/>
  <c r="O54" i="64" s="1"/>
  <c r="K54" i="64" s="1"/>
  <c r="L54" i="64" s="1"/>
  <c r="O58" i="64" a="1"/>
  <c r="O58" i="64" s="1"/>
  <c r="K58" i="64" s="1"/>
  <c r="L58" i="64" s="1"/>
  <c r="O55" i="64" a="1"/>
  <c r="O55" i="64" s="1"/>
  <c r="N55" i="64" s="1"/>
  <c r="O56" i="64" a="1"/>
  <c r="O56" i="64" s="1"/>
  <c r="K56" i="64" s="1"/>
  <c r="L56" i="64" s="1"/>
  <c r="P55" i="64"/>
  <c r="P54" i="64"/>
  <c r="O57" i="64" a="1"/>
  <c r="O57" i="64" s="1"/>
  <c r="K57" i="64" s="1"/>
  <c r="L57" i="64" s="1"/>
  <c r="P56" i="64"/>
  <c r="I87" i="64" s="1"/>
  <c r="N59" i="64"/>
  <c r="K59" i="64"/>
  <c r="L59" i="64" s="1"/>
  <c r="Q389" i="35"/>
  <c r="AA387" i="35"/>
  <c r="AK389" i="35"/>
  <c r="AI389" i="35"/>
  <c r="AH389" i="35"/>
  <c r="AG389" i="35"/>
  <c r="AF389" i="35"/>
  <c r="AE389" i="35"/>
  <c r="AD389" i="35"/>
  <c r="R390" i="35"/>
  <c r="S390" i="35"/>
  <c r="T390" i="35"/>
  <c r="U390" i="35"/>
  <c r="V390" i="35"/>
  <c r="W390" i="35"/>
  <c r="X390" i="35"/>
  <c r="Y390" i="35"/>
  <c r="AJ390" i="35"/>
  <c r="BL390" i="35"/>
  <c r="AZ390" i="35"/>
  <c r="BV390" i="35"/>
  <c r="BE390" i="35"/>
  <c r="BG390" i="35"/>
  <c r="BJ390" i="35"/>
  <c r="BM390" i="35"/>
  <c r="BS390" i="35"/>
  <c r="AW390" i="35"/>
  <c r="BT390" i="35"/>
  <c r="BB390" i="35"/>
  <c r="AY390" i="35"/>
  <c r="BC390" i="35"/>
  <c r="AX390" i="35"/>
  <c r="AU390" i="35"/>
  <c r="BQ390" i="35"/>
  <c r="BH390" i="35"/>
  <c r="BA390" i="35"/>
  <c r="BN390" i="35"/>
  <c r="AR390" i="35"/>
  <c r="BW390" i="35"/>
  <c r="BZ390" i="35"/>
  <c r="BO390" i="35"/>
  <c r="BP390" i="35"/>
  <c r="BR390" i="35"/>
  <c r="AS390" i="35"/>
  <c r="BD390" i="35"/>
  <c r="BF390" i="35"/>
  <c r="BK390" i="35"/>
  <c r="AV390" i="35"/>
  <c r="AT390" i="35"/>
  <c r="BU390" i="35"/>
  <c r="BI390" i="35"/>
  <c r="BY390" i="35"/>
  <c r="G52" i="64" l="1"/>
  <c r="G87" i="64"/>
  <c r="H52" i="64"/>
  <c r="H87" i="64"/>
  <c r="I52" i="64"/>
  <c r="N54" i="64"/>
  <c r="N58" i="64"/>
  <c r="G49" i="64"/>
  <c r="G59" i="64" s="1"/>
  <c r="K55" i="64"/>
  <c r="L55" i="64" s="1"/>
  <c r="N56" i="64"/>
  <c r="H49" i="64"/>
  <c r="H53" i="64" s="1"/>
  <c r="N57" i="64"/>
  <c r="I49" i="64"/>
  <c r="I57" i="64" s="1"/>
  <c r="Q390" i="35"/>
  <c r="AK390" i="35"/>
  <c r="AI390" i="35"/>
  <c r="AH390" i="35"/>
  <c r="AG390" i="35"/>
  <c r="AF390" i="35"/>
  <c r="AE390" i="35"/>
  <c r="AD390" i="35"/>
  <c r="AA389" i="35"/>
  <c r="Z389" i="35" s="1"/>
  <c r="R391" i="35"/>
  <c r="S391" i="35"/>
  <c r="T391" i="35"/>
  <c r="U391" i="35"/>
  <c r="V391" i="35"/>
  <c r="W391" i="35"/>
  <c r="X391" i="35"/>
  <c r="Y391" i="35"/>
  <c r="AJ391" i="35"/>
  <c r="BD391" i="35"/>
  <c r="AT391" i="35"/>
  <c r="BY391" i="35"/>
  <c r="AR391" i="35"/>
  <c r="BE391" i="35"/>
  <c r="AW391" i="35"/>
  <c r="BK391" i="35"/>
  <c r="BV391" i="35"/>
  <c r="BB391" i="35"/>
  <c r="AX391" i="35"/>
  <c r="BH391" i="35"/>
  <c r="BL391" i="35"/>
  <c r="BU391" i="35"/>
  <c r="BQ391" i="35"/>
  <c r="BW391" i="35"/>
  <c r="AY391" i="35"/>
  <c r="BM391" i="35"/>
  <c r="BR391" i="35"/>
  <c r="BZ391" i="35"/>
  <c r="BO391" i="35"/>
  <c r="BJ391" i="35"/>
  <c r="BG391" i="35"/>
  <c r="AS391" i="35"/>
  <c r="BN391" i="35"/>
  <c r="AZ391" i="35"/>
  <c r="BF391" i="35"/>
  <c r="AU391" i="35"/>
  <c r="BA391" i="35"/>
  <c r="BT391" i="35"/>
  <c r="BS391" i="35"/>
  <c r="BC391" i="35"/>
  <c r="AV391" i="35"/>
  <c r="BI391" i="35"/>
  <c r="BP391" i="35"/>
  <c r="G70" i="64" l="1"/>
  <c r="G63" i="64"/>
  <c r="G73" i="64"/>
  <c r="G75" i="64"/>
  <c r="G55" i="64"/>
  <c r="G82" i="64"/>
  <c r="G61" i="64"/>
  <c r="G54" i="64"/>
  <c r="G81" i="64"/>
  <c r="G72" i="64"/>
  <c r="G66" i="64"/>
  <c r="G67" i="64"/>
  <c r="G58" i="64"/>
  <c r="G74" i="64"/>
  <c r="G57" i="64"/>
  <c r="G80" i="64"/>
  <c r="G56" i="64"/>
  <c r="G76" i="64"/>
  <c r="G53" i="64"/>
  <c r="G65" i="64"/>
  <c r="G83" i="64"/>
  <c r="G64" i="64"/>
  <c r="G71" i="64"/>
  <c r="G62" i="64"/>
  <c r="G77" i="64"/>
  <c r="G60" i="64"/>
  <c r="G78" i="64"/>
  <c r="H77" i="64"/>
  <c r="H73" i="64"/>
  <c r="H59" i="64"/>
  <c r="H62" i="64"/>
  <c r="H54" i="64"/>
  <c r="H61" i="64"/>
  <c r="H67" i="64"/>
  <c r="H76" i="64"/>
  <c r="H66" i="64"/>
  <c r="H82" i="64"/>
  <c r="H78" i="64"/>
  <c r="H64" i="64"/>
  <c r="H74" i="64"/>
  <c r="H58" i="64"/>
  <c r="H70" i="64"/>
  <c r="H57" i="64"/>
  <c r="H81" i="64"/>
  <c r="H63" i="64"/>
  <c r="H80" i="64"/>
  <c r="H65" i="64"/>
  <c r="H56" i="64"/>
  <c r="H71" i="64"/>
  <c r="H60" i="64"/>
  <c r="H75" i="64"/>
  <c r="H55" i="64"/>
  <c r="H83" i="64"/>
  <c r="H72" i="64"/>
  <c r="I60" i="64"/>
  <c r="I53" i="64"/>
  <c r="I77" i="64"/>
  <c r="I70" i="64"/>
  <c r="I62" i="64"/>
  <c r="I65" i="64"/>
  <c r="I54" i="64"/>
  <c r="I71" i="64"/>
  <c r="I80" i="64"/>
  <c r="I56" i="64"/>
  <c r="I74" i="64"/>
  <c r="I75" i="64"/>
  <c r="I55" i="64"/>
  <c r="I76" i="64"/>
  <c r="I58" i="64"/>
  <c r="I73" i="64"/>
  <c r="I61" i="64"/>
  <c r="I67" i="64"/>
  <c r="I83" i="64"/>
  <c r="I72" i="64"/>
  <c r="I59" i="64"/>
  <c r="I82" i="64"/>
  <c r="I63" i="64"/>
  <c r="I78" i="64"/>
  <c r="I64" i="64"/>
  <c r="I66" i="64"/>
  <c r="I81" i="64"/>
  <c r="Q391" i="35"/>
  <c r="AK391" i="35"/>
  <c r="AI391" i="35"/>
  <c r="AH391" i="35"/>
  <c r="AG391" i="35"/>
  <c r="AF391" i="35"/>
  <c r="AE391" i="35"/>
  <c r="AD391" i="35"/>
  <c r="AA390" i="35"/>
  <c r="Z390" i="35" s="1"/>
  <c r="R392" i="35"/>
  <c r="S392" i="35"/>
  <c r="T392" i="35"/>
  <c r="U392" i="35"/>
  <c r="V392" i="35"/>
  <c r="W392" i="35"/>
  <c r="X392" i="35"/>
  <c r="Y392" i="35"/>
  <c r="AJ392" i="35"/>
  <c r="AZ392" i="35"/>
  <c r="BU392" i="35"/>
  <c r="BG392" i="35"/>
  <c r="BP392" i="35"/>
  <c r="BF392" i="35"/>
  <c r="BK392" i="35"/>
  <c r="BZ392" i="35"/>
  <c r="AT392" i="35"/>
  <c r="BH392" i="35"/>
  <c r="BM392" i="35"/>
  <c r="BY392" i="35"/>
  <c r="BO392" i="35"/>
  <c r="BW392" i="35"/>
  <c r="BT392" i="35"/>
  <c r="BA392" i="35"/>
  <c r="BI392" i="35"/>
  <c r="AU392" i="35"/>
  <c r="BQ392" i="35"/>
  <c r="AS392" i="35"/>
  <c r="BE392" i="35"/>
  <c r="AR392" i="35"/>
  <c r="AY392" i="35"/>
  <c r="AX392" i="35"/>
  <c r="BL392" i="35"/>
  <c r="BC392" i="35"/>
  <c r="BS392" i="35"/>
  <c r="AV392" i="35"/>
  <c r="BB392" i="35"/>
  <c r="BV392" i="35"/>
  <c r="BN392" i="35"/>
  <c r="AW392" i="35"/>
  <c r="BJ392" i="35"/>
  <c r="BD392" i="35"/>
  <c r="BR392" i="35"/>
  <c r="Q392" i="35" l="1"/>
  <c r="AK392" i="35"/>
  <c r="AI392" i="35"/>
  <c r="AH392" i="35"/>
  <c r="AG392" i="35"/>
  <c r="AF392" i="35"/>
  <c r="AE392" i="35"/>
  <c r="AD392" i="35"/>
  <c r="AA391" i="35"/>
  <c r="Z391" i="35" s="1"/>
  <c r="R393" i="35"/>
  <c r="S393" i="35"/>
  <c r="T393" i="35"/>
  <c r="U393" i="35"/>
  <c r="V393" i="35"/>
  <c r="W393" i="35"/>
  <c r="X393" i="35"/>
  <c r="Y393" i="35"/>
  <c r="AJ393" i="35"/>
  <c r="BZ393" i="35"/>
  <c r="BN393" i="35"/>
  <c r="BY393" i="35"/>
  <c r="BL393" i="35"/>
  <c r="BS393" i="35"/>
  <c r="BD393" i="35"/>
  <c r="BB393" i="35"/>
  <c r="BR393" i="35"/>
  <c r="BK393" i="35"/>
  <c r="BE393" i="35"/>
  <c r="BC393" i="35"/>
  <c r="BQ393" i="35"/>
  <c r="AY393" i="35"/>
  <c r="BI393" i="35"/>
  <c r="AV393" i="35"/>
  <c r="AZ393" i="35"/>
  <c r="BO393" i="35"/>
  <c r="AR393" i="35"/>
  <c r="BM393" i="35"/>
  <c r="BF393" i="35"/>
  <c r="AU393" i="35"/>
  <c r="BP393" i="35"/>
  <c r="AS393" i="35"/>
  <c r="AT393" i="35"/>
  <c r="BA393" i="35"/>
  <c r="AX393" i="35"/>
  <c r="AW393" i="35"/>
  <c r="BW393" i="35"/>
  <c r="BG393" i="35"/>
  <c r="BU393" i="35"/>
  <c r="BT393" i="35"/>
  <c r="BV393" i="35"/>
  <c r="BJ393" i="35"/>
  <c r="BH393" i="35"/>
  <c r="Q393" i="35" l="1"/>
  <c r="AK393" i="35"/>
  <c r="AI393" i="35"/>
  <c r="AH393" i="35"/>
  <c r="AG393" i="35"/>
  <c r="AF393" i="35"/>
  <c r="AE393" i="35"/>
  <c r="AD393" i="35"/>
  <c r="AA392" i="35"/>
  <c r="Z392" i="35" s="1"/>
  <c r="R394" i="35"/>
  <c r="S394" i="35"/>
  <c r="T394" i="35"/>
  <c r="U394" i="35"/>
  <c r="V394" i="35"/>
  <c r="W394" i="35"/>
  <c r="X394" i="35"/>
  <c r="Y394" i="35"/>
  <c r="AJ394" i="35"/>
  <c r="BH394" i="35"/>
  <c r="BC394" i="35"/>
  <c r="BK394" i="35"/>
  <c r="BD394" i="35"/>
  <c r="BI394" i="35"/>
  <c r="AV394" i="35"/>
  <c r="AX394" i="35"/>
  <c r="AR394" i="35"/>
  <c r="BG394" i="35"/>
  <c r="BE394" i="35"/>
  <c r="BF394" i="35"/>
  <c r="BB394" i="35"/>
  <c r="AY394" i="35"/>
  <c r="BW394" i="35"/>
  <c r="BQ394" i="35"/>
  <c r="BS394" i="35"/>
  <c r="BZ394" i="35"/>
  <c r="AW394" i="35"/>
  <c r="BL394" i="35"/>
  <c r="BM394" i="35"/>
  <c r="BA394" i="35"/>
  <c r="BU394" i="35"/>
  <c r="BN394" i="35"/>
  <c r="AT394" i="35"/>
  <c r="AU394" i="35"/>
  <c r="AZ394" i="35"/>
  <c r="BV394" i="35"/>
  <c r="BY394" i="35"/>
  <c r="AS394" i="35"/>
  <c r="BJ394" i="35"/>
  <c r="BO394" i="35"/>
  <c r="BP394" i="35"/>
  <c r="BR394" i="35"/>
  <c r="BT394" i="35"/>
  <c r="Q394" i="35" l="1"/>
  <c r="AK394" i="35"/>
  <c r="AI394" i="35"/>
  <c r="AH394" i="35"/>
  <c r="AG394" i="35"/>
  <c r="AF394" i="35"/>
  <c r="AE394" i="35"/>
  <c r="AD394" i="35"/>
  <c r="AA393" i="35"/>
  <c r="Z393" i="35" s="1"/>
  <c r="R395" i="35"/>
  <c r="S395" i="35"/>
  <c r="T395" i="35"/>
  <c r="U395" i="35"/>
  <c r="V395" i="35"/>
  <c r="W395" i="35"/>
  <c r="X395" i="35"/>
  <c r="Y395" i="35"/>
  <c r="AJ395" i="35"/>
  <c r="BB395" i="35"/>
  <c r="BK395" i="35"/>
  <c r="BF395" i="35"/>
  <c r="AT395" i="35"/>
  <c r="AS395" i="35"/>
  <c r="BH395" i="35"/>
  <c r="BQ395" i="35"/>
  <c r="BM395" i="35"/>
  <c r="BW395" i="35"/>
  <c r="AU395" i="35"/>
  <c r="BP395" i="35"/>
  <c r="BU395" i="35"/>
  <c r="AR395" i="35"/>
  <c r="BD395" i="35"/>
  <c r="BL395" i="35"/>
  <c r="AY395" i="35"/>
  <c r="AV395" i="35"/>
  <c r="BZ395" i="35"/>
  <c r="BA395" i="35"/>
  <c r="AX395" i="35"/>
  <c r="BE395" i="35"/>
  <c r="BN395" i="35"/>
  <c r="BR395" i="35"/>
  <c r="BJ395" i="35"/>
  <c r="BO395" i="35"/>
  <c r="BI395" i="35"/>
  <c r="BG395" i="35"/>
  <c r="BV395" i="35"/>
  <c r="BS395" i="35"/>
  <c r="BC395" i="35"/>
  <c r="BT395" i="35"/>
  <c r="AZ395" i="35"/>
  <c r="AW395" i="35"/>
  <c r="BY395" i="35"/>
  <c r="Q395" i="35" l="1"/>
  <c r="AK395" i="35"/>
  <c r="AI395" i="35"/>
  <c r="AH395" i="35"/>
  <c r="AG395" i="35"/>
  <c r="AF395" i="35"/>
  <c r="AE395" i="35"/>
  <c r="AD395" i="35"/>
  <c r="AA394" i="35"/>
  <c r="Z394" i="35" s="1"/>
  <c r="R396" i="35"/>
  <c r="S396" i="35"/>
  <c r="T396" i="35"/>
  <c r="U396" i="35"/>
  <c r="V396" i="35"/>
  <c r="W396" i="35"/>
  <c r="X396" i="35"/>
  <c r="Y396" i="35"/>
  <c r="AJ396" i="35"/>
  <c r="BQ396" i="35"/>
  <c r="BE396" i="35"/>
  <c r="BO396" i="35"/>
  <c r="AV396" i="35"/>
  <c r="AX396" i="35"/>
  <c r="BM396" i="35"/>
  <c r="BH396" i="35"/>
  <c r="BS396" i="35"/>
  <c r="AU396" i="35"/>
  <c r="AW396" i="35"/>
  <c r="BK396" i="35"/>
  <c r="AR396" i="35"/>
  <c r="BG396" i="35"/>
  <c r="BI396" i="35"/>
  <c r="BN396" i="35"/>
  <c r="BP396" i="35"/>
  <c r="BA396" i="35"/>
  <c r="AY396" i="35"/>
  <c r="BD396" i="35"/>
  <c r="BB396" i="35"/>
  <c r="BR396" i="35"/>
  <c r="BF396" i="35"/>
  <c r="BV396" i="35"/>
  <c r="BU396" i="35"/>
  <c r="AS396" i="35"/>
  <c r="AZ396" i="35"/>
  <c r="BT396" i="35"/>
  <c r="BZ396" i="35"/>
  <c r="AT396" i="35"/>
  <c r="BL396" i="35"/>
  <c r="BJ396" i="35"/>
  <c r="BY396" i="35"/>
  <c r="BW396" i="35"/>
  <c r="BC396" i="35"/>
  <c r="Q396" i="35" l="1"/>
  <c r="AK396" i="35"/>
  <c r="AI396" i="35"/>
  <c r="AH396" i="35"/>
  <c r="AG396" i="35"/>
  <c r="AF396" i="35"/>
  <c r="AE396" i="35"/>
  <c r="AD396" i="35"/>
  <c r="AA395" i="35"/>
  <c r="Z395" i="35" s="1"/>
  <c r="R397" i="35"/>
  <c r="S397" i="35"/>
  <c r="T397" i="35"/>
  <c r="U397" i="35"/>
  <c r="V397" i="35"/>
  <c r="W397" i="35"/>
  <c r="X397" i="35"/>
  <c r="Y397" i="35"/>
  <c r="AJ397" i="35"/>
  <c r="BG397" i="35"/>
  <c r="BC397" i="35"/>
  <c r="AT397" i="35"/>
  <c r="BF397" i="35"/>
  <c r="BY397" i="35"/>
  <c r="BW397" i="35"/>
  <c r="BU397" i="35"/>
  <c r="BJ397" i="35"/>
  <c r="BE397" i="35"/>
  <c r="AX397" i="35"/>
  <c r="BR397" i="35"/>
  <c r="AZ397" i="35"/>
  <c r="BI397" i="35"/>
  <c r="BT397" i="35"/>
  <c r="BV397" i="35"/>
  <c r="BL397" i="35"/>
  <c r="BO397" i="35"/>
  <c r="BM397" i="35"/>
  <c r="BB397" i="35"/>
  <c r="BZ397" i="35"/>
  <c r="AV397" i="35"/>
  <c r="BP397" i="35"/>
  <c r="AY397" i="35"/>
  <c r="BN397" i="35"/>
  <c r="BH397" i="35"/>
  <c r="BK397" i="35"/>
  <c r="AW397" i="35"/>
  <c r="BQ397" i="35"/>
  <c r="BS397" i="35"/>
  <c r="AU397" i="35"/>
  <c r="BD397" i="35"/>
  <c r="AR397" i="35"/>
  <c r="BA397" i="35"/>
  <c r="AS397" i="35"/>
  <c r="Q397" i="35" l="1"/>
  <c r="AK397" i="35"/>
  <c r="AI397" i="35"/>
  <c r="AH397" i="35"/>
  <c r="AG397" i="35"/>
  <c r="AF397" i="35"/>
  <c r="AE397" i="35"/>
  <c r="AD397" i="35"/>
  <c r="AA396" i="35"/>
  <c r="Z396" i="35" s="1"/>
  <c r="R398" i="35"/>
  <c r="S398" i="35"/>
  <c r="T398" i="35"/>
  <c r="U398" i="35"/>
  <c r="V398" i="35"/>
  <c r="W398" i="35"/>
  <c r="X398" i="35"/>
  <c r="Y398" i="35"/>
  <c r="AJ398" i="35"/>
  <c r="AT398" i="35"/>
  <c r="BH398" i="35"/>
  <c r="AZ398" i="35"/>
  <c r="BB398" i="35"/>
  <c r="BD398" i="35"/>
  <c r="BF398" i="35"/>
  <c r="BK398" i="35"/>
  <c r="AU398" i="35"/>
  <c r="AS398" i="35"/>
  <c r="BS398" i="35"/>
  <c r="BY398" i="35"/>
  <c r="BV398" i="35"/>
  <c r="BW398" i="35"/>
  <c r="AV398" i="35"/>
  <c r="BL398" i="35"/>
  <c r="BC398" i="35"/>
  <c r="BM398" i="35"/>
  <c r="AX398" i="35"/>
  <c r="BR398" i="35"/>
  <c r="BJ398" i="35"/>
  <c r="AY398" i="35"/>
  <c r="BI398" i="35"/>
  <c r="AW398" i="35"/>
  <c r="BT398" i="35"/>
  <c r="BE398" i="35"/>
  <c r="BO398" i="35"/>
  <c r="BP398" i="35"/>
  <c r="BQ398" i="35"/>
  <c r="AR398" i="35"/>
  <c r="BU398" i="35"/>
  <c r="BA398" i="35"/>
  <c r="BG398" i="35"/>
  <c r="BZ398" i="35"/>
  <c r="BN398" i="35"/>
  <c r="Q398" i="35" l="1"/>
  <c r="AK398" i="35"/>
  <c r="AI398" i="35"/>
  <c r="AH398" i="35"/>
  <c r="AG398" i="35"/>
  <c r="AF398" i="35"/>
  <c r="AE398" i="35"/>
  <c r="AD398" i="35"/>
  <c r="AA397" i="35"/>
  <c r="Z397" i="35" s="1"/>
  <c r="R399" i="35"/>
  <c r="S399" i="35"/>
  <c r="T399" i="35"/>
  <c r="U399" i="35"/>
  <c r="V399" i="35"/>
  <c r="W399" i="35"/>
  <c r="X399" i="35"/>
  <c r="Y399" i="35"/>
  <c r="AJ399" i="35"/>
  <c r="AX399" i="35"/>
  <c r="AZ399" i="35"/>
  <c r="BS399" i="35"/>
  <c r="AS399" i="35"/>
  <c r="BN399" i="35"/>
  <c r="BA399" i="35"/>
  <c r="BZ399" i="35"/>
  <c r="BP399" i="35"/>
  <c r="BH399" i="35"/>
  <c r="BC399" i="35"/>
  <c r="BK399" i="35"/>
  <c r="BQ399" i="35"/>
  <c r="AW399" i="35"/>
  <c r="BI399" i="35"/>
  <c r="AV399" i="35"/>
  <c r="BT399" i="35"/>
  <c r="BJ399" i="35"/>
  <c r="BL399" i="35"/>
  <c r="BF399" i="35"/>
  <c r="AY399" i="35"/>
  <c r="BD399" i="35"/>
  <c r="BY399" i="35"/>
  <c r="BE399" i="35"/>
  <c r="BW399" i="35"/>
  <c r="BR399" i="35"/>
  <c r="AR399" i="35"/>
  <c r="AT399" i="35"/>
  <c r="BV399" i="35"/>
  <c r="BO399" i="35"/>
  <c r="AU399" i="35"/>
  <c r="BB399" i="35"/>
  <c r="BG399" i="35"/>
  <c r="BU399" i="35"/>
  <c r="BM399" i="35"/>
  <c r="Q399" i="35" l="1"/>
  <c r="AK399" i="35"/>
  <c r="AI399" i="35"/>
  <c r="AH399" i="35"/>
  <c r="AG399" i="35"/>
  <c r="AF399" i="35"/>
  <c r="AE399" i="35"/>
  <c r="AD399" i="35"/>
  <c r="AA398" i="35"/>
  <c r="Z398" i="35" s="1"/>
  <c r="R400" i="35"/>
  <c r="S400" i="35"/>
  <c r="T400" i="35"/>
  <c r="U400" i="35"/>
  <c r="V400" i="35"/>
  <c r="W400" i="35"/>
  <c r="X400" i="35"/>
  <c r="Y400" i="35"/>
  <c r="AJ400" i="35"/>
  <c r="AU400" i="35"/>
  <c r="BN400" i="35"/>
  <c r="BT400" i="35"/>
  <c r="BJ400" i="35"/>
  <c r="BL400" i="35"/>
  <c r="BO400" i="35"/>
  <c r="BA400" i="35"/>
  <c r="BP400" i="35"/>
  <c r="AS400" i="35"/>
  <c r="BG400" i="35"/>
  <c r="BS400" i="35"/>
  <c r="BU400" i="35"/>
  <c r="AZ400" i="35"/>
  <c r="BK400" i="35"/>
  <c r="BV400" i="35"/>
  <c r="BQ400" i="35"/>
  <c r="BW400" i="35"/>
  <c r="BD400" i="35"/>
  <c r="BH400" i="35"/>
  <c r="BF400" i="35"/>
  <c r="BE400" i="35"/>
  <c r="BR400" i="35"/>
  <c r="AW400" i="35"/>
  <c r="BC400" i="35"/>
  <c r="BY400" i="35"/>
  <c r="AV400" i="35"/>
  <c r="BM400" i="35"/>
  <c r="BI400" i="35"/>
  <c r="AX400" i="35"/>
  <c r="BB400" i="35"/>
  <c r="AT400" i="35"/>
  <c r="AY400" i="35"/>
  <c r="BZ400" i="35"/>
  <c r="AR400" i="35"/>
  <c r="Q400" i="35" l="1"/>
  <c r="AK400" i="35"/>
  <c r="AI400" i="35"/>
  <c r="AH400" i="35"/>
  <c r="AG400" i="35"/>
  <c r="AF400" i="35"/>
  <c r="AE400" i="35"/>
  <c r="AD400" i="35"/>
  <c r="AA399" i="35"/>
  <c r="Z399" i="35" s="1"/>
  <c r="R401" i="35"/>
  <c r="S401" i="35"/>
  <c r="T401" i="35"/>
  <c r="U401" i="35"/>
  <c r="V401" i="35"/>
  <c r="W401" i="35"/>
  <c r="X401" i="35"/>
  <c r="Y401" i="35"/>
  <c r="AJ401" i="35"/>
  <c r="BO401" i="35"/>
  <c r="BB401" i="35"/>
  <c r="BM401" i="35"/>
  <c r="BW401" i="35"/>
  <c r="BA401" i="35"/>
  <c r="BY401" i="35"/>
  <c r="BP401" i="35"/>
  <c r="AT401" i="35"/>
  <c r="AV401" i="35"/>
  <c r="BS401" i="35"/>
  <c r="BU401" i="35"/>
  <c r="BF401" i="35"/>
  <c r="BC401" i="35"/>
  <c r="AW401" i="35"/>
  <c r="BE401" i="35"/>
  <c r="BL401" i="35"/>
  <c r="AU401" i="35"/>
  <c r="BR401" i="35"/>
  <c r="AS401" i="35"/>
  <c r="BZ401" i="35"/>
  <c r="BT401" i="35"/>
  <c r="BV401" i="35"/>
  <c r="AR401" i="35"/>
  <c r="BJ401" i="35"/>
  <c r="BH401" i="35"/>
  <c r="BQ401" i="35"/>
  <c r="BK401" i="35"/>
  <c r="BD401" i="35"/>
  <c r="BG401" i="35"/>
  <c r="BI401" i="35"/>
  <c r="AX401" i="35"/>
  <c r="BN401" i="35"/>
  <c r="AZ401" i="35"/>
  <c r="AY401" i="35"/>
  <c r="Q401" i="35" l="1"/>
  <c r="AK401" i="35"/>
  <c r="AI401" i="35"/>
  <c r="AH401" i="35"/>
  <c r="AG401" i="35"/>
  <c r="AF401" i="35"/>
  <c r="AE401" i="35"/>
  <c r="AD401" i="35"/>
  <c r="AA400" i="35"/>
  <c r="Z400" i="35" s="1"/>
  <c r="R402" i="35"/>
  <c r="S402" i="35"/>
  <c r="T402" i="35"/>
  <c r="U402" i="35"/>
  <c r="V402" i="35"/>
  <c r="W402" i="35"/>
  <c r="X402" i="35"/>
  <c r="Y402" i="35"/>
  <c r="AJ402" i="35"/>
  <c r="BO402" i="35"/>
  <c r="BR402" i="35"/>
  <c r="BM402" i="35"/>
  <c r="BC402" i="35"/>
  <c r="AT402" i="35"/>
  <c r="AU402" i="35"/>
  <c r="BV402" i="35"/>
  <c r="BG402" i="35"/>
  <c r="BQ402" i="35"/>
  <c r="AW402" i="35"/>
  <c r="AY402" i="35"/>
  <c r="BE402" i="35"/>
  <c r="BF402" i="35"/>
  <c r="AS402" i="35"/>
  <c r="BI402" i="35"/>
  <c r="BT402" i="35"/>
  <c r="AX402" i="35"/>
  <c r="BN402" i="35"/>
  <c r="BZ402" i="35"/>
  <c r="AR402" i="35"/>
  <c r="BK402" i="35"/>
  <c r="BA402" i="35"/>
  <c r="BL402" i="35"/>
  <c r="BS402" i="35"/>
  <c r="BD402" i="35"/>
  <c r="AZ402" i="35"/>
  <c r="BW402" i="35"/>
  <c r="BB402" i="35"/>
  <c r="BJ402" i="35"/>
  <c r="BP402" i="35"/>
  <c r="BH402" i="35"/>
  <c r="BU402" i="35"/>
  <c r="AV402" i="35"/>
  <c r="BY402" i="35"/>
  <c r="Q402" i="35" l="1"/>
  <c r="AK402" i="35"/>
  <c r="AI402" i="35"/>
  <c r="AH402" i="35"/>
  <c r="AG402" i="35"/>
  <c r="AF402" i="35"/>
  <c r="AE402" i="35"/>
  <c r="AD402" i="35"/>
  <c r="AA401" i="35"/>
  <c r="Z401" i="35" s="1"/>
  <c r="R403" i="35"/>
  <c r="S403" i="35"/>
  <c r="T403" i="35"/>
  <c r="U403" i="35"/>
  <c r="V403" i="35"/>
  <c r="W403" i="35"/>
  <c r="X403" i="35"/>
  <c r="Y403" i="35"/>
  <c r="AJ403" i="35"/>
  <c r="BQ403" i="35"/>
  <c r="AY403" i="35"/>
  <c r="AU403" i="35"/>
  <c r="BR403" i="35"/>
  <c r="BJ403" i="35"/>
  <c r="AT403" i="35"/>
  <c r="BV403" i="35"/>
  <c r="AZ403" i="35"/>
  <c r="BM403" i="35"/>
  <c r="BN403" i="35"/>
  <c r="BU403" i="35"/>
  <c r="BB403" i="35"/>
  <c r="BZ403" i="35"/>
  <c r="BF403" i="35"/>
  <c r="BH403" i="35"/>
  <c r="BL403" i="35"/>
  <c r="BY403" i="35"/>
  <c r="AX403" i="35"/>
  <c r="AR403" i="35"/>
  <c r="BD403" i="35"/>
  <c r="BS403" i="35"/>
  <c r="AW403" i="35"/>
  <c r="BA403" i="35"/>
  <c r="AV403" i="35"/>
  <c r="BP403" i="35"/>
  <c r="BW403" i="35"/>
  <c r="BG403" i="35"/>
  <c r="BI403" i="35"/>
  <c r="BK403" i="35"/>
  <c r="AS403" i="35"/>
  <c r="BT403" i="35"/>
  <c r="BC403" i="35"/>
  <c r="BE403" i="35"/>
  <c r="BO403" i="35"/>
  <c r="Q403" i="35" l="1"/>
  <c r="AK403" i="35"/>
  <c r="AI403" i="35"/>
  <c r="AH403" i="35"/>
  <c r="AG403" i="35"/>
  <c r="AF403" i="35"/>
  <c r="AE403" i="35"/>
  <c r="AD403" i="35"/>
  <c r="AA402" i="35"/>
  <c r="Z402" i="35" s="1"/>
  <c r="R404" i="35"/>
  <c r="S404" i="35"/>
  <c r="T404" i="35"/>
  <c r="U404" i="35"/>
  <c r="V404" i="35"/>
  <c r="W404" i="35"/>
  <c r="X404" i="35"/>
  <c r="Y404" i="35"/>
  <c r="AJ404" i="35"/>
  <c r="AT404" i="35"/>
  <c r="BH404" i="35"/>
  <c r="AV404" i="35"/>
  <c r="AZ404" i="35"/>
  <c r="BM404" i="35"/>
  <c r="BI404" i="35"/>
  <c r="BO404" i="35"/>
  <c r="BC404" i="35"/>
  <c r="AW404" i="35"/>
  <c r="BB404" i="35"/>
  <c r="AS404" i="35"/>
  <c r="BA404" i="35"/>
  <c r="BG404" i="35"/>
  <c r="BV404" i="35"/>
  <c r="AR404" i="35"/>
  <c r="BN404" i="35"/>
  <c r="AU404" i="35"/>
  <c r="BT404" i="35"/>
  <c r="BJ404" i="35"/>
  <c r="AY404" i="35"/>
  <c r="BE404" i="35"/>
  <c r="BD404" i="35"/>
  <c r="BY404" i="35"/>
  <c r="BW404" i="35"/>
  <c r="BR404" i="35"/>
  <c r="BZ404" i="35"/>
  <c r="AX404" i="35"/>
  <c r="BL404" i="35"/>
  <c r="BF404" i="35"/>
  <c r="BU404" i="35"/>
  <c r="BS404" i="35"/>
  <c r="BP404" i="35"/>
  <c r="BK404" i="35"/>
  <c r="BQ404" i="35"/>
  <c r="Q404" i="35" l="1"/>
  <c r="AK404" i="35"/>
  <c r="AI404" i="35"/>
  <c r="AH404" i="35"/>
  <c r="AG404" i="35"/>
  <c r="AF404" i="35"/>
  <c r="AE404" i="35"/>
  <c r="AD404" i="35"/>
  <c r="AA403" i="35"/>
  <c r="Z403" i="35" s="1"/>
  <c r="R405" i="35"/>
  <c r="S405" i="35"/>
  <c r="T405" i="35"/>
  <c r="U405" i="35"/>
  <c r="V405" i="35"/>
  <c r="W405" i="35"/>
  <c r="X405" i="35"/>
  <c r="Y405" i="35"/>
  <c r="AJ405" i="35"/>
  <c r="BM405" i="35"/>
  <c r="BH405" i="35"/>
  <c r="BN405" i="35"/>
  <c r="BY405" i="35"/>
  <c r="BO405" i="35"/>
  <c r="AX405" i="35"/>
  <c r="BP405" i="35"/>
  <c r="AZ405" i="35"/>
  <c r="BC405" i="35"/>
  <c r="AT405" i="35"/>
  <c r="BV405" i="35"/>
  <c r="BW405" i="35"/>
  <c r="BB405" i="35"/>
  <c r="AV405" i="35"/>
  <c r="AR405" i="35"/>
  <c r="BZ405" i="35"/>
  <c r="BG405" i="35"/>
  <c r="AS405" i="35"/>
  <c r="BU405" i="35"/>
  <c r="BT405" i="35"/>
  <c r="BD405" i="35"/>
  <c r="AW405" i="35"/>
  <c r="BF405" i="35"/>
  <c r="BI405" i="35"/>
  <c r="BQ405" i="35"/>
  <c r="AY405" i="35"/>
  <c r="BR405" i="35"/>
  <c r="BJ405" i="35"/>
  <c r="BS405" i="35"/>
  <c r="BK405" i="35"/>
  <c r="BL405" i="35"/>
  <c r="AU405" i="35"/>
  <c r="BA405" i="35"/>
  <c r="BE405" i="35"/>
  <c r="Q405" i="35" l="1"/>
  <c r="AK405" i="35"/>
  <c r="AI405" i="35"/>
  <c r="AH405" i="35"/>
  <c r="AG405" i="35"/>
  <c r="AF405" i="35"/>
  <c r="AE405" i="35"/>
  <c r="AD405" i="35"/>
  <c r="AA404" i="35"/>
  <c r="Z404" i="35" s="1"/>
  <c r="R406" i="35"/>
  <c r="S406" i="35"/>
  <c r="T406" i="35"/>
  <c r="U406" i="35"/>
  <c r="V406" i="35"/>
  <c r="W406" i="35"/>
  <c r="X406" i="35"/>
  <c r="Y406" i="35"/>
  <c r="AJ406" i="35"/>
  <c r="BN406" i="35"/>
  <c r="BH406" i="35"/>
  <c r="BK406" i="35"/>
  <c r="BU406" i="35"/>
  <c r="BB406" i="35"/>
  <c r="BZ406" i="35"/>
  <c r="BA406" i="35"/>
  <c r="AX406" i="35"/>
  <c r="BQ406" i="35"/>
  <c r="BO406" i="35"/>
  <c r="AY406" i="35"/>
  <c r="BM406" i="35"/>
  <c r="AR406" i="35"/>
  <c r="BS406" i="35"/>
  <c r="BJ406" i="35"/>
  <c r="BR406" i="35"/>
  <c r="AV406" i="35"/>
  <c r="BC406" i="35"/>
  <c r="AS406" i="35"/>
  <c r="BI406" i="35"/>
  <c r="AT406" i="35"/>
  <c r="BY406" i="35"/>
  <c r="AW406" i="35"/>
  <c r="BG406" i="35"/>
  <c r="AU406" i="35"/>
  <c r="BP406" i="35"/>
  <c r="BF406" i="35"/>
  <c r="BL406" i="35"/>
  <c r="AZ406" i="35"/>
  <c r="BV406" i="35"/>
  <c r="BW406" i="35"/>
  <c r="BT406" i="35"/>
  <c r="BE406" i="35"/>
  <c r="BD406" i="35"/>
  <c r="Q406" i="35" l="1"/>
  <c r="AK406" i="35"/>
  <c r="AI406" i="35"/>
  <c r="AH406" i="35"/>
  <c r="AG406" i="35"/>
  <c r="AF406" i="35"/>
  <c r="AE406" i="35"/>
  <c r="AD406" i="35"/>
  <c r="AA405" i="35"/>
  <c r="Z405" i="35" s="1"/>
  <c r="D407" i="35"/>
  <c r="R407" i="35"/>
  <c r="S407" i="35"/>
  <c r="T407" i="35"/>
  <c r="U407" i="35"/>
  <c r="V407" i="35"/>
  <c r="W407" i="35"/>
  <c r="X407" i="35"/>
  <c r="Y407" i="35"/>
  <c r="AJ407" i="35"/>
  <c r="AT407" i="35"/>
  <c r="BE407" i="35"/>
  <c r="AV407" i="35"/>
  <c r="BA407" i="35"/>
  <c r="BS407" i="35"/>
  <c r="BM407" i="35"/>
  <c r="BJ407" i="35"/>
  <c r="BY407" i="35"/>
  <c r="BV407" i="35"/>
  <c r="BZ407" i="35"/>
  <c r="BL407" i="35"/>
  <c r="BD407" i="35"/>
  <c r="AU407" i="35"/>
  <c r="BI407" i="35"/>
  <c r="AR407" i="35"/>
  <c r="BP407" i="35"/>
  <c r="BT407" i="35"/>
  <c r="AW407" i="35"/>
  <c r="BU407" i="35"/>
  <c r="BB407" i="35"/>
  <c r="BN407" i="35"/>
  <c r="AX407" i="35"/>
  <c r="BQ407" i="35"/>
  <c r="BW407" i="35"/>
  <c r="BC407" i="35"/>
  <c r="BH407" i="35"/>
  <c r="AZ407" i="35"/>
  <c r="AS407" i="35"/>
  <c r="BK407" i="35"/>
  <c r="BF407" i="35"/>
  <c r="BR407" i="35"/>
  <c r="BG407" i="35"/>
  <c r="AY407" i="35"/>
  <c r="BO407" i="35"/>
  <c r="Q407" i="35" l="1"/>
  <c r="AK407" i="35"/>
  <c r="AI407" i="35"/>
  <c r="AH407" i="35"/>
  <c r="AG407" i="35"/>
  <c r="AF407" i="35"/>
  <c r="AE407" i="35"/>
  <c r="AD407" i="35"/>
  <c r="AA406" i="35"/>
  <c r="Z406" i="35" s="1"/>
  <c r="D408" i="35"/>
  <c r="R408" i="35"/>
  <c r="S408" i="35"/>
  <c r="T408" i="35"/>
  <c r="U408" i="35"/>
  <c r="V408" i="35"/>
  <c r="W408" i="35"/>
  <c r="X408" i="35"/>
  <c r="Y408" i="35"/>
  <c r="AJ408" i="35"/>
  <c r="BP408" i="35"/>
  <c r="AW408" i="35"/>
  <c r="AS408" i="35"/>
  <c r="BH408" i="35"/>
  <c r="BY408" i="35"/>
  <c r="BU408" i="35"/>
  <c r="BR408" i="35"/>
  <c r="BQ408" i="35"/>
  <c r="BV408" i="35"/>
  <c r="BL408" i="35"/>
  <c r="AV408" i="35"/>
  <c r="BJ408" i="35"/>
  <c r="BK408" i="35"/>
  <c r="BT408" i="35"/>
  <c r="BN408" i="35"/>
  <c r="BG408" i="35"/>
  <c r="BW408" i="35"/>
  <c r="BE408" i="35"/>
  <c r="AR408" i="35"/>
  <c r="BZ408" i="35"/>
  <c r="BS408" i="35"/>
  <c r="AU408" i="35"/>
  <c r="AZ408" i="35"/>
  <c r="BO408" i="35"/>
  <c r="BC408" i="35"/>
  <c r="BI408" i="35"/>
  <c r="BA408" i="35"/>
  <c r="AX408" i="35"/>
  <c r="BB408" i="35"/>
  <c r="BD408" i="35"/>
  <c r="BM408" i="35"/>
  <c r="AT408" i="35"/>
  <c r="AY408" i="35"/>
  <c r="BF408" i="35"/>
  <c r="Q408" i="35" l="1"/>
  <c r="AK408" i="35"/>
  <c r="AI408" i="35"/>
  <c r="AH408" i="35"/>
  <c r="AG408" i="35"/>
  <c r="AF408" i="35"/>
  <c r="AE408" i="35"/>
  <c r="AD408" i="35"/>
  <c r="AA407" i="35"/>
  <c r="Z407" i="35" s="1"/>
  <c r="AA408" i="35" l="1"/>
  <c r="Z408" i="35" s="1"/>
  <c r="D410" i="35"/>
  <c r="D411" i="35" l="1"/>
  <c r="D413" i="35" l="1"/>
  <c r="D414" i="35"/>
  <c r="D416" i="35"/>
  <c r="D417" i="35"/>
  <c r="AR433" i="35"/>
  <c r="AS433" i="35"/>
  <c r="AT433" i="35"/>
  <c r="AU433" i="35"/>
  <c r="AV433" i="35"/>
  <c r="AW433" i="35"/>
  <c r="AX433" i="35"/>
  <c r="AY433" i="35"/>
  <c r="AZ433" i="35"/>
  <c r="BA433" i="35"/>
  <c r="BB433" i="35"/>
  <c r="BC433" i="35"/>
  <c r="BD433" i="35"/>
  <c r="BE433" i="35"/>
  <c r="BF433" i="35"/>
  <c r="AC434" i="35"/>
  <c r="BO434" i="35"/>
  <c r="BI434" i="35"/>
  <c r="AX434" i="35"/>
  <c r="BR434" i="35"/>
  <c r="AT434" i="35"/>
  <c r="BL434" i="35"/>
  <c r="BA434" i="35"/>
  <c r="BM434" i="35"/>
  <c r="BC434" i="35"/>
  <c r="AZ434" i="35"/>
  <c r="AS434" i="35"/>
  <c r="BB434" i="35"/>
  <c r="BT434" i="35"/>
  <c r="BG434" i="35"/>
  <c r="BZ434" i="35"/>
  <c r="AV434" i="35"/>
  <c r="BP434" i="35"/>
  <c r="BD434" i="35"/>
  <c r="BY434" i="35"/>
  <c r="BE434" i="35"/>
  <c r="BW434" i="35"/>
  <c r="BQ434" i="35"/>
  <c r="BV434" i="35"/>
  <c r="BN434" i="35"/>
  <c r="AU434" i="35"/>
  <c r="BU434" i="35"/>
  <c r="BS434" i="35"/>
  <c r="BH434" i="35"/>
  <c r="AY434" i="35"/>
  <c r="BK434" i="35"/>
  <c r="BF434" i="35"/>
  <c r="AR434" i="35"/>
  <c r="BJ434" i="35"/>
  <c r="AW434" i="35"/>
  <c r="AK434" i="35" l="1"/>
  <c r="AJ434" i="35"/>
  <c r="AI434" i="35"/>
  <c r="AH434" i="35"/>
  <c r="AG434" i="35"/>
  <c r="AF434" i="35"/>
  <c r="AE434" i="35"/>
  <c r="AD434" i="35"/>
  <c r="AB434" i="35"/>
  <c r="O393" i="35" a="1"/>
  <c r="O393" i="35" s="1"/>
  <c r="R436" i="35"/>
  <c r="S436" i="35"/>
  <c r="T436" i="35"/>
  <c r="U436" i="35"/>
  <c r="V436" i="35"/>
  <c r="W436" i="35"/>
  <c r="X436" i="35"/>
  <c r="AJ436" i="35"/>
  <c r="BP436" i="35"/>
  <c r="AZ436" i="35"/>
  <c r="BR436" i="35"/>
  <c r="AW436" i="35"/>
  <c r="AV436" i="35"/>
  <c r="BO436" i="35"/>
  <c r="BK436" i="35"/>
  <c r="BU436" i="35"/>
  <c r="AY436" i="35"/>
  <c r="AX436" i="35"/>
  <c r="BY436" i="35"/>
  <c r="BN436" i="35"/>
  <c r="BT436" i="35"/>
  <c r="BC436" i="35"/>
  <c r="BV436" i="35"/>
  <c r="AU436" i="35"/>
  <c r="BQ436" i="35"/>
  <c r="AS436" i="35"/>
  <c r="BE436" i="35"/>
  <c r="BS436" i="35"/>
  <c r="AT436" i="35"/>
  <c r="BW436" i="35"/>
  <c r="BL436" i="35"/>
  <c r="BA436" i="35"/>
  <c r="BJ436" i="35"/>
  <c r="BB436" i="35"/>
  <c r="BG436" i="35"/>
  <c r="BZ436" i="35"/>
  <c r="BM436" i="35"/>
  <c r="BD436" i="35"/>
  <c r="BI436" i="35"/>
  <c r="BF436" i="35"/>
  <c r="BH436" i="35"/>
  <c r="AR436" i="35"/>
  <c r="Y436" i="35" l="1"/>
  <c r="Q436" i="35" s="1"/>
  <c r="O390" i="35" a="1"/>
  <c r="O390" i="35" s="1"/>
  <c r="N390" i="35" s="1"/>
  <c r="O391" i="35" a="1"/>
  <c r="O391" i="35" s="1"/>
  <c r="N391" i="35" s="1"/>
  <c r="AK436" i="35"/>
  <c r="AI436" i="35"/>
  <c r="AH436" i="35"/>
  <c r="AG436" i="35"/>
  <c r="AF436" i="35"/>
  <c r="AE436" i="35"/>
  <c r="AD436" i="35"/>
  <c r="K393" i="35"/>
  <c r="L393" i="35" s="1"/>
  <c r="N393" i="35"/>
  <c r="O389" i="35" a="1"/>
  <c r="O389" i="35" s="1"/>
  <c r="AA434" i="35"/>
  <c r="P390" i="35"/>
  <c r="P391" i="35"/>
  <c r="P389" i="35"/>
  <c r="O394" i="35" a="1"/>
  <c r="O394" i="35" s="1"/>
  <c r="O392" i="35" a="1"/>
  <c r="O392" i="35" s="1"/>
  <c r="R437" i="35"/>
  <c r="S437" i="35"/>
  <c r="T437" i="35"/>
  <c r="U437" i="35"/>
  <c r="V437" i="35"/>
  <c r="W437" i="35"/>
  <c r="X437" i="35"/>
  <c r="AJ437" i="35"/>
  <c r="BE437" i="35"/>
  <c r="BY437" i="35"/>
  <c r="BH437" i="35"/>
  <c r="AW437" i="35"/>
  <c r="AX437" i="35"/>
  <c r="AU437" i="35"/>
  <c r="BP437" i="35"/>
  <c r="BM437" i="35"/>
  <c r="BN437" i="35"/>
  <c r="BZ437" i="35"/>
  <c r="BA437" i="35"/>
  <c r="AZ437" i="35"/>
  <c r="BQ437" i="35"/>
  <c r="AS437" i="35"/>
  <c r="BC437" i="35"/>
  <c r="BR437" i="35"/>
  <c r="AR437" i="35"/>
  <c r="BI437" i="35"/>
  <c r="BS437" i="35"/>
  <c r="BD437" i="35"/>
  <c r="BJ437" i="35"/>
  <c r="BV437" i="35"/>
  <c r="BL437" i="35"/>
  <c r="BW437" i="35"/>
  <c r="BK437" i="35"/>
  <c r="BU437" i="35"/>
  <c r="AT437" i="35"/>
  <c r="BB437" i="35"/>
  <c r="BT437" i="35"/>
  <c r="AV437" i="35"/>
  <c r="AY437" i="35"/>
  <c r="BF437" i="35"/>
  <c r="BG437" i="35"/>
  <c r="BO437" i="35"/>
  <c r="I387" i="35" l="1"/>
  <c r="I426" i="35"/>
  <c r="H387" i="35"/>
  <c r="H426" i="35"/>
  <c r="G387" i="35"/>
  <c r="G426" i="35"/>
  <c r="Y437" i="35"/>
  <c r="Q437" i="35" s="1"/>
  <c r="K390" i="35"/>
  <c r="L390" i="35" s="1"/>
  <c r="K391" i="35"/>
  <c r="L391" i="35" s="1"/>
  <c r="AK437" i="35"/>
  <c r="AI437" i="35"/>
  <c r="AH437" i="35"/>
  <c r="AG437" i="35"/>
  <c r="AF437" i="35"/>
  <c r="AE437" i="35"/>
  <c r="AD437" i="35"/>
  <c r="K394" i="35"/>
  <c r="L394" i="35" s="1"/>
  <c r="N394" i="35"/>
  <c r="AA436" i="35"/>
  <c r="Z436" i="35" s="1"/>
  <c r="K392" i="35"/>
  <c r="L392" i="35" s="1"/>
  <c r="N392" i="35"/>
  <c r="G384" i="35"/>
  <c r="I384" i="35"/>
  <c r="H384" i="35"/>
  <c r="N389" i="35"/>
  <c r="K389" i="35"/>
  <c r="L389" i="35" s="1"/>
  <c r="R438" i="35"/>
  <c r="S438" i="35"/>
  <c r="T438" i="35"/>
  <c r="U438" i="35"/>
  <c r="V438" i="35"/>
  <c r="W438" i="35"/>
  <c r="X438" i="35"/>
  <c r="AJ438" i="35"/>
  <c r="BF438" i="35"/>
  <c r="BW438" i="35"/>
  <c r="BN438" i="35"/>
  <c r="BQ438" i="35"/>
  <c r="BK438" i="35"/>
  <c r="BU438" i="35"/>
  <c r="BG438" i="35"/>
  <c r="BY438" i="35"/>
  <c r="BV438" i="35"/>
  <c r="AT438" i="35"/>
  <c r="BS438" i="35"/>
  <c r="AV438" i="35"/>
  <c r="BR438" i="35"/>
  <c r="BE438" i="35"/>
  <c r="BD438" i="35"/>
  <c r="BT438" i="35"/>
  <c r="AS438" i="35"/>
  <c r="BL438" i="35"/>
  <c r="BH438" i="35"/>
  <c r="AY438" i="35"/>
  <c r="BP438" i="35"/>
  <c r="BA438" i="35"/>
  <c r="BI438" i="35"/>
  <c r="BO438" i="35"/>
  <c r="AW438" i="35"/>
  <c r="BC438" i="35"/>
  <c r="AX438" i="35"/>
  <c r="BB438" i="35"/>
  <c r="AZ438" i="35"/>
  <c r="AU438" i="35"/>
  <c r="BJ438" i="35"/>
  <c r="BZ438" i="35"/>
  <c r="BM438" i="35"/>
  <c r="AR438" i="35"/>
  <c r="Y438" i="35" l="1"/>
  <c r="Q438" i="35" s="1"/>
  <c r="AK438" i="35"/>
  <c r="AI438" i="35"/>
  <c r="AH438" i="35"/>
  <c r="AG438" i="35"/>
  <c r="AF438" i="35"/>
  <c r="AE438" i="35"/>
  <c r="AD438" i="35"/>
  <c r="G389" i="35"/>
  <c r="G388" i="35"/>
  <c r="G390" i="35"/>
  <c r="G391" i="35"/>
  <c r="G392" i="35"/>
  <c r="G393" i="35"/>
  <c r="G394" i="35"/>
  <c r="G395" i="35"/>
  <c r="G396" i="35"/>
  <c r="G397" i="35"/>
  <c r="G398" i="35"/>
  <c r="G399" i="35"/>
  <c r="G400" i="35"/>
  <c r="G401" i="35"/>
  <c r="G402" i="35"/>
  <c r="G403" i="35"/>
  <c r="G406" i="35"/>
  <c r="G407" i="35"/>
  <c r="G408" i="35"/>
  <c r="G409" i="35"/>
  <c r="G410" i="35"/>
  <c r="G411" i="35"/>
  <c r="G412" i="35"/>
  <c r="G413" i="35"/>
  <c r="G416" i="35"/>
  <c r="G420" i="35"/>
  <c r="G414" i="35"/>
  <c r="G417" i="35"/>
  <c r="G421" i="35"/>
  <c r="G415" i="35"/>
  <c r="G419" i="35"/>
  <c r="G422" i="35"/>
  <c r="H388" i="35"/>
  <c r="H389" i="35"/>
  <c r="H390" i="35"/>
  <c r="H391" i="35"/>
  <c r="H392" i="35"/>
  <c r="H393" i="35"/>
  <c r="H394" i="35"/>
  <c r="H395" i="35"/>
  <c r="H396" i="35"/>
  <c r="H397" i="35"/>
  <c r="H398" i="35"/>
  <c r="H399" i="35"/>
  <c r="H400" i="35"/>
  <c r="H401" i="35"/>
  <c r="H402" i="35"/>
  <c r="H403" i="35"/>
  <c r="H406" i="35"/>
  <c r="H407" i="35"/>
  <c r="H408" i="35"/>
  <c r="H409" i="35"/>
  <c r="H410" i="35"/>
  <c r="H411" i="35"/>
  <c r="H412" i="35"/>
  <c r="H419" i="35"/>
  <c r="H422" i="35"/>
  <c r="H413" i="35"/>
  <c r="H416" i="35"/>
  <c r="H414" i="35"/>
  <c r="H417" i="35"/>
  <c r="H421" i="35"/>
  <c r="H420" i="35"/>
  <c r="H415" i="35"/>
  <c r="AA437" i="35"/>
  <c r="Z437" i="35" s="1"/>
  <c r="I388" i="35"/>
  <c r="I389" i="35"/>
  <c r="I390" i="35"/>
  <c r="I391" i="35"/>
  <c r="I392" i="35"/>
  <c r="I393" i="35"/>
  <c r="I394" i="35"/>
  <c r="I395" i="35"/>
  <c r="I396" i="35"/>
  <c r="I397" i="35"/>
  <c r="I398" i="35"/>
  <c r="I399" i="35"/>
  <c r="I400" i="35"/>
  <c r="I401" i="35"/>
  <c r="I402" i="35"/>
  <c r="I403" i="35"/>
  <c r="I406" i="35"/>
  <c r="I407" i="35"/>
  <c r="I408" i="35"/>
  <c r="I409" i="35"/>
  <c r="I410" i="35"/>
  <c r="I411" i="35"/>
  <c r="I412" i="35"/>
  <c r="I419" i="35"/>
  <c r="I422" i="35"/>
  <c r="I413" i="35"/>
  <c r="I416" i="35"/>
  <c r="I420" i="35"/>
  <c r="I414" i="35"/>
  <c r="I417" i="35"/>
  <c r="I421" i="35"/>
  <c r="I415" i="35"/>
  <c r="R439" i="35"/>
  <c r="S439" i="35"/>
  <c r="T439" i="35"/>
  <c r="U439" i="35"/>
  <c r="V439" i="35"/>
  <c r="W439" i="35"/>
  <c r="X439" i="35"/>
  <c r="AJ439" i="35"/>
  <c r="BY439" i="35"/>
  <c r="BQ439" i="35"/>
  <c r="BG439" i="35"/>
  <c r="AW439" i="35"/>
  <c r="BL439" i="35"/>
  <c r="BC439" i="35"/>
  <c r="BS439" i="35"/>
  <c r="BV439" i="35"/>
  <c r="BH439" i="35"/>
  <c r="AR439" i="35"/>
  <c r="BJ439" i="35"/>
  <c r="BR439" i="35"/>
  <c r="BK439" i="35"/>
  <c r="AX439" i="35"/>
  <c r="BF439" i="35"/>
  <c r="BZ439" i="35"/>
  <c r="AS439" i="35"/>
  <c r="BP439" i="35"/>
  <c r="BM439" i="35"/>
  <c r="BI439" i="35"/>
  <c r="BU439" i="35"/>
  <c r="BA439" i="35"/>
  <c r="BN439" i="35"/>
  <c r="BW439" i="35"/>
  <c r="BT439" i="35"/>
  <c r="AZ439" i="35"/>
  <c r="BD439" i="35"/>
  <c r="AY439" i="35"/>
  <c r="AU439" i="35"/>
  <c r="AT439" i="35"/>
  <c r="BE439" i="35"/>
  <c r="AV439" i="35"/>
  <c r="BB439" i="35"/>
  <c r="BO439" i="35"/>
  <c r="Y439" i="35" l="1"/>
  <c r="Q439" i="35" s="1"/>
  <c r="AK439" i="35"/>
  <c r="AI439" i="35"/>
  <c r="AH439" i="35"/>
  <c r="AG439" i="35"/>
  <c r="AF439" i="35"/>
  <c r="AE439" i="35"/>
  <c r="AD439" i="35"/>
  <c r="AA438" i="35"/>
  <c r="Z438" i="35" s="1"/>
  <c r="R440" i="35"/>
  <c r="S440" i="35"/>
  <c r="T440" i="35"/>
  <c r="U440" i="35"/>
  <c r="V440" i="35"/>
  <c r="W440" i="35"/>
  <c r="X440" i="35"/>
  <c r="AJ440" i="35"/>
  <c r="AU440" i="35"/>
  <c r="BR440" i="35"/>
  <c r="AY440" i="35"/>
  <c r="BZ440" i="35"/>
  <c r="BO440" i="35"/>
  <c r="BY440" i="35"/>
  <c r="BM440" i="35"/>
  <c r="AT440" i="35"/>
  <c r="AW440" i="35"/>
  <c r="BW440" i="35"/>
  <c r="BQ440" i="35"/>
  <c r="BG440" i="35"/>
  <c r="BF440" i="35"/>
  <c r="AR440" i="35"/>
  <c r="BH440" i="35"/>
  <c r="AX440" i="35"/>
  <c r="AS440" i="35"/>
  <c r="BU440" i="35"/>
  <c r="BC440" i="35"/>
  <c r="BI440" i="35"/>
  <c r="BA440" i="35"/>
  <c r="BL440" i="35"/>
  <c r="BJ440" i="35"/>
  <c r="BV440" i="35"/>
  <c r="BN440" i="35"/>
  <c r="BE440" i="35"/>
  <c r="BK440" i="35"/>
  <c r="BB440" i="35"/>
  <c r="BP440" i="35"/>
  <c r="AV440" i="35"/>
  <c r="AZ440" i="35"/>
  <c r="BT440" i="35"/>
  <c r="BS440" i="35"/>
  <c r="BD440" i="35"/>
  <c r="Y440" i="35" l="1"/>
  <c r="Q440" i="35"/>
  <c r="AK440" i="35"/>
  <c r="AI440" i="35"/>
  <c r="AH440" i="35"/>
  <c r="AG440" i="35"/>
  <c r="AF440" i="35"/>
  <c r="AE440" i="35"/>
  <c r="AD440" i="35"/>
  <c r="AA439" i="35"/>
  <c r="Z439" i="35" s="1"/>
  <c r="R441" i="35"/>
  <c r="S441" i="35"/>
  <c r="T441" i="35"/>
  <c r="U441" i="35"/>
  <c r="V441" i="35"/>
  <c r="W441" i="35"/>
  <c r="X441" i="35"/>
  <c r="AJ441" i="35"/>
  <c r="AV441" i="35"/>
  <c r="AR441" i="35"/>
  <c r="AS441" i="35"/>
  <c r="BS441" i="35"/>
  <c r="BF441" i="35"/>
  <c r="BB441" i="35"/>
  <c r="AW441" i="35"/>
  <c r="AZ441" i="35"/>
  <c r="BQ441" i="35"/>
  <c r="BA441" i="35"/>
  <c r="BH441" i="35"/>
  <c r="BC441" i="35"/>
  <c r="BL441" i="35"/>
  <c r="BK441" i="35"/>
  <c r="BY441" i="35"/>
  <c r="BZ441" i="35"/>
  <c r="BT441" i="35"/>
  <c r="BN441" i="35"/>
  <c r="BD441" i="35"/>
  <c r="AY441" i="35"/>
  <c r="BE441" i="35"/>
  <c r="AU441" i="35"/>
  <c r="BU441" i="35"/>
  <c r="AT441" i="35"/>
  <c r="BV441" i="35"/>
  <c r="BP441" i="35"/>
  <c r="BW441" i="35"/>
  <c r="BI441" i="35"/>
  <c r="BM441" i="35"/>
  <c r="BO441" i="35"/>
  <c r="BG441" i="35"/>
  <c r="BR441" i="35"/>
  <c r="BJ441" i="35"/>
  <c r="AX441" i="35"/>
  <c r="Y441" i="35" l="1"/>
  <c r="Q441" i="35" s="1"/>
  <c r="AK441" i="35"/>
  <c r="AI441" i="35"/>
  <c r="AH441" i="35"/>
  <c r="AG441" i="35"/>
  <c r="AF441" i="35"/>
  <c r="AE441" i="35"/>
  <c r="AD441" i="35"/>
  <c r="AA440" i="35"/>
  <c r="Z440" i="35" s="1"/>
  <c r="R442" i="35"/>
  <c r="S442" i="35"/>
  <c r="T442" i="35"/>
  <c r="U442" i="35"/>
  <c r="V442" i="35"/>
  <c r="W442" i="35"/>
  <c r="X442" i="35"/>
  <c r="AJ442" i="35"/>
  <c r="BQ442" i="35"/>
  <c r="BP442" i="35"/>
  <c r="BE442" i="35"/>
  <c r="BH442" i="35"/>
  <c r="AX442" i="35"/>
  <c r="BW442" i="35"/>
  <c r="BN442" i="35"/>
  <c r="BU442" i="35"/>
  <c r="BR442" i="35"/>
  <c r="BK442" i="35"/>
  <c r="BV442" i="35"/>
  <c r="AW442" i="35"/>
  <c r="BF442" i="35"/>
  <c r="BG442" i="35"/>
  <c r="BC442" i="35"/>
  <c r="AS442" i="35"/>
  <c r="BD442" i="35"/>
  <c r="BJ442" i="35"/>
  <c r="AV442" i="35"/>
  <c r="BL442" i="35"/>
  <c r="BI442" i="35"/>
  <c r="AY442" i="35"/>
  <c r="BB442" i="35"/>
  <c r="BZ442" i="35"/>
  <c r="BA442" i="35"/>
  <c r="AR442" i="35"/>
  <c r="BM442" i="35"/>
  <c r="BO442" i="35"/>
  <c r="AZ442" i="35"/>
  <c r="BY442" i="35"/>
  <c r="AT442" i="35"/>
  <c r="BT442" i="35"/>
  <c r="BS442" i="35"/>
  <c r="AU442" i="35"/>
  <c r="Y442" i="35" l="1"/>
  <c r="Q442" i="35"/>
  <c r="AK442" i="35"/>
  <c r="AI442" i="35"/>
  <c r="AH442" i="35"/>
  <c r="AG442" i="35"/>
  <c r="AF442" i="35"/>
  <c r="AE442" i="35"/>
  <c r="AD442" i="35"/>
  <c r="AA441" i="35"/>
  <c r="Z441" i="35" s="1"/>
  <c r="R443" i="35"/>
  <c r="S443" i="35"/>
  <c r="T443" i="35"/>
  <c r="U443" i="35"/>
  <c r="V443" i="35"/>
  <c r="W443" i="35"/>
  <c r="X443" i="35"/>
  <c r="AJ443" i="35"/>
  <c r="BA443" i="35"/>
  <c r="AZ443" i="35"/>
  <c r="BN443" i="35"/>
  <c r="AW443" i="35"/>
  <c r="BY443" i="35"/>
  <c r="BU443" i="35"/>
  <c r="BO443" i="35"/>
  <c r="BT443" i="35"/>
  <c r="BM443" i="35"/>
  <c r="BE443" i="35"/>
  <c r="BC443" i="35"/>
  <c r="AR443" i="35"/>
  <c r="BF443" i="35"/>
  <c r="BL443" i="35"/>
  <c r="AY443" i="35"/>
  <c r="BW443" i="35"/>
  <c r="AV443" i="35"/>
  <c r="BG443" i="35"/>
  <c r="BH443" i="35"/>
  <c r="BJ443" i="35"/>
  <c r="BP443" i="35"/>
  <c r="BI443" i="35"/>
  <c r="BK443" i="35"/>
  <c r="AS443" i="35"/>
  <c r="BB443" i="35"/>
  <c r="AU443" i="35"/>
  <c r="AT443" i="35"/>
  <c r="BD443" i="35"/>
  <c r="BR443" i="35"/>
  <c r="BS443" i="35"/>
  <c r="BV443" i="35"/>
  <c r="AX443" i="35"/>
  <c r="BZ443" i="35"/>
  <c r="BQ443" i="35"/>
  <c r="Y443" i="35" l="1"/>
  <c r="Q443" i="35" s="1"/>
  <c r="AK443" i="35"/>
  <c r="AI443" i="35"/>
  <c r="AH443" i="35"/>
  <c r="AG443" i="35"/>
  <c r="AF443" i="35"/>
  <c r="AE443" i="35"/>
  <c r="AD443" i="35"/>
  <c r="AA442" i="35"/>
  <c r="Z442" i="35" s="1"/>
  <c r="R444" i="35"/>
  <c r="S444" i="35"/>
  <c r="T444" i="35"/>
  <c r="U444" i="35"/>
  <c r="V444" i="35"/>
  <c r="W444" i="35"/>
  <c r="X444" i="35"/>
  <c r="AJ444" i="35"/>
  <c r="BT444" i="35"/>
  <c r="BG444" i="35"/>
  <c r="BI444" i="35"/>
  <c r="BD444" i="35"/>
  <c r="AZ444" i="35"/>
  <c r="BK444" i="35"/>
  <c r="BW444" i="35"/>
  <c r="BZ444" i="35"/>
  <c r="BB444" i="35"/>
  <c r="AR444" i="35"/>
  <c r="BP444" i="35"/>
  <c r="BF444" i="35"/>
  <c r="BL444" i="35"/>
  <c r="AV444" i="35"/>
  <c r="BA444" i="35"/>
  <c r="BR444" i="35"/>
  <c r="AW444" i="35"/>
  <c r="BO444" i="35"/>
  <c r="BJ444" i="35"/>
  <c r="BH444" i="35"/>
  <c r="BM444" i="35"/>
  <c r="BN444" i="35"/>
  <c r="BY444" i="35"/>
  <c r="BC444" i="35"/>
  <c r="BQ444" i="35"/>
  <c r="BV444" i="35"/>
  <c r="AU444" i="35"/>
  <c r="BU444" i="35"/>
  <c r="AX444" i="35"/>
  <c r="AS444" i="35"/>
  <c r="AY444" i="35"/>
  <c r="AT444" i="35"/>
  <c r="BS444" i="35"/>
  <c r="BE444" i="35"/>
  <c r="Y444" i="35" l="1"/>
  <c r="Q444" i="35" s="1"/>
  <c r="AK444" i="35"/>
  <c r="AI444" i="35"/>
  <c r="AH444" i="35"/>
  <c r="AG444" i="35"/>
  <c r="AF444" i="35"/>
  <c r="AE444" i="35"/>
  <c r="AD444" i="35"/>
  <c r="AA443" i="35"/>
  <c r="Z443" i="35" s="1"/>
  <c r="R445" i="35"/>
  <c r="S445" i="35"/>
  <c r="T445" i="35"/>
  <c r="U445" i="35"/>
  <c r="V445" i="35"/>
  <c r="W445" i="35"/>
  <c r="X445" i="35"/>
  <c r="AJ445" i="35"/>
  <c r="BJ445" i="35"/>
  <c r="BM445" i="35"/>
  <c r="BS445" i="35"/>
  <c r="AS445" i="35"/>
  <c r="AY445" i="35"/>
  <c r="BA445" i="35"/>
  <c r="BB445" i="35"/>
  <c r="BK445" i="35"/>
  <c r="BE445" i="35"/>
  <c r="BL445" i="35"/>
  <c r="AT445" i="35"/>
  <c r="BY445" i="35"/>
  <c r="BF445" i="35"/>
  <c r="AU445" i="35"/>
  <c r="BD445" i="35"/>
  <c r="BZ445" i="35"/>
  <c r="BH445" i="35"/>
  <c r="BT445" i="35"/>
  <c r="AR445" i="35"/>
  <c r="AW445" i="35"/>
  <c r="BC445" i="35"/>
  <c r="AZ445" i="35"/>
  <c r="BU445" i="35"/>
  <c r="AX445" i="35"/>
  <c r="BR445" i="35"/>
  <c r="BO445" i="35"/>
  <c r="BN445" i="35"/>
  <c r="AV445" i="35"/>
  <c r="BG445" i="35"/>
  <c r="BP445" i="35"/>
  <c r="BW445" i="35"/>
  <c r="BQ445" i="35"/>
  <c r="BV445" i="35"/>
  <c r="BI445" i="35"/>
  <c r="Y445" i="35" l="1"/>
  <c r="Q445" i="35" s="1"/>
  <c r="AK445" i="35"/>
  <c r="AI445" i="35"/>
  <c r="AH445" i="35"/>
  <c r="AG445" i="35"/>
  <c r="AF445" i="35"/>
  <c r="AE445" i="35"/>
  <c r="AD445" i="35"/>
  <c r="AA444" i="35"/>
  <c r="Z444" i="35" s="1"/>
  <c r="R446" i="35"/>
  <c r="S446" i="35"/>
  <c r="T446" i="35"/>
  <c r="U446" i="35"/>
  <c r="V446" i="35"/>
  <c r="W446" i="35"/>
  <c r="X446" i="35"/>
  <c r="AJ446" i="35"/>
  <c r="BV446" i="35"/>
  <c r="BL446" i="35"/>
  <c r="BA446" i="35"/>
  <c r="BW446" i="35"/>
  <c r="BZ446" i="35"/>
  <c r="BY446" i="35"/>
  <c r="BB446" i="35"/>
  <c r="BF446" i="35"/>
  <c r="AX446" i="35"/>
  <c r="AY446" i="35"/>
  <c r="BM446" i="35"/>
  <c r="AW446" i="35"/>
  <c r="AR446" i="35"/>
  <c r="BG446" i="35"/>
  <c r="AV446" i="35"/>
  <c r="BK446" i="35"/>
  <c r="BN446" i="35"/>
  <c r="BU446" i="35"/>
  <c r="AU446" i="35"/>
  <c r="AZ446" i="35"/>
  <c r="BJ446" i="35"/>
  <c r="BR446" i="35"/>
  <c r="BT446" i="35"/>
  <c r="AT446" i="35"/>
  <c r="BH446" i="35"/>
  <c r="BO446" i="35"/>
  <c r="AS446" i="35"/>
  <c r="BI446" i="35"/>
  <c r="BS446" i="35"/>
  <c r="BQ446" i="35"/>
  <c r="BD446" i="35"/>
  <c r="BC446" i="35"/>
  <c r="BP446" i="35"/>
  <c r="BE446" i="35"/>
  <c r="Y446" i="35" l="1"/>
  <c r="Q446" i="35" s="1"/>
  <c r="AK446" i="35"/>
  <c r="AI446" i="35"/>
  <c r="AH446" i="35"/>
  <c r="AG446" i="35"/>
  <c r="AF446" i="35"/>
  <c r="AE446" i="35"/>
  <c r="AD446" i="35"/>
  <c r="AA445" i="35"/>
  <c r="Z445" i="35" s="1"/>
  <c r="R447" i="35"/>
  <c r="S447" i="35"/>
  <c r="T447" i="35"/>
  <c r="U447" i="35"/>
  <c r="V447" i="35"/>
  <c r="W447" i="35"/>
  <c r="X447" i="35"/>
  <c r="AJ447" i="35"/>
  <c r="AX447" i="35"/>
  <c r="BJ447" i="35"/>
  <c r="BM447" i="35"/>
  <c r="BF447" i="35"/>
  <c r="BA447" i="35"/>
  <c r="BP447" i="35"/>
  <c r="AY447" i="35"/>
  <c r="BC447" i="35"/>
  <c r="AS447" i="35"/>
  <c r="BB447" i="35"/>
  <c r="BS447" i="35"/>
  <c r="BL447" i="35"/>
  <c r="BG447" i="35"/>
  <c r="BT447" i="35"/>
  <c r="BW447" i="35"/>
  <c r="BI447" i="35"/>
  <c r="BH447" i="35"/>
  <c r="BK447" i="35"/>
  <c r="BV447" i="35"/>
  <c r="AR447" i="35"/>
  <c r="AZ447" i="35"/>
  <c r="BN447" i="35"/>
  <c r="BQ447" i="35"/>
  <c r="AW447" i="35"/>
  <c r="AT447" i="35"/>
  <c r="BD447" i="35"/>
  <c r="BR447" i="35"/>
  <c r="BY447" i="35"/>
  <c r="AV447" i="35"/>
  <c r="BO447" i="35"/>
  <c r="BE447" i="35"/>
  <c r="AU447" i="35"/>
  <c r="BU447" i="35"/>
  <c r="BZ447" i="35"/>
  <c r="Y447" i="35" l="1"/>
  <c r="Q447" i="35"/>
  <c r="AK447" i="35"/>
  <c r="AI447" i="35"/>
  <c r="AH447" i="35"/>
  <c r="AG447" i="35"/>
  <c r="AF447" i="35"/>
  <c r="AE447" i="35"/>
  <c r="AD447" i="35"/>
  <c r="AA446" i="35"/>
  <c r="Z446" i="35" s="1"/>
  <c r="R448" i="35"/>
  <c r="S448" i="35"/>
  <c r="T448" i="35"/>
  <c r="U448" i="35"/>
  <c r="V448" i="35"/>
  <c r="W448" i="35"/>
  <c r="X448" i="35"/>
  <c r="AJ448" i="35"/>
  <c r="BH448" i="35"/>
  <c r="BK448" i="35"/>
  <c r="BW448" i="35"/>
  <c r="BT448" i="35"/>
  <c r="BA448" i="35"/>
  <c r="BN448" i="35"/>
  <c r="BG448" i="35"/>
  <c r="BO448" i="35"/>
  <c r="AS448" i="35"/>
  <c r="BF448" i="35"/>
  <c r="BD448" i="35"/>
  <c r="BS448" i="35"/>
  <c r="AZ448" i="35"/>
  <c r="BZ448" i="35"/>
  <c r="BY448" i="35"/>
  <c r="BE448" i="35"/>
  <c r="BJ448" i="35"/>
  <c r="AW448" i="35"/>
  <c r="BQ448" i="35"/>
  <c r="BL448" i="35"/>
  <c r="BM448" i="35"/>
  <c r="AX448" i="35"/>
  <c r="AY448" i="35"/>
  <c r="BP448" i="35"/>
  <c r="AU448" i="35"/>
  <c r="BC448" i="35"/>
  <c r="AR448" i="35"/>
  <c r="BR448" i="35"/>
  <c r="BU448" i="35"/>
  <c r="BB448" i="35"/>
  <c r="AV448" i="35"/>
  <c r="BI448" i="35"/>
  <c r="BV448" i="35"/>
  <c r="AT448" i="35"/>
  <c r="Y448" i="35" l="1"/>
  <c r="Q448" i="35"/>
  <c r="AK448" i="35"/>
  <c r="AI448" i="35"/>
  <c r="AH448" i="35"/>
  <c r="AG448" i="35"/>
  <c r="AF448" i="35"/>
  <c r="AE448" i="35"/>
  <c r="AD448" i="35"/>
  <c r="AA447" i="35"/>
  <c r="Z447" i="35" s="1"/>
  <c r="R449" i="35"/>
  <c r="S449" i="35"/>
  <c r="T449" i="35"/>
  <c r="U449" i="35"/>
  <c r="V449" i="35"/>
  <c r="W449" i="35"/>
  <c r="X449" i="35"/>
  <c r="AJ449" i="35"/>
  <c r="BJ449" i="35"/>
  <c r="BL449" i="35"/>
  <c r="BB449" i="35"/>
  <c r="BR449" i="35"/>
  <c r="AY449" i="35"/>
  <c r="BG449" i="35"/>
  <c r="BI449" i="35"/>
  <c r="BC449" i="35"/>
  <c r="BW449" i="35"/>
  <c r="AR449" i="35"/>
  <c r="AW449" i="35"/>
  <c r="BU449" i="35"/>
  <c r="BH449" i="35"/>
  <c r="BD449" i="35"/>
  <c r="BN449" i="35"/>
  <c r="BV449" i="35"/>
  <c r="AS449" i="35"/>
  <c r="BP449" i="35"/>
  <c r="AU449" i="35"/>
  <c r="BT449" i="35"/>
  <c r="BY449" i="35"/>
  <c r="BA449" i="35"/>
  <c r="BS449" i="35"/>
  <c r="AZ449" i="35"/>
  <c r="AV449" i="35"/>
  <c r="AX449" i="35"/>
  <c r="BM449" i="35"/>
  <c r="BE449" i="35"/>
  <c r="BK449" i="35"/>
  <c r="BO449" i="35"/>
  <c r="BF449" i="35"/>
  <c r="BZ449" i="35"/>
  <c r="BQ449" i="35"/>
  <c r="AT449" i="35"/>
  <c r="Y449" i="35" l="1"/>
  <c r="Q449" i="35"/>
  <c r="AK449" i="35"/>
  <c r="AI449" i="35"/>
  <c r="AH449" i="35"/>
  <c r="AG449" i="35"/>
  <c r="AF449" i="35"/>
  <c r="AE449" i="35"/>
  <c r="AD449" i="35"/>
  <c r="AA448" i="35"/>
  <c r="Z448" i="35" s="1"/>
  <c r="R450" i="35"/>
  <c r="S450" i="35"/>
  <c r="T450" i="35"/>
  <c r="U450" i="35"/>
  <c r="V450" i="35"/>
  <c r="W450" i="35"/>
  <c r="X450" i="35"/>
  <c r="AJ450" i="35"/>
  <c r="BA450" i="35"/>
  <c r="BB450" i="35"/>
  <c r="BF450" i="35"/>
  <c r="BZ450" i="35"/>
  <c r="AR450" i="35"/>
  <c r="BM450" i="35"/>
  <c r="AX450" i="35"/>
  <c r="BW450" i="35"/>
  <c r="AY450" i="35"/>
  <c r="BC450" i="35"/>
  <c r="BH450" i="35"/>
  <c r="AT450" i="35"/>
  <c r="BD450" i="35"/>
  <c r="BY450" i="35"/>
  <c r="BR450" i="35"/>
  <c r="BK450" i="35"/>
  <c r="AU450" i="35"/>
  <c r="BS450" i="35"/>
  <c r="BQ450" i="35"/>
  <c r="BE450" i="35"/>
  <c r="BN450" i="35"/>
  <c r="AV450" i="35"/>
  <c r="BG450" i="35"/>
  <c r="BL450" i="35"/>
  <c r="BJ450" i="35"/>
  <c r="AS450" i="35"/>
  <c r="BT450" i="35"/>
  <c r="BO450" i="35"/>
  <c r="BP450" i="35"/>
  <c r="BU450" i="35"/>
  <c r="BV450" i="35"/>
  <c r="BI450" i="35"/>
  <c r="AZ450" i="35"/>
  <c r="AW450" i="35"/>
  <c r="Y450" i="35" l="1"/>
  <c r="Q450" i="35" s="1"/>
  <c r="AK450" i="35"/>
  <c r="AI450" i="35"/>
  <c r="AH450" i="35"/>
  <c r="AG450" i="35"/>
  <c r="AF450" i="35"/>
  <c r="AE450" i="35"/>
  <c r="AD450" i="35"/>
  <c r="AA449" i="35"/>
  <c r="Z449" i="35" s="1"/>
  <c r="R451" i="35"/>
  <c r="S451" i="35"/>
  <c r="T451" i="35"/>
  <c r="U451" i="35"/>
  <c r="V451" i="35"/>
  <c r="W451" i="35"/>
  <c r="X451" i="35"/>
  <c r="AJ451" i="35"/>
  <c r="AZ451" i="35"/>
  <c r="BV451" i="35"/>
  <c r="AT451" i="35"/>
  <c r="BB451" i="35"/>
  <c r="BS451" i="35"/>
  <c r="BC451" i="35"/>
  <c r="BM451" i="35"/>
  <c r="AX451" i="35"/>
  <c r="BF451" i="35"/>
  <c r="BK451" i="35"/>
  <c r="BQ451" i="35"/>
  <c r="BT451" i="35"/>
  <c r="BJ451" i="35"/>
  <c r="BP451" i="35"/>
  <c r="BI451" i="35"/>
  <c r="AU451" i="35"/>
  <c r="BN451" i="35"/>
  <c r="AR451" i="35"/>
  <c r="BY451" i="35"/>
  <c r="BH451" i="35"/>
  <c r="BZ451" i="35"/>
  <c r="AV451" i="35"/>
  <c r="BO451" i="35"/>
  <c r="BR451" i="35"/>
  <c r="AW451" i="35"/>
  <c r="AY451" i="35"/>
  <c r="BG451" i="35"/>
  <c r="BL451" i="35"/>
  <c r="BD451" i="35"/>
  <c r="BA451" i="35"/>
  <c r="AS451" i="35"/>
  <c r="BU451" i="35"/>
  <c r="BW451" i="35"/>
  <c r="BE451" i="35"/>
  <c r="Y451" i="35" l="1"/>
  <c r="Q451" i="35"/>
  <c r="AK451" i="35"/>
  <c r="AI451" i="35"/>
  <c r="AH451" i="35"/>
  <c r="AG451" i="35"/>
  <c r="AF451" i="35"/>
  <c r="AE451" i="35"/>
  <c r="AD451" i="35"/>
  <c r="AA450" i="35"/>
  <c r="Z450" i="35" s="1"/>
  <c r="R452" i="35"/>
  <c r="S452" i="35"/>
  <c r="T452" i="35"/>
  <c r="U452" i="35"/>
  <c r="V452" i="35"/>
  <c r="W452" i="35"/>
  <c r="X452" i="35"/>
  <c r="AJ452" i="35"/>
  <c r="BG452" i="35"/>
  <c r="BI452" i="35"/>
  <c r="AU452" i="35"/>
  <c r="BV452" i="35"/>
  <c r="AS452" i="35"/>
  <c r="AR452" i="35"/>
  <c r="AW452" i="35"/>
  <c r="BC452" i="35"/>
  <c r="BZ452" i="35"/>
  <c r="BD452" i="35"/>
  <c r="BY452" i="35"/>
  <c r="AZ452" i="35"/>
  <c r="AX452" i="35"/>
  <c r="AY452" i="35"/>
  <c r="BM452" i="35"/>
  <c r="BF452" i="35"/>
  <c r="BO452" i="35"/>
  <c r="BW452" i="35"/>
  <c r="BB452" i="35"/>
  <c r="BN452" i="35"/>
  <c r="BL452" i="35"/>
  <c r="BA452" i="35"/>
  <c r="BQ452" i="35"/>
  <c r="BU452" i="35"/>
  <c r="BH452" i="35"/>
  <c r="BE452" i="35"/>
  <c r="BS452" i="35"/>
  <c r="BT452" i="35"/>
  <c r="AV452" i="35"/>
  <c r="BP452" i="35"/>
  <c r="BJ452" i="35"/>
  <c r="AT452" i="35"/>
  <c r="BR452" i="35"/>
  <c r="BK452" i="35"/>
  <c r="Y452" i="35" l="1"/>
  <c r="Q452" i="35" s="1"/>
  <c r="AK452" i="35"/>
  <c r="AI452" i="35"/>
  <c r="AH452" i="35"/>
  <c r="AG452" i="35"/>
  <c r="AF452" i="35"/>
  <c r="AE452" i="35"/>
  <c r="AD452" i="35"/>
  <c r="AA451" i="35"/>
  <c r="Z451" i="35" s="1"/>
  <c r="R453" i="35"/>
  <c r="S453" i="35"/>
  <c r="T453" i="35"/>
  <c r="U453" i="35"/>
  <c r="V453" i="35"/>
  <c r="W453" i="35"/>
  <c r="X453" i="35"/>
  <c r="AJ453" i="35"/>
  <c r="AZ453" i="35"/>
  <c r="BN453" i="35"/>
  <c r="BS453" i="35"/>
  <c r="BZ453" i="35"/>
  <c r="BY453" i="35"/>
  <c r="BU453" i="35"/>
  <c r="BF453" i="35"/>
  <c r="AR453" i="35"/>
  <c r="BV453" i="35"/>
  <c r="AY453" i="35"/>
  <c r="AV453" i="35"/>
  <c r="BG453" i="35"/>
  <c r="BT453" i="35"/>
  <c r="BC453" i="35"/>
  <c r="BE453" i="35"/>
  <c r="AX453" i="35"/>
  <c r="BD453" i="35"/>
  <c r="BQ453" i="35"/>
  <c r="BO453" i="35"/>
  <c r="BM453" i="35"/>
  <c r="AU453" i="35"/>
  <c r="BB453" i="35"/>
  <c r="BK453" i="35"/>
  <c r="AT453" i="35"/>
  <c r="BR453" i="35"/>
  <c r="BI453" i="35"/>
  <c r="BJ453" i="35"/>
  <c r="AS453" i="35"/>
  <c r="BL453" i="35"/>
  <c r="BH453" i="35"/>
  <c r="BP453" i="35"/>
  <c r="BA453" i="35"/>
  <c r="BW453" i="35"/>
  <c r="AW453" i="35"/>
  <c r="Y453" i="35" l="1"/>
  <c r="Q453" i="35"/>
  <c r="AK453" i="35"/>
  <c r="AI453" i="35"/>
  <c r="AH453" i="35"/>
  <c r="AG453" i="35"/>
  <c r="AF453" i="35"/>
  <c r="AE453" i="35"/>
  <c r="AD453" i="35"/>
  <c r="AA452" i="35"/>
  <c r="Z452" i="35" s="1"/>
  <c r="D454" i="35"/>
  <c r="R454" i="35"/>
  <c r="S454" i="35"/>
  <c r="T454" i="35"/>
  <c r="U454" i="35"/>
  <c r="V454" i="35"/>
  <c r="W454" i="35"/>
  <c r="X454" i="35"/>
  <c r="AJ454" i="35"/>
  <c r="BA454" i="35"/>
  <c r="BB454" i="35"/>
  <c r="BK454" i="35"/>
  <c r="BN454" i="35"/>
  <c r="BT454" i="35"/>
  <c r="BG454" i="35"/>
  <c r="BF454" i="35"/>
  <c r="AR454" i="35"/>
  <c r="BZ454" i="35"/>
  <c r="BI454" i="35"/>
  <c r="BJ454" i="35"/>
  <c r="BP454" i="35"/>
  <c r="BV454" i="35"/>
  <c r="BY454" i="35"/>
  <c r="BD454" i="35"/>
  <c r="BH454" i="35"/>
  <c r="AU454" i="35"/>
  <c r="BL454" i="35"/>
  <c r="AV454" i="35"/>
  <c r="BM454" i="35"/>
  <c r="BO454" i="35"/>
  <c r="AT454" i="35"/>
  <c r="AZ454" i="35"/>
  <c r="AS454" i="35"/>
  <c r="AX454" i="35"/>
  <c r="BC454" i="35"/>
  <c r="BR454" i="35"/>
  <c r="BW454" i="35"/>
  <c r="BE454" i="35"/>
  <c r="BQ454" i="35"/>
  <c r="BU454" i="35"/>
  <c r="AW454" i="35"/>
  <c r="AY454" i="35"/>
  <c r="BS454" i="35"/>
  <c r="Y454" i="35" l="1"/>
  <c r="Q454" i="35" s="1"/>
  <c r="AK454" i="35"/>
  <c r="AI454" i="35"/>
  <c r="AH454" i="35"/>
  <c r="AG454" i="35"/>
  <c r="AF454" i="35"/>
  <c r="AE454" i="35"/>
  <c r="AD454" i="35"/>
  <c r="AA453" i="35"/>
  <c r="Z453" i="35" s="1"/>
  <c r="D455" i="35"/>
  <c r="R455" i="35"/>
  <c r="S455" i="35"/>
  <c r="T455" i="35"/>
  <c r="U455" i="35"/>
  <c r="V455" i="35"/>
  <c r="W455" i="35"/>
  <c r="X455" i="35"/>
  <c r="AJ455" i="35"/>
  <c r="BF455" i="35"/>
  <c r="BN455" i="35"/>
  <c r="AV455" i="35"/>
  <c r="AT455" i="35"/>
  <c r="BP455" i="35"/>
  <c r="BY455" i="35"/>
  <c r="BK455" i="35"/>
  <c r="BW455" i="35"/>
  <c r="BR455" i="35"/>
  <c r="AS455" i="35"/>
  <c r="AX455" i="35"/>
  <c r="BO455" i="35"/>
  <c r="BJ455" i="35"/>
  <c r="BE455" i="35"/>
  <c r="BB455" i="35"/>
  <c r="BV455" i="35"/>
  <c r="BS455" i="35"/>
  <c r="AR455" i="35"/>
  <c r="BA455" i="35"/>
  <c r="BT455" i="35"/>
  <c r="AU455" i="35"/>
  <c r="AZ455" i="35"/>
  <c r="BL455" i="35"/>
  <c r="BG455" i="35"/>
  <c r="AW455" i="35"/>
  <c r="BZ455" i="35"/>
  <c r="BQ455" i="35"/>
  <c r="BH455" i="35"/>
  <c r="BU455" i="35"/>
  <c r="AY455" i="35"/>
  <c r="BC455" i="35"/>
  <c r="BI455" i="35"/>
  <c r="BD455" i="35"/>
  <c r="BM455" i="35"/>
  <c r="Y455" i="35" l="1"/>
  <c r="Q455" i="35"/>
  <c r="AK455" i="35"/>
  <c r="AI455" i="35"/>
  <c r="AH455" i="35"/>
  <c r="AG455" i="35"/>
  <c r="AF455" i="35"/>
  <c r="AE455" i="35"/>
  <c r="AD455" i="35"/>
  <c r="AA454" i="35"/>
  <c r="Z454" i="35" s="1"/>
  <c r="AA455" i="35" l="1"/>
  <c r="Z455" i="35" s="1"/>
  <c r="D457" i="35"/>
  <c r="D458" i="35" l="1"/>
  <c r="D460" i="35" l="1"/>
  <c r="D461" i="35"/>
  <c r="D463" i="35"/>
  <c r="D464" i="35"/>
  <c r="AR197" i="35"/>
  <c r="AS197" i="35"/>
  <c r="AT197" i="35"/>
  <c r="AU197" i="35"/>
  <c r="AV197" i="35"/>
  <c r="AW197" i="35"/>
  <c r="AX197" i="35"/>
  <c r="AY197" i="35"/>
  <c r="AZ197" i="35"/>
  <c r="BA197" i="35"/>
  <c r="BB197" i="35"/>
  <c r="BC197" i="35"/>
  <c r="BD197" i="35"/>
  <c r="BE197" i="35"/>
  <c r="BF197" i="35"/>
  <c r="AC198" i="35"/>
  <c r="BU198" i="35"/>
  <c r="BL198" i="35"/>
  <c r="BG198" i="35"/>
  <c r="BA198" i="35"/>
  <c r="BD198" i="35"/>
  <c r="BW198" i="35"/>
  <c r="BM198" i="35"/>
  <c r="AT198" i="35"/>
  <c r="BV198" i="35"/>
  <c r="BR198" i="35"/>
  <c r="BZ198" i="35"/>
  <c r="BQ198" i="35"/>
  <c r="BF198" i="35"/>
  <c r="BY198" i="35"/>
  <c r="BK198" i="35"/>
  <c r="BB198" i="35"/>
  <c r="BN198" i="35"/>
  <c r="AR198" i="35"/>
  <c r="BO198" i="35"/>
  <c r="AS198" i="35"/>
  <c r="BJ198" i="35"/>
  <c r="AU198" i="35"/>
  <c r="BE198" i="35"/>
  <c r="BC198" i="35"/>
  <c r="AZ198" i="35"/>
  <c r="BI198" i="35"/>
  <c r="BT198" i="35"/>
  <c r="BP198" i="35"/>
  <c r="AX198" i="35"/>
  <c r="AW198" i="35"/>
  <c r="AY198" i="35"/>
  <c r="AV198" i="35"/>
  <c r="BS198" i="35"/>
  <c r="BH198" i="35"/>
  <c r="O441" i="35" l="1" a="1"/>
  <c r="O441" i="35" s="1"/>
  <c r="AG198" i="35"/>
  <c r="AI198" i="35"/>
  <c r="AF198" i="35"/>
  <c r="AD198" i="35"/>
  <c r="AH198" i="35"/>
  <c r="AE198" i="35"/>
  <c r="AB198" i="35"/>
  <c r="AK198" i="35"/>
  <c r="AJ198" i="35"/>
  <c r="R200" i="35"/>
  <c r="S200" i="35"/>
  <c r="T200" i="35"/>
  <c r="U200" i="35"/>
  <c r="V200" i="35"/>
  <c r="W200" i="35"/>
  <c r="X200" i="35"/>
  <c r="Y200" i="35"/>
  <c r="AJ200" i="35"/>
  <c r="R201" i="35"/>
  <c r="S201" i="35"/>
  <c r="T201" i="35"/>
  <c r="U201" i="35"/>
  <c r="V201" i="35"/>
  <c r="W201" i="35"/>
  <c r="X201" i="35"/>
  <c r="Y201" i="35"/>
  <c r="AJ201" i="35"/>
  <c r="R202" i="35"/>
  <c r="S202" i="35"/>
  <c r="T202" i="35"/>
  <c r="U202" i="35"/>
  <c r="V202" i="35"/>
  <c r="W202" i="35"/>
  <c r="X202" i="35"/>
  <c r="Y202" i="35"/>
  <c r="AJ202" i="35"/>
  <c r="R203" i="35"/>
  <c r="S203" i="35"/>
  <c r="T203" i="35"/>
  <c r="U203" i="35"/>
  <c r="V203" i="35"/>
  <c r="W203" i="35"/>
  <c r="X203" i="35"/>
  <c r="Y203" i="35"/>
  <c r="AJ203" i="35"/>
  <c r="R204" i="35"/>
  <c r="S204" i="35"/>
  <c r="T204" i="35"/>
  <c r="U204" i="35"/>
  <c r="V204" i="35"/>
  <c r="W204" i="35"/>
  <c r="X204" i="35"/>
  <c r="Y204" i="35"/>
  <c r="AJ204" i="35"/>
  <c r="R205" i="35"/>
  <c r="S205" i="35"/>
  <c r="T205" i="35"/>
  <c r="U205" i="35"/>
  <c r="V205" i="35"/>
  <c r="W205" i="35"/>
  <c r="X205" i="35"/>
  <c r="Y205" i="35"/>
  <c r="AJ205" i="35"/>
  <c r="R206" i="35"/>
  <c r="S206" i="35"/>
  <c r="T206" i="35"/>
  <c r="U206" i="35"/>
  <c r="V206" i="35"/>
  <c r="W206" i="35"/>
  <c r="X206" i="35"/>
  <c r="Y206" i="35"/>
  <c r="AJ206" i="35"/>
  <c r="R207" i="35"/>
  <c r="S207" i="35"/>
  <c r="T207" i="35"/>
  <c r="U207" i="35"/>
  <c r="V207" i="35"/>
  <c r="W207" i="35"/>
  <c r="X207" i="35"/>
  <c r="Y207" i="35"/>
  <c r="AJ207" i="35"/>
  <c r="R208" i="35"/>
  <c r="S208" i="35"/>
  <c r="T208" i="35"/>
  <c r="U208" i="35"/>
  <c r="V208" i="35"/>
  <c r="W208" i="35"/>
  <c r="X208" i="35"/>
  <c r="Y208" i="35"/>
  <c r="AJ208" i="35"/>
  <c r="R209" i="35"/>
  <c r="S209" i="35"/>
  <c r="T209" i="35"/>
  <c r="U209" i="35"/>
  <c r="V209" i="35"/>
  <c r="W209" i="35"/>
  <c r="X209" i="35"/>
  <c r="Y209" i="35"/>
  <c r="AJ209" i="35"/>
  <c r="R210" i="35"/>
  <c r="S210" i="35"/>
  <c r="T210" i="35"/>
  <c r="U210" i="35"/>
  <c r="V210" i="35"/>
  <c r="W210" i="35"/>
  <c r="X210" i="35"/>
  <c r="Y210" i="35"/>
  <c r="AJ210" i="35"/>
  <c r="R211" i="35"/>
  <c r="S211" i="35"/>
  <c r="T211" i="35"/>
  <c r="U211" i="35"/>
  <c r="V211" i="35"/>
  <c r="W211" i="35"/>
  <c r="X211" i="35"/>
  <c r="Y211" i="35"/>
  <c r="AJ211" i="35"/>
  <c r="R212" i="35"/>
  <c r="S212" i="35"/>
  <c r="T212" i="35"/>
  <c r="U212" i="35"/>
  <c r="V212" i="35"/>
  <c r="W212" i="35"/>
  <c r="X212" i="35"/>
  <c r="Y212" i="35"/>
  <c r="AJ212" i="35"/>
  <c r="R213" i="35"/>
  <c r="S213" i="35"/>
  <c r="T213" i="35"/>
  <c r="U213" i="35"/>
  <c r="V213" i="35"/>
  <c r="W213" i="35"/>
  <c r="X213" i="35"/>
  <c r="Y213" i="35"/>
  <c r="AJ213" i="35"/>
  <c r="R214" i="35"/>
  <c r="S214" i="35"/>
  <c r="T214" i="35"/>
  <c r="U214" i="35"/>
  <c r="V214" i="35"/>
  <c r="W214" i="35"/>
  <c r="X214" i="35"/>
  <c r="Y214" i="35"/>
  <c r="AJ214" i="35"/>
  <c r="R215" i="35"/>
  <c r="S215" i="35"/>
  <c r="T215" i="35"/>
  <c r="U215" i="35"/>
  <c r="V215" i="35"/>
  <c r="W215" i="35"/>
  <c r="X215" i="35"/>
  <c r="Y215" i="35"/>
  <c r="AJ215" i="35"/>
  <c r="R216" i="35"/>
  <c r="S216" i="35"/>
  <c r="T216" i="35"/>
  <c r="U216" i="35"/>
  <c r="V216" i="35"/>
  <c r="W216" i="35"/>
  <c r="X216" i="35"/>
  <c r="Y216" i="35"/>
  <c r="AJ216" i="35"/>
  <c r="R217" i="35"/>
  <c r="S217" i="35"/>
  <c r="T217" i="35"/>
  <c r="U217" i="35"/>
  <c r="V217" i="35"/>
  <c r="W217" i="35"/>
  <c r="X217" i="35"/>
  <c r="Y217" i="35"/>
  <c r="AJ217" i="35"/>
  <c r="D218" i="35"/>
  <c r="R218" i="35"/>
  <c r="S218" i="35"/>
  <c r="T218" i="35"/>
  <c r="U218" i="35"/>
  <c r="V218" i="35"/>
  <c r="W218" i="35"/>
  <c r="X218" i="35"/>
  <c r="Y218" i="35"/>
  <c r="AJ218" i="35"/>
  <c r="D219" i="35"/>
  <c r="R219" i="35"/>
  <c r="S219" i="35"/>
  <c r="T219" i="35"/>
  <c r="U219" i="35"/>
  <c r="V219" i="35"/>
  <c r="W219" i="35"/>
  <c r="X219" i="35"/>
  <c r="Y219" i="35"/>
  <c r="AJ219" i="35"/>
  <c r="D221" i="35"/>
  <c r="D222" i="35"/>
  <c r="D224" i="35"/>
  <c r="D225" i="35"/>
  <c r="D227" i="35"/>
  <c r="D228" i="35"/>
  <c r="AR244" i="35"/>
  <c r="AS244" i="35"/>
  <c r="AT244" i="35"/>
  <c r="AU244" i="35"/>
  <c r="AV244" i="35"/>
  <c r="AW244" i="35"/>
  <c r="AX244" i="35"/>
  <c r="AY244" i="35"/>
  <c r="AZ244" i="35"/>
  <c r="BA244" i="35"/>
  <c r="BB244" i="35"/>
  <c r="BC244" i="35"/>
  <c r="BD244" i="35"/>
  <c r="BE244" i="35"/>
  <c r="BF244" i="35"/>
  <c r="AC245" i="35"/>
  <c r="Q212" i="35" l="1"/>
  <c r="Q205" i="35"/>
  <c r="Q217" i="35"/>
  <c r="Q210" i="35"/>
  <c r="O438" i="35" a="1"/>
  <c r="O438" i="35" s="1"/>
  <c r="K438" i="35" s="1"/>
  <c r="L438" i="35" s="1"/>
  <c r="O436" i="35" a="1"/>
  <c r="O436" i="35" s="1"/>
  <c r="O437" i="35" a="1"/>
  <c r="O437" i="35" s="1"/>
  <c r="K437" i="35" s="1"/>
  <c r="L437" i="35" s="1"/>
  <c r="O440" i="35" a="1"/>
  <c r="O440" i="35" s="1"/>
  <c r="K440" i="35" s="1"/>
  <c r="L440" i="35" s="1"/>
  <c r="N441" i="35"/>
  <c r="K441" i="35"/>
  <c r="L441" i="35" s="1"/>
  <c r="Q209" i="35"/>
  <c r="Q201" i="35"/>
  <c r="Q214" i="35"/>
  <c r="Q208" i="35"/>
  <c r="Q216" i="35"/>
  <c r="Q202" i="35"/>
  <c r="Q200" i="35"/>
  <c r="Q213" i="35"/>
  <c r="Q218" i="35"/>
  <c r="Q206" i="35"/>
  <c r="Q207" i="35"/>
  <c r="Q211" i="35"/>
  <c r="Q203" i="35"/>
  <c r="P437" i="35"/>
  <c r="P436" i="35"/>
  <c r="P438" i="35"/>
  <c r="O439" i="35" a="1"/>
  <c r="O439" i="35" s="1"/>
  <c r="Q215" i="35"/>
  <c r="Q219" i="35"/>
  <c r="Q204" i="35"/>
  <c r="AA198" i="35"/>
  <c r="R247" i="35"/>
  <c r="S247" i="35"/>
  <c r="T247" i="35"/>
  <c r="U247" i="35"/>
  <c r="V247" i="35"/>
  <c r="W247" i="35"/>
  <c r="X247" i="35"/>
  <c r="Y247" i="35"/>
  <c r="AJ247" i="35"/>
  <c r="I434" i="35" l="1"/>
  <c r="I473" i="35"/>
  <c r="H434" i="35"/>
  <c r="H473" i="35"/>
  <c r="G434" i="35"/>
  <c r="G473" i="35"/>
  <c r="N436" i="35"/>
  <c r="K436" i="35"/>
  <c r="L436" i="35" s="1"/>
  <c r="N438" i="35"/>
  <c r="N440" i="35"/>
  <c r="N437" i="35"/>
  <c r="K439" i="35"/>
  <c r="L439" i="35" s="1"/>
  <c r="N439" i="35"/>
  <c r="G431" i="35"/>
  <c r="I431" i="35"/>
  <c r="H431" i="35"/>
  <c r="Q247" i="35"/>
  <c r="R248" i="35"/>
  <c r="S248" i="35"/>
  <c r="T248" i="35"/>
  <c r="U248" i="35"/>
  <c r="V248" i="35"/>
  <c r="W248" i="35"/>
  <c r="X248" i="35"/>
  <c r="Y248" i="35"/>
  <c r="AJ248" i="35"/>
  <c r="Q248" i="35" l="1"/>
  <c r="G435" i="35"/>
  <c r="G436" i="35"/>
  <c r="G437" i="35"/>
  <c r="G438" i="35"/>
  <c r="G439" i="35"/>
  <c r="G440" i="35"/>
  <c r="G441" i="35"/>
  <c r="G442" i="35"/>
  <c r="G443" i="35"/>
  <c r="G444" i="35"/>
  <c r="G445" i="35"/>
  <c r="G446" i="35"/>
  <c r="G447" i="35"/>
  <c r="G448" i="35"/>
  <c r="G449" i="35"/>
  <c r="G450" i="35"/>
  <c r="G453" i="35"/>
  <c r="G454" i="35"/>
  <c r="G455" i="35"/>
  <c r="G456" i="35"/>
  <c r="G457" i="35"/>
  <c r="G458" i="35"/>
  <c r="G459" i="35"/>
  <c r="G461" i="35"/>
  <c r="G462" i="35"/>
  <c r="G467" i="35"/>
  <c r="G464" i="35"/>
  <c r="G468" i="35"/>
  <c r="G466" i="35"/>
  <c r="G469" i="35"/>
  <c r="G460" i="35"/>
  <c r="G463" i="35"/>
  <c r="I435" i="35"/>
  <c r="I436" i="35"/>
  <c r="I437" i="35"/>
  <c r="I438" i="35"/>
  <c r="I439" i="35"/>
  <c r="I440" i="35"/>
  <c r="I441" i="35"/>
  <c r="I442" i="35"/>
  <c r="I443" i="35"/>
  <c r="I444" i="35"/>
  <c r="I445" i="35"/>
  <c r="I446" i="35"/>
  <c r="I447" i="35"/>
  <c r="I448" i="35"/>
  <c r="I449" i="35"/>
  <c r="I450" i="35"/>
  <c r="I453" i="35"/>
  <c r="I454" i="35"/>
  <c r="I455" i="35"/>
  <c r="I456" i="35"/>
  <c r="I457" i="35"/>
  <c r="I458" i="35"/>
  <c r="I459" i="35"/>
  <c r="I467" i="35"/>
  <c r="I464" i="35"/>
  <c r="I468" i="35"/>
  <c r="I461" i="35"/>
  <c r="I462" i="35"/>
  <c r="I466" i="35"/>
  <c r="I469" i="35"/>
  <c r="I460" i="35"/>
  <c r="I463" i="35"/>
  <c r="H435" i="35"/>
  <c r="H436" i="35"/>
  <c r="H437" i="35"/>
  <c r="H438" i="35"/>
  <c r="H439" i="35"/>
  <c r="H440" i="35"/>
  <c r="H441" i="35"/>
  <c r="H442" i="35"/>
  <c r="H443" i="35"/>
  <c r="H444" i="35"/>
  <c r="H445" i="35"/>
  <c r="H446" i="35"/>
  <c r="H447" i="35"/>
  <c r="H448" i="35"/>
  <c r="H449" i="35"/>
  <c r="H450" i="35"/>
  <c r="H453" i="35"/>
  <c r="H454" i="35"/>
  <c r="H455" i="35"/>
  <c r="H456" i="35"/>
  <c r="H457" i="35"/>
  <c r="H458" i="35"/>
  <c r="H459" i="35"/>
  <c r="H464" i="35"/>
  <c r="H468" i="35"/>
  <c r="H463" i="35"/>
  <c r="H461" i="35"/>
  <c r="H462" i="35"/>
  <c r="H466" i="35"/>
  <c r="H469" i="35"/>
  <c r="H460" i="35"/>
  <c r="H467" i="35"/>
  <c r="R249" i="35"/>
  <c r="S249" i="35"/>
  <c r="T249" i="35"/>
  <c r="U249" i="35"/>
  <c r="V249" i="35"/>
  <c r="W249" i="35"/>
  <c r="X249" i="35"/>
  <c r="Y249" i="35"/>
  <c r="AJ249" i="35"/>
  <c r="Q249" i="35" l="1"/>
  <c r="R250" i="35"/>
  <c r="S250" i="35"/>
  <c r="T250" i="35"/>
  <c r="U250" i="35"/>
  <c r="V250" i="35"/>
  <c r="W250" i="35"/>
  <c r="X250" i="35"/>
  <c r="Y250" i="35"/>
  <c r="AJ250" i="35"/>
  <c r="Q250" i="35" l="1"/>
  <c r="R251" i="35"/>
  <c r="S251" i="35"/>
  <c r="T251" i="35"/>
  <c r="U251" i="35"/>
  <c r="V251" i="35"/>
  <c r="W251" i="35"/>
  <c r="X251" i="35"/>
  <c r="Y251" i="35"/>
  <c r="AJ251" i="35"/>
  <c r="Q251" i="35" l="1"/>
  <c r="R252" i="35"/>
  <c r="S252" i="35"/>
  <c r="T252" i="35"/>
  <c r="U252" i="35"/>
  <c r="V252" i="35"/>
  <c r="W252" i="35"/>
  <c r="X252" i="35"/>
  <c r="Y252" i="35"/>
  <c r="AJ252" i="35"/>
  <c r="Q252" i="35" l="1"/>
  <c r="R253" i="35"/>
  <c r="S253" i="35"/>
  <c r="T253" i="35"/>
  <c r="U253" i="35"/>
  <c r="V253" i="35"/>
  <c r="W253" i="35"/>
  <c r="X253" i="35"/>
  <c r="Y253" i="35"/>
  <c r="AJ253" i="35"/>
  <c r="Q253" i="35" l="1"/>
  <c r="R254" i="35"/>
  <c r="S254" i="35"/>
  <c r="T254" i="35"/>
  <c r="U254" i="35"/>
  <c r="V254" i="35"/>
  <c r="W254" i="35"/>
  <c r="X254" i="35"/>
  <c r="Y254" i="35"/>
  <c r="AJ254" i="35"/>
  <c r="Q254" i="35" l="1"/>
  <c r="R255" i="35"/>
  <c r="S255" i="35"/>
  <c r="T255" i="35"/>
  <c r="U255" i="35"/>
  <c r="V255" i="35"/>
  <c r="W255" i="35"/>
  <c r="X255" i="35"/>
  <c r="Y255" i="35"/>
  <c r="AJ255" i="35"/>
  <c r="AF254" i="35" l="1"/>
  <c r="AF213" i="35"/>
  <c r="AF209" i="35"/>
  <c r="AG206" i="35"/>
  <c r="AF214" i="35"/>
  <c r="AE245" i="35"/>
  <c r="AE208" i="35"/>
  <c r="AD207" i="35"/>
  <c r="AE211" i="35"/>
  <c r="AK219" i="35"/>
  <c r="AH207" i="35"/>
  <c r="AI245" i="35"/>
  <c r="AK200" i="35"/>
  <c r="AF208" i="35"/>
  <c r="AK216" i="35"/>
  <c r="AI254" i="35"/>
  <c r="AF215" i="35"/>
  <c r="AK247" i="35"/>
  <c r="AI212" i="35"/>
  <c r="AI201" i="35"/>
  <c r="AE249" i="35"/>
  <c r="AG203" i="35"/>
  <c r="AI252" i="35"/>
  <c r="AK253" i="35"/>
  <c r="AH252" i="35"/>
  <c r="AG245" i="35"/>
  <c r="AE203" i="35"/>
  <c r="AF207" i="35"/>
  <c r="AK208" i="35"/>
  <c r="AF245" i="35"/>
  <c r="AF204" i="35"/>
  <c r="AE205" i="35"/>
  <c r="AF252" i="35"/>
  <c r="AD219" i="35"/>
  <c r="AI204" i="35"/>
  <c r="AD247" i="35"/>
  <c r="AD245" i="35"/>
  <c r="AD213" i="35"/>
  <c r="AE206" i="35"/>
  <c r="AI210" i="35"/>
  <c r="AD210" i="35"/>
  <c r="AJ245" i="35"/>
  <c r="AE254" i="35"/>
  <c r="AK252" i="35"/>
  <c r="AD205" i="35"/>
  <c r="AE209" i="35"/>
  <c r="AG200" i="35"/>
  <c r="AH203" i="35"/>
  <c r="AK203" i="35"/>
  <c r="AI202" i="35"/>
  <c r="AF202" i="35"/>
  <c r="AD204" i="35"/>
  <c r="AK201" i="35"/>
  <c r="AK248" i="35"/>
  <c r="AF200" i="35"/>
  <c r="AG201" i="35"/>
  <c r="AD217" i="35"/>
  <c r="AD248" i="35"/>
  <c r="AK254" i="35"/>
  <c r="AE212" i="35"/>
  <c r="AH214" i="35"/>
  <c r="AD206" i="35"/>
  <c r="AK217" i="35"/>
  <c r="AD212" i="35"/>
  <c r="AD202" i="35"/>
  <c r="AH219" i="35"/>
  <c r="AI208" i="35"/>
  <c r="AG254" i="35"/>
  <c r="AI200" i="35"/>
  <c r="AE200" i="35"/>
  <c r="AK207" i="35"/>
  <c r="AH216" i="35"/>
  <c r="AK245" i="35"/>
  <c r="AD214" i="35"/>
  <c r="AK214" i="35"/>
  <c r="AD251" i="35"/>
  <c r="AH210" i="35"/>
  <c r="AI213" i="35"/>
  <c r="AF206" i="35"/>
  <c r="AD200" i="35"/>
  <c r="AG218" i="35"/>
  <c r="AI211" i="35"/>
  <c r="AE248" i="35"/>
  <c r="AH253" i="35"/>
  <c r="AI217" i="35"/>
  <c r="AG251" i="35"/>
  <c r="AG253" i="35"/>
  <c r="AE202" i="35"/>
  <c r="AF203" i="35"/>
  <c r="AH209" i="35"/>
  <c r="AG217" i="35"/>
  <c r="AH204" i="35"/>
  <c r="AI250" i="35"/>
  <c r="AH249" i="35"/>
  <c r="AH254" i="35"/>
  <c r="AE218" i="35"/>
  <c r="AF201" i="35"/>
  <c r="AE216" i="35"/>
  <c r="AH215" i="35"/>
  <c r="AE217" i="35"/>
  <c r="AG219" i="35"/>
  <c r="AI247" i="35"/>
  <c r="AG210" i="35"/>
  <c r="AK213" i="35"/>
  <c r="AK250" i="35"/>
  <c r="AD209" i="35"/>
  <c r="AF250" i="35"/>
  <c r="AB245" i="35"/>
  <c r="AE247" i="35"/>
  <c r="AG213" i="35"/>
  <c r="AK251" i="35"/>
  <c r="AK211" i="35"/>
  <c r="AF211" i="35"/>
  <c r="AE201" i="35"/>
  <c r="AD218" i="35"/>
  <c r="AI207" i="35"/>
  <c r="AH211" i="35"/>
  <c r="AG216" i="35"/>
  <c r="AI205" i="35"/>
  <c r="AH251" i="35"/>
  <c r="AE213" i="35"/>
  <c r="AD252" i="35"/>
  <c r="AH245" i="35"/>
  <c r="AK218" i="35"/>
  <c r="AE207" i="35"/>
  <c r="AD250" i="35"/>
  <c r="AF210" i="35"/>
  <c r="AE251" i="35"/>
  <c r="AG249" i="35"/>
  <c r="AK212" i="35"/>
  <c r="AK209" i="35"/>
  <c r="AH247" i="35"/>
  <c r="AD254" i="35"/>
  <c r="AF205" i="35"/>
  <c r="AF248" i="35"/>
  <c r="AI248" i="35"/>
  <c r="AI203" i="35"/>
  <c r="AI214" i="35"/>
  <c r="AH201" i="35"/>
  <c r="AD216" i="35"/>
  <c r="AH248" i="35"/>
  <c r="AG248" i="35"/>
  <c r="AH208" i="35"/>
  <c r="AF212" i="35"/>
  <c r="AG250" i="35"/>
  <c r="AI249" i="35"/>
  <c r="AD215" i="35"/>
  <c r="AI253" i="35"/>
  <c r="AG215" i="35"/>
  <c r="AE252" i="35"/>
  <c r="AH250" i="35"/>
  <c r="AF217" i="35"/>
  <c r="AK205" i="35"/>
  <c r="AE215" i="35"/>
  <c r="AG211" i="35"/>
  <c r="AE210" i="35"/>
  <c r="AF251" i="35"/>
  <c r="AE250" i="35"/>
  <c r="AG209" i="35"/>
  <c r="AH218" i="35"/>
  <c r="AE253" i="35"/>
  <c r="AD249" i="35"/>
  <c r="AG208" i="35"/>
  <c r="AH212" i="35"/>
  <c r="AH213" i="35"/>
  <c r="AD253" i="35"/>
  <c r="AK210" i="35"/>
  <c r="AG205" i="35"/>
  <c r="AE214" i="35"/>
  <c r="AF249" i="35"/>
  <c r="AH202" i="35"/>
  <c r="AH205" i="35"/>
  <c r="AD208" i="35"/>
  <c r="AG204" i="35"/>
  <c r="AI251" i="35"/>
  <c r="AI218" i="35"/>
  <c r="AH200" i="35"/>
  <c r="AG247" i="35"/>
  <c r="AK206" i="35"/>
  <c r="AI206" i="35"/>
  <c r="AG207" i="35"/>
  <c r="AE219" i="35"/>
  <c r="AE204" i="35"/>
  <c r="AI216" i="35"/>
  <c r="AI219" i="35"/>
  <c r="AF216" i="35"/>
  <c r="AH206" i="35"/>
  <c r="AF247" i="35"/>
  <c r="AI215" i="35"/>
  <c r="AF253" i="35"/>
  <c r="AG214" i="35"/>
  <c r="AI209" i="35"/>
  <c r="AK202" i="35"/>
  <c r="AD201" i="35"/>
  <c r="AD203" i="35"/>
  <c r="AF218" i="35"/>
  <c r="AK204" i="35"/>
  <c r="AG202" i="35"/>
  <c r="AD211" i="35"/>
  <c r="AG212" i="35"/>
  <c r="AF219" i="35"/>
  <c r="AK215" i="35"/>
  <c r="AK249" i="35"/>
  <c r="AG252" i="35"/>
  <c r="AH217" i="35"/>
  <c r="Q255" i="35"/>
  <c r="AK255" i="35"/>
  <c r="AI255" i="35"/>
  <c r="AH255" i="35"/>
  <c r="AG255" i="35"/>
  <c r="AF255" i="35"/>
  <c r="AE255" i="35"/>
  <c r="AD255" i="35"/>
  <c r="R256" i="35"/>
  <c r="S256" i="35"/>
  <c r="T256" i="35"/>
  <c r="U256" i="35"/>
  <c r="V256" i="35"/>
  <c r="W256" i="35"/>
  <c r="X256" i="35"/>
  <c r="Y256" i="35"/>
  <c r="AJ256" i="35"/>
  <c r="AA219" i="35" l="1"/>
  <c r="AA201" i="35"/>
  <c r="AA247" i="35"/>
  <c r="AA218" i="35"/>
  <c r="AA208" i="35"/>
  <c r="AA214" i="35"/>
  <c r="AA210" i="35"/>
  <c r="AA209" i="35"/>
  <c r="AA253" i="35"/>
  <c r="AA245" i="35"/>
  <c r="AA204" i="35"/>
  <c r="AA202" i="35"/>
  <c r="AA203" i="35"/>
  <c r="AA216" i="35"/>
  <c r="AA217" i="35"/>
  <c r="AA211" i="35"/>
  <c r="AA251" i="35"/>
  <c r="AA207" i="35"/>
  <c r="AA212" i="35"/>
  <c r="AA254" i="35"/>
  <c r="AA215" i="35"/>
  <c r="AA213" i="35"/>
  <c r="AA248" i="35"/>
  <c r="AA249" i="35"/>
  <c r="AA206" i="35"/>
  <c r="AA252" i="35"/>
  <c r="AA250" i="35"/>
  <c r="AA200" i="35"/>
  <c r="AA205" i="35"/>
  <c r="Q256" i="35"/>
  <c r="AK256" i="35"/>
  <c r="AI256" i="35"/>
  <c r="AH256" i="35"/>
  <c r="AG256" i="35"/>
  <c r="AF256" i="35"/>
  <c r="AE256" i="35"/>
  <c r="AD256" i="35"/>
  <c r="AA255" i="35"/>
  <c r="R257" i="35"/>
  <c r="S257" i="35"/>
  <c r="T257" i="35"/>
  <c r="U257" i="35"/>
  <c r="V257" i="35"/>
  <c r="W257" i="35"/>
  <c r="X257" i="35"/>
  <c r="Y257" i="35"/>
  <c r="AJ257" i="35"/>
  <c r="Q257" i="35" l="1"/>
  <c r="AK257" i="35"/>
  <c r="AI257" i="35"/>
  <c r="AH257" i="35"/>
  <c r="AG257" i="35"/>
  <c r="AF257" i="35"/>
  <c r="AE257" i="35"/>
  <c r="AD257" i="35"/>
  <c r="AA256" i="35"/>
  <c r="R258" i="35"/>
  <c r="S258" i="35"/>
  <c r="T258" i="35"/>
  <c r="U258" i="35"/>
  <c r="V258" i="35"/>
  <c r="W258" i="35"/>
  <c r="X258" i="35"/>
  <c r="Y258" i="35"/>
  <c r="AJ258" i="35"/>
  <c r="BG217" i="35"/>
  <c r="BS248" i="35"/>
  <c r="BV248" i="35"/>
  <c r="AX215" i="35"/>
  <c r="BR215" i="35"/>
  <c r="BH215" i="35"/>
  <c r="AV210" i="35"/>
  <c r="BP253" i="35"/>
  <c r="BV208" i="35"/>
  <c r="AY256" i="35"/>
  <c r="BM217" i="35"/>
  <c r="BJ201" i="35"/>
  <c r="BB250" i="35"/>
  <c r="BC255" i="35"/>
  <c r="BL252" i="35"/>
  <c r="BJ219" i="35"/>
  <c r="AU208" i="35"/>
  <c r="BM252" i="35"/>
  <c r="AS211" i="35"/>
  <c r="BL201" i="35"/>
  <c r="BF249" i="35"/>
  <c r="BS208" i="35"/>
  <c r="BN215" i="35"/>
  <c r="BD203" i="35"/>
  <c r="AU216" i="35"/>
  <c r="BC207" i="35"/>
  <c r="BA218" i="35"/>
  <c r="AW219" i="35"/>
  <c r="BY253" i="35"/>
  <c r="BN207" i="35"/>
  <c r="BT251" i="35"/>
  <c r="BK205" i="35"/>
  <c r="BO254" i="35"/>
  <c r="AU211" i="35"/>
  <c r="BD204" i="35"/>
  <c r="AS215" i="35"/>
  <c r="AY206" i="35"/>
  <c r="BK208" i="35"/>
  <c r="AW249" i="35"/>
  <c r="BF218" i="35"/>
  <c r="BN245" i="35"/>
  <c r="BW214" i="35"/>
  <c r="BZ209" i="35"/>
  <c r="BZ213" i="35"/>
  <c r="BP213" i="35"/>
  <c r="BU211" i="35"/>
  <c r="BH207" i="35"/>
  <c r="BE212" i="35"/>
  <c r="BG214" i="35"/>
  <c r="AZ253" i="35"/>
  <c r="BJ252" i="35"/>
  <c r="AZ249" i="35"/>
  <c r="BW201" i="35"/>
  <c r="AY209" i="35"/>
  <c r="AX255" i="35"/>
  <c r="AY252" i="35"/>
  <c r="BZ208" i="35"/>
  <c r="BG210" i="35"/>
  <c r="BZ200" i="35"/>
  <c r="AT209" i="35"/>
  <c r="BP202" i="35"/>
  <c r="AS245" i="35"/>
  <c r="BY213" i="35"/>
  <c r="BH253" i="35"/>
  <c r="BT255" i="35"/>
  <c r="BM207" i="35"/>
  <c r="BZ251" i="35"/>
  <c r="BO213" i="35"/>
  <c r="BH250" i="35"/>
  <c r="BO200" i="35"/>
  <c r="BW203" i="35"/>
  <c r="BS210" i="35"/>
  <c r="BY211" i="35"/>
  <c r="AR208" i="35"/>
  <c r="BO247" i="35"/>
  <c r="BL203" i="35"/>
  <c r="AS247" i="35"/>
  <c r="BM250" i="35"/>
  <c r="BN248" i="35"/>
  <c r="BJ245" i="35"/>
  <c r="BW218" i="35"/>
  <c r="BN217" i="35"/>
  <c r="BI214" i="35"/>
  <c r="BN218" i="35"/>
  <c r="BY204" i="35"/>
  <c r="BZ255" i="35"/>
  <c r="BD253" i="35"/>
  <c r="AX248" i="35"/>
  <c r="AR250" i="35"/>
  <c r="BH251" i="35"/>
  <c r="BQ219" i="35"/>
  <c r="BB249" i="35"/>
  <c r="AZ206" i="35"/>
  <c r="BC201" i="35"/>
  <c r="BD212" i="35"/>
  <c r="BA204" i="35"/>
  <c r="BG258" i="35"/>
  <c r="AW209" i="35"/>
  <c r="BW213" i="35"/>
  <c r="BK201" i="35"/>
  <c r="BL251" i="35"/>
  <c r="BK253" i="35"/>
  <c r="BB252" i="35"/>
  <c r="BW253" i="35"/>
  <c r="BO206" i="35"/>
  <c r="BH257" i="35"/>
  <c r="BV257" i="35"/>
  <c r="BW211" i="35"/>
  <c r="BZ219" i="35"/>
  <c r="AV200" i="35"/>
  <c r="BD258" i="35"/>
  <c r="AZ204" i="35"/>
  <c r="BU219" i="35"/>
  <c r="AY213" i="35"/>
  <c r="BQ204" i="35"/>
  <c r="BT254" i="35"/>
  <c r="BD250" i="35"/>
  <c r="AW253" i="35"/>
  <c r="BV200" i="35"/>
  <c r="BW249" i="35"/>
  <c r="BQ253" i="35"/>
  <c r="BA214" i="35"/>
  <c r="AZ202" i="35"/>
  <c r="BV216" i="35"/>
  <c r="AW204" i="35"/>
  <c r="BP207" i="35"/>
  <c r="BP216" i="35"/>
  <c r="AT206" i="35"/>
  <c r="BS209" i="35"/>
  <c r="BR204" i="35"/>
  <c r="BT210" i="35"/>
  <c r="AT205" i="35"/>
  <c r="BQ203" i="35"/>
  <c r="BI201" i="35"/>
  <c r="BS200" i="35"/>
  <c r="BU208" i="35"/>
  <c r="AV255" i="35"/>
  <c r="BY255" i="35"/>
  <c r="BQ247" i="35"/>
  <c r="AS218" i="35"/>
  <c r="BC205" i="35"/>
  <c r="BT215" i="35"/>
  <c r="BU204" i="35"/>
  <c r="AV205" i="35"/>
  <c r="AT214" i="35"/>
  <c r="BO205" i="35"/>
  <c r="BC204" i="35"/>
  <c r="AR245" i="35"/>
  <c r="AY251" i="35"/>
  <c r="BN253" i="35"/>
  <c r="BH254" i="35"/>
  <c r="BC211" i="35"/>
  <c r="BF211" i="35"/>
  <c r="BI249" i="35"/>
  <c r="BJ255" i="35"/>
  <c r="BT205" i="35"/>
  <c r="BY203" i="35"/>
  <c r="BN206" i="35"/>
  <c r="AR201" i="35"/>
  <c r="AR203" i="35"/>
  <c r="BK212" i="35"/>
  <c r="AV204" i="35"/>
  <c r="AT218" i="35"/>
  <c r="AT245" i="35"/>
  <c r="BV207" i="35"/>
  <c r="BB216" i="35"/>
  <c r="AS254" i="35"/>
  <c r="BI212" i="35"/>
  <c r="BO245" i="35"/>
  <c r="BO216" i="35"/>
  <c r="BH217" i="35"/>
  <c r="BP247" i="35"/>
  <c r="BG216" i="35"/>
  <c r="BR217" i="35"/>
  <c r="BN252" i="35"/>
  <c r="BU255" i="35"/>
  <c r="BQ213" i="35"/>
  <c r="BO202" i="35"/>
  <c r="BE200" i="35"/>
  <c r="BY215" i="35"/>
  <c r="BM256" i="35"/>
  <c r="BW210" i="35"/>
  <c r="AZ217" i="35"/>
  <c r="AU204" i="35"/>
  <c r="BG251" i="35"/>
  <c r="BM205" i="35"/>
  <c r="AZ214" i="35"/>
  <c r="BW248" i="35"/>
  <c r="BN251" i="35"/>
  <c r="BK248" i="35"/>
  <c r="BQ255" i="35"/>
  <c r="BW217" i="35"/>
  <c r="BA250" i="35"/>
  <c r="BC254" i="35"/>
  <c r="BZ253" i="35"/>
  <c r="AY254" i="35"/>
  <c r="BF245" i="35"/>
  <c r="BW258" i="35"/>
  <c r="AU247" i="35"/>
  <c r="BA256" i="35"/>
  <c r="BS256" i="35"/>
  <c r="AZ255" i="35"/>
  <c r="BA207" i="35"/>
  <c r="BV256" i="35"/>
  <c r="AY247" i="35"/>
  <c r="BO203" i="35"/>
  <c r="BV255" i="35"/>
  <c r="BV245" i="35"/>
  <c r="AT204" i="35"/>
  <c r="BV202" i="35"/>
  <c r="BT204" i="35"/>
  <c r="BV219" i="35"/>
  <c r="BO209" i="35"/>
  <c r="BQ250" i="35"/>
  <c r="BD219" i="35"/>
  <c r="AX247" i="35"/>
  <c r="AW212" i="35"/>
  <c r="BD201" i="35"/>
  <c r="AX253" i="35"/>
  <c r="AW254" i="35"/>
  <c r="AY217" i="35"/>
  <c r="BH245" i="35"/>
  <c r="BC208" i="35"/>
  <c r="BM215" i="35"/>
  <c r="BR203" i="35"/>
  <c r="BT217" i="35"/>
  <c r="AT255" i="35"/>
  <c r="BF253" i="35"/>
  <c r="BW247" i="35"/>
  <c r="BM216" i="35"/>
  <c r="BJ217" i="35"/>
  <c r="BN200" i="35"/>
  <c r="BF216" i="35"/>
  <c r="BU202" i="35"/>
  <c r="BJ253" i="35"/>
  <c r="BN208" i="35"/>
  <c r="AX205" i="35"/>
  <c r="AW201" i="35"/>
  <c r="BR247" i="35"/>
  <c r="BV206" i="35"/>
  <c r="BZ212" i="35"/>
  <c r="BL200" i="35"/>
  <c r="BQ205" i="35"/>
  <c r="AS219" i="35"/>
  <c r="AZ256" i="35"/>
  <c r="BO251" i="35"/>
  <c r="BU206" i="35"/>
  <c r="AW206" i="35"/>
  <c r="BE204" i="35"/>
  <c r="BY248" i="35"/>
  <c r="BI208" i="35"/>
  <c r="BY208" i="35"/>
  <c r="AV247" i="35"/>
  <c r="BU210" i="35"/>
  <c r="AV252" i="35"/>
  <c r="BP248" i="35"/>
  <c r="BD205" i="35"/>
  <c r="BN247" i="35"/>
  <c r="BZ250" i="35"/>
  <c r="AU200" i="35"/>
  <c r="BA247" i="35"/>
  <c r="BU212" i="35"/>
  <c r="AY219" i="35"/>
  <c r="BC251" i="35"/>
  <c r="AV201" i="35"/>
  <c r="BR205" i="35"/>
  <c r="AV209" i="35"/>
  <c r="AU217" i="35"/>
  <c r="BR208" i="35"/>
  <c r="BP208" i="35"/>
  <c r="AX250" i="35"/>
  <c r="BB205" i="35"/>
  <c r="BA202" i="35"/>
  <c r="BD216" i="35"/>
  <c r="AS214" i="35"/>
  <c r="AW202" i="35"/>
  <c r="BW255" i="35"/>
  <c r="BG247" i="35"/>
  <c r="BM247" i="35"/>
  <c r="BJ203" i="35"/>
  <c r="AY253" i="35"/>
  <c r="BT201" i="35"/>
  <c r="BG208" i="35"/>
  <c r="BY245" i="35"/>
  <c r="BT208" i="35"/>
  <c r="BT209" i="35"/>
  <c r="AR211" i="35"/>
  <c r="BH219" i="35"/>
  <c r="BJ209" i="35"/>
  <c r="AZ251" i="35"/>
  <c r="BA215" i="35"/>
  <c r="BR209" i="35"/>
  <c r="BF248" i="35"/>
  <c r="BL211" i="35"/>
  <c r="BD200" i="35"/>
  <c r="BP215" i="35"/>
  <c r="BC247" i="35"/>
  <c r="BE249" i="35"/>
  <c r="BE254" i="35"/>
  <c r="AW248" i="35"/>
  <c r="AR217" i="35"/>
  <c r="BZ248" i="35"/>
  <c r="BO255" i="35"/>
  <c r="AW210" i="35"/>
  <c r="BJ248" i="35"/>
  <c r="BO250" i="35"/>
  <c r="BO256" i="35"/>
  <c r="BM213" i="35"/>
  <c r="BN256" i="35"/>
  <c r="AZ254" i="35"/>
  <c r="BI209" i="35"/>
  <c r="BZ207" i="35"/>
  <c r="AT217" i="35"/>
  <c r="BE217" i="35"/>
  <c r="BN204" i="35"/>
  <c r="BS219" i="35"/>
  <c r="BW205" i="35"/>
  <c r="BC257" i="35"/>
  <c r="BU253" i="35"/>
  <c r="BP201" i="35"/>
  <c r="BE209" i="35"/>
  <c r="BQ257" i="35"/>
  <c r="BU200" i="35"/>
  <c r="BV214" i="35"/>
  <c r="BJ210" i="35"/>
  <c r="BM209" i="35"/>
  <c r="AW211" i="35"/>
  <c r="BM218" i="35"/>
  <c r="AR204" i="35"/>
  <c r="BP219" i="35"/>
  <c r="BS257" i="35"/>
  <c r="BE208" i="35"/>
  <c r="BS207" i="35"/>
  <c r="BE213" i="35"/>
  <c r="BF257" i="35"/>
  <c r="BL208" i="35"/>
  <c r="BE257" i="35"/>
  <c r="BF258" i="35"/>
  <c r="BC258" i="35"/>
  <c r="BL258" i="35"/>
  <c r="AR258" i="35"/>
  <c r="AY258" i="35"/>
  <c r="BB200" i="35"/>
  <c r="BG211" i="35"/>
  <c r="BN210" i="35"/>
  <c r="BM201" i="35"/>
  <c r="BQ209" i="35"/>
  <c r="BY201" i="35"/>
  <c r="BP210" i="35"/>
  <c r="BK202" i="35"/>
  <c r="BB257" i="35"/>
  <c r="BI202" i="35"/>
  <c r="BQ251" i="35"/>
  <c r="BG257" i="35"/>
  <c r="BE203" i="35"/>
  <c r="BL249" i="35"/>
  <c r="BY251" i="35"/>
  <c r="BF250" i="35"/>
  <c r="BK206" i="35"/>
  <c r="BU201" i="35"/>
  <c r="AX203" i="35"/>
  <c r="BE202" i="35"/>
  <c r="AT200" i="35"/>
  <c r="AS252" i="35"/>
  <c r="BK218" i="35"/>
  <c r="BL209" i="35"/>
  <c r="BA257" i="35"/>
  <c r="AZ257" i="35"/>
  <c r="AU258" i="35"/>
  <c r="BH258" i="35"/>
  <c r="BV258" i="35"/>
  <c r="BD214" i="35"/>
  <c r="AS205" i="35"/>
  <c r="AU251" i="35"/>
  <c r="BO201" i="35"/>
  <c r="AS203" i="35"/>
  <c r="AY216" i="35"/>
  <c r="BJ215" i="35"/>
  <c r="BI256" i="35"/>
  <c r="BV249" i="35"/>
  <c r="AR210" i="35"/>
  <c r="BY219" i="35"/>
  <c r="BZ247" i="35"/>
  <c r="AU203" i="35"/>
  <c r="AU257" i="35"/>
  <c r="BM258" i="35"/>
  <c r="BB204" i="35"/>
  <c r="BR214" i="35"/>
  <c r="AZ211" i="35"/>
  <c r="BH216" i="35"/>
  <c r="AU206" i="35"/>
  <c r="AT202" i="35"/>
  <c r="AX245" i="35"/>
  <c r="BO248" i="35"/>
  <c r="BQ215" i="35"/>
  <c r="BG212" i="35"/>
  <c r="BQ217" i="35"/>
  <c r="BK254" i="35"/>
  <c r="AR213" i="35"/>
  <c r="BG245" i="35"/>
  <c r="BO211" i="35"/>
  <c r="AX211" i="35"/>
  <c r="BG253" i="35"/>
  <c r="BE219" i="35"/>
  <c r="AS250" i="35"/>
  <c r="BU252" i="35"/>
  <c r="BJ202" i="35"/>
  <c r="BM210" i="35"/>
  <c r="BK217" i="35"/>
  <c r="BH205" i="35"/>
  <c r="AV251" i="35"/>
  <c r="BA209" i="35"/>
  <c r="AZ205" i="35"/>
  <c r="BD218" i="35"/>
  <c r="BL256" i="35"/>
  <c r="BD211" i="35"/>
  <c r="BR206" i="35"/>
  <c r="AS201" i="35"/>
  <c r="BQ248" i="35"/>
  <c r="AS256" i="35"/>
  <c r="BJ206" i="35"/>
  <c r="BR210" i="35"/>
  <c r="BT211" i="35"/>
  <c r="BE216" i="35"/>
  <c r="BR245" i="35"/>
  <c r="BY254" i="35"/>
  <c r="AV256" i="35"/>
  <c r="AS213" i="35"/>
  <c r="AS255" i="35"/>
  <c r="AU207" i="35"/>
  <c r="AY245" i="35"/>
  <c r="BA249" i="35"/>
  <c r="BC210" i="35"/>
  <c r="BA206" i="35"/>
  <c r="BV247" i="35"/>
  <c r="AX219" i="35"/>
  <c r="AV202" i="35"/>
  <c r="AW216" i="35"/>
  <c r="BT202" i="35"/>
  <c r="BB248" i="35"/>
  <c r="BN205" i="35"/>
  <c r="AU248" i="35"/>
  <c r="BC202" i="35"/>
  <c r="BZ217" i="35"/>
  <c r="BD256" i="35"/>
  <c r="BK204" i="35"/>
  <c r="BK250" i="35"/>
  <c r="BT213" i="35"/>
  <c r="BD247" i="35"/>
  <c r="BK200" i="35"/>
  <c r="BF251" i="35"/>
  <c r="BA219" i="35"/>
  <c r="BZ206" i="35"/>
  <c r="BK209" i="35"/>
  <c r="BT253" i="35"/>
  <c r="BJ212" i="35"/>
  <c r="BT249" i="35"/>
  <c r="BL247" i="35"/>
  <c r="BP252" i="35"/>
  <c r="BW212" i="35"/>
  <c r="BV218" i="35"/>
  <c r="BJ207" i="35"/>
  <c r="BQ256" i="35"/>
  <c r="BE253" i="35"/>
  <c r="BF206" i="35"/>
  <c r="BN219" i="35"/>
  <c r="BB202" i="35"/>
  <c r="BJ250" i="35"/>
  <c r="AY218" i="35"/>
  <c r="AX254" i="35"/>
  <c r="AX202" i="35"/>
  <c r="BS213" i="35"/>
  <c r="BE248" i="35"/>
  <c r="AU253" i="35"/>
  <c r="BY210" i="35"/>
  <c r="BC253" i="35"/>
  <c r="BA216" i="35"/>
  <c r="BD206" i="35"/>
  <c r="BS255" i="35"/>
  <c r="BF217" i="35"/>
  <c r="BY257" i="35"/>
  <c r="BL206" i="35"/>
  <c r="BP255" i="35"/>
  <c r="AZ213" i="35"/>
  <c r="BM212" i="35"/>
  <c r="BQ245" i="35"/>
  <c r="BP257" i="35"/>
  <c r="BZ202" i="35"/>
  <c r="BK214" i="35"/>
  <c r="BV251" i="35"/>
  <c r="BR213" i="35"/>
  <c r="BW209" i="35"/>
  <c r="BP203" i="35"/>
  <c r="AX213" i="35"/>
  <c r="AR254" i="35"/>
  <c r="BW207" i="35"/>
  <c r="BR258" i="35"/>
  <c r="BZ258" i="35"/>
  <c r="BQ218" i="35"/>
  <c r="BU256" i="35"/>
  <c r="AW247" i="35"/>
  <c r="BJ256" i="35"/>
  <c r="BN249" i="35"/>
  <c r="BJ200" i="35"/>
  <c r="BC252" i="35"/>
  <c r="AT212" i="35"/>
  <c r="BI254" i="35"/>
  <c r="BQ206" i="35"/>
  <c r="BZ205" i="35"/>
  <c r="AW245" i="35"/>
  <c r="AR215" i="35"/>
  <c r="BJ216" i="35"/>
  <c r="AW205" i="35"/>
  <c r="AT252" i="35"/>
  <c r="BE218" i="35"/>
  <c r="BT248" i="35"/>
  <c r="AW255" i="35"/>
  <c r="BG215" i="35"/>
  <c r="AY201" i="35"/>
  <c r="AT248" i="35"/>
  <c r="BI216" i="35"/>
  <c r="AS208" i="35"/>
  <c r="BS204" i="35"/>
  <c r="AS248" i="35"/>
  <c r="BE210" i="35"/>
  <c r="BT203" i="35"/>
  <c r="AT254" i="35"/>
  <c r="BF203" i="35"/>
  <c r="BD207" i="35"/>
  <c r="BR201" i="35"/>
  <c r="BT212" i="35"/>
  <c r="BY205" i="35"/>
  <c r="BD215" i="35"/>
  <c r="BK249" i="35"/>
  <c r="AS251" i="35"/>
  <c r="BI247" i="35"/>
  <c r="AX214" i="35"/>
  <c r="BW254" i="35"/>
  <c r="AU213" i="35"/>
  <c r="AT215" i="35"/>
  <c r="BV212" i="35"/>
  <c r="BA212" i="35"/>
  <c r="BF247" i="35"/>
  <c r="BF214" i="35"/>
  <c r="BJ249" i="35"/>
  <c r="AX210" i="35"/>
  <c r="BV210" i="35"/>
  <c r="BA205" i="35"/>
  <c r="BC256" i="35"/>
  <c r="AZ210" i="35"/>
  <c r="BS201" i="35"/>
  <c r="BB206" i="35"/>
  <c r="BH204" i="35"/>
  <c r="BM214" i="35"/>
  <c r="BI248" i="35"/>
  <c r="AY202" i="35"/>
  <c r="BR200" i="35"/>
  <c r="BQ201" i="35"/>
  <c r="AR214" i="35"/>
  <c r="BS245" i="35"/>
  <c r="BU205" i="35"/>
  <c r="AW200" i="35"/>
  <c r="BD202" i="35"/>
  <c r="AV208" i="35"/>
  <c r="AU252" i="35"/>
  <c r="AZ248" i="35"/>
  <c r="BV204" i="35"/>
  <c r="BQ207" i="35"/>
  <c r="AT210" i="35"/>
  <c r="BB207" i="35"/>
  <c r="BT206" i="35"/>
  <c r="BH203" i="35"/>
  <c r="BZ211" i="35"/>
  <c r="BR255" i="35"/>
  <c r="BB214" i="35"/>
  <c r="AZ218" i="35"/>
  <c r="AV217" i="35"/>
  <c r="BF215" i="35"/>
  <c r="BP245" i="35"/>
  <c r="BL205" i="35"/>
  <c r="AW218" i="35"/>
  <c r="BC218" i="35"/>
  <c r="BC203" i="35"/>
  <c r="BO204" i="35"/>
  <c r="AW252" i="35"/>
  <c r="BS203" i="35"/>
  <c r="BK211" i="35"/>
  <c r="AY208" i="35"/>
  <c r="BJ254" i="35"/>
  <c r="AU209" i="35"/>
  <c r="BY202" i="35"/>
  <c r="BF256" i="35"/>
  <c r="BK215" i="35"/>
  <c r="BJ205" i="35"/>
  <c r="AZ252" i="35"/>
  <c r="BB254" i="35"/>
  <c r="AT253" i="35"/>
  <c r="BE205" i="35"/>
  <c r="BI257" i="35"/>
  <c r="AS209" i="35"/>
  <c r="BW251" i="35"/>
  <c r="BE206" i="35"/>
  <c r="AY211" i="35"/>
  <c r="BV213" i="35"/>
  <c r="BP258" i="35"/>
  <c r="BS205" i="35"/>
  <c r="BG206" i="35"/>
  <c r="AT216" i="35"/>
  <c r="AS217" i="35"/>
  <c r="AU214" i="35"/>
  <c r="BZ203" i="35"/>
  <c r="AR252" i="35"/>
  <c r="AW203" i="35"/>
  <c r="BZ215" i="35"/>
  <c r="AX204" i="35"/>
  <c r="AY207" i="35"/>
  <c r="AS210" i="35"/>
  <c r="AS200" i="35"/>
  <c r="BB215" i="35"/>
  <c r="BN212" i="35"/>
  <c r="BQ252" i="35"/>
  <c r="AR207" i="35"/>
  <c r="AT208" i="35"/>
  <c r="BS216" i="35"/>
  <c r="BY214" i="35"/>
  <c r="BB201" i="35"/>
  <c r="BE252" i="35"/>
  <c r="BG207" i="35"/>
  <c r="BL218" i="35"/>
  <c r="BE245" i="35"/>
  <c r="AV213" i="35"/>
  <c r="BH248" i="35"/>
  <c r="AY250" i="35"/>
  <c r="AV211" i="35"/>
  <c r="BC250" i="35"/>
  <c r="AR248" i="35"/>
  <c r="AZ212" i="35"/>
  <c r="BK203" i="35"/>
  <c r="BL245" i="35"/>
  <c r="AU249" i="35"/>
  <c r="AV214" i="35"/>
  <c r="AV254" i="35"/>
  <c r="AU255" i="35"/>
  <c r="BP214" i="35"/>
  <c r="BE256" i="35"/>
  <c r="BY216" i="35"/>
  <c r="AW250" i="35"/>
  <c r="AV212" i="35"/>
  <c r="BI251" i="35"/>
  <c r="AR205" i="35"/>
  <c r="BK213" i="35"/>
  <c r="BG203" i="35"/>
  <c r="BR202" i="35"/>
  <c r="BH256" i="35"/>
  <c r="BQ211" i="35"/>
  <c r="AS249" i="35"/>
  <c r="BQ214" i="35"/>
  <c r="AU250" i="35"/>
  <c r="BI204" i="35"/>
  <c r="AT251" i="35"/>
  <c r="BL212" i="35"/>
  <c r="BL250" i="35"/>
  <c r="AW215" i="35"/>
  <c r="BM249" i="35"/>
  <c r="BV252" i="35"/>
  <c r="BZ254" i="35"/>
  <c r="BM255" i="35"/>
  <c r="AY210" i="35"/>
  <c r="BR218" i="35"/>
  <c r="BW204" i="35"/>
  <c r="BK219" i="35"/>
  <c r="BG200" i="35"/>
  <c r="BG256" i="35"/>
  <c r="BC206" i="35"/>
  <c r="BM251" i="35"/>
  <c r="BR211" i="35"/>
  <c r="BU247" i="35"/>
  <c r="BL202" i="35"/>
  <c r="BA252" i="35"/>
  <c r="BE250" i="35"/>
  <c r="BI255" i="35"/>
  <c r="AR218" i="35"/>
  <c r="BG205" i="35"/>
  <c r="BR250" i="35"/>
  <c r="BH212" i="35"/>
  <c r="BE251" i="35"/>
  <c r="BR248" i="35"/>
  <c r="AY248" i="35"/>
  <c r="AZ245" i="35"/>
  <c r="BR207" i="35"/>
  <c r="BQ212" i="35"/>
  <c r="BF205" i="35"/>
  <c r="BE247" i="35"/>
  <c r="BW202" i="35"/>
  <c r="BU214" i="35"/>
  <c r="BM254" i="35"/>
  <c r="BL248" i="35"/>
  <c r="BF200" i="35"/>
  <c r="BB210" i="35"/>
  <c r="BJ213" i="35"/>
  <c r="BM208" i="35"/>
  <c r="BN214" i="35"/>
  <c r="BU203" i="35"/>
  <c r="BL254" i="35"/>
  <c r="BU217" i="35"/>
  <c r="AW213" i="35"/>
  <c r="BK251" i="35"/>
  <c r="BH211" i="35"/>
  <c r="BP256" i="35"/>
  <c r="AX251" i="35"/>
  <c r="BR251" i="35"/>
  <c r="AU219" i="35"/>
  <c r="BV253" i="35"/>
  <c r="BP205" i="35"/>
  <c r="AV218" i="35"/>
  <c r="BH202" i="35"/>
  <c r="BO257" i="35"/>
  <c r="BA217" i="35"/>
  <c r="AX209" i="35"/>
  <c r="AW208" i="35"/>
  <c r="AR219" i="35"/>
  <c r="AT203" i="35"/>
  <c r="AV216" i="35"/>
  <c r="BS206" i="35"/>
  <c r="BD252" i="35"/>
  <c r="BR254" i="35"/>
  <c r="BE214" i="35"/>
  <c r="BD257" i="35"/>
  <c r="BI217" i="35"/>
  <c r="BI200" i="35"/>
  <c r="BO207" i="35"/>
  <c r="AX200" i="35"/>
  <c r="BH200" i="35"/>
  <c r="AW214" i="35"/>
  <c r="BB253" i="35"/>
  <c r="BH201" i="35"/>
  <c r="BQ249" i="35"/>
  <c r="AR209" i="35"/>
  <c r="BZ257" i="35"/>
  <c r="BZ252" i="35"/>
  <c r="AZ215" i="35"/>
  <c r="AW258" i="35"/>
  <c r="AS258" i="35"/>
  <c r="BI258" i="35"/>
  <c r="BY258" i="35"/>
  <c r="BN211" i="35"/>
  <c r="BS212" i="35"/>
  <c r="AZ219" i="35"/>
  <c r="BT258" i="35"/>
  <c r="BS258" i="35"/>
  <c r="BU258" i="35"/>
  <c r="BB258" i="35"/>
  <c r="BV217" i="35"/>
  <c r="BG255" i="35"/>
  <c r="BA200" i="35"/>
  <c r="BO214" i="35"/>
  <c r="AV207" i="35"/>
  <c r="BP200" i="35"/>
  <c r="BL216" i="35"/>
  <c r="BD249" i="35"/>
  <c r="BK257" i="35"/>
  <c r="BW219" i="35"/>
  <c r="BQ216" i="35"/>
  <c r="BH210" i="35"/>
  <c r="BU209" i="35"/>
  <c r="BC216" i="35"/>
  <c r="BQ258" i="35"/>
  <c r="AZ200" i="35"/>
  <c r="AU215" i="35"/>
  <c r="BE255" i="35"/>
  <c r="BY200" i="35"/>
  <c r="BS254" i="35"/>
  <c r="BY206" i="35"/>
  <c r="BY256" i="35"/>
  <c r="BN209" i="35"/>
  <c r="AV219" i="35"/>
  <c r="AT257" i="35"/>
  <c r="AY205" i="35"/>
  <c r="AY257" i="35"/>
  <c r="AU245" i="35"/>
  <c r="BJ258" i="35"/>
  <c r="AV250" i="35"/>
  <c r="AZ207" i="35"/>
  <c r="BI207" i="35"/>
  <c r="AX258" i="35"/>
  <c r="BF212" i="35"/>
  <c r="BK255" i="35"/>
  <c r="BH206" i="35"/>
  <c r="BW215" i="35"/>
  <c r="AR249" i="35"/>
  <c r="AT250" i="35"/>
  <c r="BM203" i="35"/>
  <c r="BS211" i="35"/>
  <c r="AU205" i="35"/>
  <c r="BV201" i="35"/>
  <c r="BS218" i="35"/>
  <c r="BI215" i="35"/>
  <c r="BU251" i="35"/>
  <c r="BI210" i="35"/>
  <c r="BW206" i="35"/>
  <c r="BZ245" i="35"/>
  <c r="AR200" i="35"/>
  <c r="AV248" i="35"/>
  <c r="BG218" i="35"/>
  <c r="BB211" i="35"/>
  <c r="BH249" i="35"/>
  <c r="BO252" i="35"/>
  <c r="AW217" i="35"/>
  <c r="BJ211" i="35"/>
  <c r="BC249" i="35"/>
  <c r="BH209" i="35"/>
  <c r="BP212" i="35"/>
  <c r="BH252" i="35"/>
  <c r="BS202" i="35"/>
  <c r="AR256" i="35"/>
  <c r="BV209" i="35"/>
  <c r="BM248" i="35"/>
  <c r="BR252" i="35"/>
  <c r="AT207" i="35"/>
  <c r="BL213" i="35"/>
  <c r="BU218" i="35"/>
  <c r="BO212" i="35"/>
  <c r="AX256" i="35"/>
  <c r="AV206" i="35"/>
  <c r="BC209" i="35"/>
  <c r="BR249" i="35"/>
  <c r="BQ208" i="35"/>
  <c r="BO210" i="35"/>
  <c r="BN203" i="35"/>
  <c r="BL214" i="35"/>
  <c r="BJ218" i="35"/>
  <c r="BP250" i="35"/>
  <c r="BT245" i="35"/>
  <c r="BC245" i="35"/>
  <c r="AY215" i="35"/>
  <c r="BG250" i="35"/>
  <c r="AY249" i="35"/>
  <c r="BC214" i="35"/>
  <c r="BH247" i="35"/>
  <c r="BU250" i="35"/>
  <c r="AT213" i="35"/>
  <c r="BI206" i="35"/>
  <c r="BW208" i="35"/>
  <c r="BD213" i="35"/>
  <c r="BE201" i="35"/>
  <c r="BH214" i="35"/>
  <c r="BM206" i="35"/>
  <c r="BW252" i="35"/>
  <c r="BM245" i="35"/>
  <c r="BA245" i="35"/>
  <c r="BV250" i="35"/>
  <c r="BA255" i="35"/>
  <c r="BS215" i="35"/>
  <c r="BA254" i="35"/>
  <c r="AZ201" i="35"/>
  <c r="BP209" i="35"/>
  <c r="BM253" i="35"/>
  <c r="BL219" i="35"/>
  <c r="BJ214" i="35"/>
  <c r="BY250" i="35"/>
  <c r="AR212" i="35"/>
  <c r="AX252" i="35"/>
  <c r="BC200" i="35"/>
  <c r="BN250" i="35"/>
  <c r="AS212" i="35"/>
  <c r="AY214" i="35"/>
  <c r="BC212" i="35"/>
  <c r="BD210" i="35"/>
  <c r="AU254" i="35"/>
  <c r="BG204" i="35"/>
  <c r="BY252" i="35"/>
  <c r="BN201" i="35"/>
  <c r="BT252" i="35"/>
  <c r="BI253" i="35"/>
  <c r="BU249" i="35"/>
  <c r="BA211" i="35"/>
  <c r="BF207" i="35"/>
  <c r="BF201" i="35"/>
  <c r="BK252" i="35"/>
  <c r="BN216" i="35"/>
  <c r="BF210" i="35"/>
  <c r="AW256" i="35"/>
  <c r="BD208" i="35"/>
  <c r="BO215" i="35"/>
  <c r="BS251" i="35"/>
  <c r="BH218" i="35"/>
  <c r="BL255" i="35"/>
  <c r="BV203" i="35"/>
  <c r="AZ208" i="35"/>
  <c r="BB213" i="35"/>
  <c r="AT211" i="35"/>
  <c r="BY249" i="35"/>
  <c r="BZ216" i="35"/>
  <c r="BT207" i="35"/>
  <c r="BV254" i="35"/>
  <c r="AR216" i="35"/>
  <c r="AR257" i="35"/>
  <c r="BY218" i="35"/>
  <c r="BF254" i="35"/>
  <c r="AU201" i="35"/>
  <c r="BA208" i="35"/>
  <c r="AU202" i="35"/>
  <c r="BI250" i="35"/>
  <c r="BM202" i="35"/>
  <c r="BR219" i="35"/>
  <c r="BC219" i="35"/>
  <c r="AZ250" i="35"/>
  <c r="AU210" i="35"/>
  <c r="BT218" i="35"/>
  <c r="AV249" i="35"/>
  <c r="AT256" i="35"/>
  <c r="AX201" i="35"/>
  <c r="AR202" i="35"/>
  <c r="BI252" i="35"/>
  <c r="BA210" i="35"/>
  <c r="AX217" i="35"/>
  <c r="BL217" i="35"/>
  <c r="AZ203" i="35"/>
  <c r="AV258" i="35"/>
  <c r="AT258" i="35"/>
  <c r="AX208" i="35"/>
  <c r="BP249" i="35"/>
  <c r="BY217" i="35"/>
  <c r="AX212" i="35"/>
  <c r="BN213" i="35"/>
  <c r="BB255" i="35"/>
  <c r="BT200" i="35"/>
  <c r="AT201" i="35"/>
  <c r="BR256" i="35"/>
  <c r="AV245" i="35"/>
  <c r="BP204" i="35"/>
  <c r="BH208" i="35"/>
  <c r="BK258" i="35"/>
  <c r="BO253" i="35"/>
  <c r="BA201" i="35"/>
  <c r="BC217" i="35"/>
  <c r="AZ216" i="35"/>
  <c r="BD217" i="35"/>
  <c r="AY200" i="35"/>
  <c r="BU213" i="35"/>
  <c r="BG201" i="35"/>
  <c r="AV203" i="35"/>
  <c r="BN257" i="35"/>
  <c r="BO218" i="35"/>
  <c r="BE207" i="35"/>
  <c r="AW257" i="35"/>
  <c r="BZ249" i="35"/>
  <c r="BT214" i="35"/>
  <c r="AU218" i="35"/>
  <c r="BN258" i="35"/>
  <c r="BD254" i="35"/>
  <c r="BF252" i="35"/>
  <c r="AW251" i="35"/>
  <c r="AU256" i="35"/>
  <c r="BD251" i="35"/>
  <c r="BF219" i="35"/>
  <c r="BF209" i="35"/>
  <c r="BA253" i="35"/>
  <c r="BJ208" i="35"/>
  <c r="BS249" i="35"/>
  <c r="BZ256" i="35"/>
  <c r="BC248" i="35"/>
  <c r="BM204" i="35"/>
  <c r="BJ251" i="35"/>
  <c r="BF208" i="35"/>
  <c r="BI203" i="35"/>
  <c r="BG219" i="35"/>
  <c r="BY207" i="35"/>
  <c r="BK247" i="35"/>
  <c r="BQ202" i="35"/>
  <c r="BA251" i="35"/>
  <c r="BL210" i="35"/>
  <c r="AS202" i="35"/>
  <c r="AR247" i="35"/>
  <c r="BL204" i="35"/>
  <c r="BL253" i="35"/>
  <c r="BC215" i="35"/>
  <c r="AR251" i="35"/>
  <c r="BY247" i="35"/>
  <c r="AV253" i="35"/>
  <c r="AR206" i="35"/>
  <c r="BM219" i="35"/>
  <c r="BF255" i="35"/>
  <c r="BT219" i="35"/>
  <c r="BQ254" i="35"/>
  <c r="BB212" i="35"/>
  <c r="BO219" i="35"/>
  <c r="BB219" i="35"/>
  <c r="AR255" i="35"/>
  <c r="BW256" i="35"/>
  <c r="BF204" i="35"/>
  <c r="AX218" i="35"/>
  <c r="AV215" i="35"/>
  <c r="BA213" i="35"/>
  <c r="BK256" i="35"/>
  <c r="BY209" i="35"/>
  <c r="BU207" i="35"/>
  <c r="BS253" i="35"/>
  <c r="AX216" i="35"/>
  <c r="BN255" i="35"/>
  <c r="BB209" i="35"/>
  <c r="AZ247" i="35"/>
  <c r="BB245" i="35"/>
  <c r="BA203" i="35"/>
  <c r="AX207" i="35"/>
  <c r="BS250" i="35"/>
  <c r="AX249" i="35"/>
  <c r="BT247" i="35"/>
  <c r="BB247" i="35"/>
  <c r="BB218" i="35"/>
  <c r="BW200" i="35"/>
  <c r="BJ247" i="35"/>
  <c r="BP218" i="35"/>
  <c r="BB208" i="35"/>
  <c r="BG252" i="35"/>
  <c r="AW207" i="35"/>
  <c r="BG209" i="35"/>
  <c r="BE211" i="35"/>
  <c r="BR212" i="35"/>
  <c r="BZ218" i="35"/>
  <c r="BS252" i="35"/>
  <c r="BD255" i="35"/>
  <c r="BG249" i="35"/>
  <c r="BV205" i="35"/>
  <c r="BD245" i="35"/>
  <c r="BS214" i="35"/>
  <c r="BO217" i="35"/>
  <c r="BS247" i="35"/>
  <c r="BC213" i="35"/>
  <c r="BI218" i="35"/>
  <c r="BH255" i="35"/>
  <c r="AT219" i="35"/>
  <c r="BK245" i="35"/>
  <c r="BY212" i="35"/>
  <c r="BZ210" i="35"/>
  <c r="AY203" i="35"/>
  <c r="BL215" i="35"/>
  <c r="BO249" i="35"/>
  <c r="AT247" i="35"/>
  <c r="BP217" i="35"/>
  <c r="BV215" i="35"/>
  <c r="BU245" i="35"/>
  <c r="BA248" i="35"/>
  <c r="AY212" i="35"/>
  <c r="BP251" i="35"/>
  <c r="BZ201" i="35"/>
  <c r="BS217" i="35"/>
  <c r="BI205" i="35"/>
  <c r="BW216" i="35"/>
  <c r="BP206" i="35"/>
  <c r="BI219" i="35"/>
  <c r="BL257" i="35"/>
  <c r="AR253" i="35"/>
  <c r="BJ257" i="35"/>
  <c r="BB251" i="35"/>
  <c r="BB256" i="35"/>
  <c r="BB203" i="35"/>
  <c r="AY255" i="35"/>
  <c r="BI245" i="35"/>
  <c r="BD209" i="35"/>
  <c r="BF202" i="35"/>
  <c r="AS257" i="35"/>
  <c r="BZ214" i="35"/>
  <c r="BP211" i="35"/>
  <c r="BU254" i="35"/>
  <c r="BT257" i="35"/>
  <c r="BW245" i="35"/>
  <c r="AS216" i="35"/>
  <c r="AX257" i="35"/>
  <c r="BB217" i="35"/>
  <c r="AY204" i="35"/>
  <c r="BQ200" i="35"/>
  <c r="AS204" i="35"/>
  <c r="BR253" i="35"/>
  <c r="BU216" i="35"/>
  <c r="AX206" i="35"/>
  <c r="BT250" i="35"/>
  <c r="BP254" i="35"/>
  <c r="BM257" i="35"/>
  <c r="BT216" i="35"/>
  <c r="AS207" i="35"/>
  <c r="BE215" i="35"/>
  <c r="BV211" i="35"/>
  <c r="BU248" i="35"/>
  <c r="BN202" i="35"/>
  <c r="AS253" i="35"/>
  <c r="BO258" i="35"/>
  <c r="BE258" i="35"/>
  <c r="BK207" i="35"/>
  <c r="BJ204" i="35"/>
  <c r="BG202" i="35"/>
  <c r="AZ209" i="35"/>
  <c r="BN254" i="35"/>
  <c r="BG254" i="35"/>
  <c r="BU257" i="35"/>
  <c r="BG213" i="35"/>
  <c r="BW257" i="35"/>
  <c r="AT249" i="35"/>
  <c r="BO208" i="35"/>
  <c r="BR257" i="35"/>
  <c r="BM211" i="35"/>
  <c r="AV257" i="35"/>
  <c r="AZ258" i="35"/>
  <c r="BK216" i="35"/>
  <c r="AS206" i="35"/>
  <c r="AU212" i="35"/>
  <c r="BG248" i="35"/>
  <c r="BZ204" i="35"/>
  <c r="BW250" i="35"/>
  <c r="BU215" i="35"/>
  <c r="BM200" i="35"/>
  <c r="BF213" i="35"/>
  <c r="BQ210" i="35"/>
  <c r="BL207" i="35"/>
  <c r="BI211" i="35"/>
  <c r="BH213" i="35"/>
  <c r="BT256" i="35"/>
  <c r="BA258" i="35"/>
  <c r="BD248" i="35"/>
  <c r="BI213" i="35"/>
  <c r="BR216" i="35"/>
  <c r="BK210" i="35"/>
  <c r="Z213" i="35" l="1"/>
  <c r="Z201" i="35"/>
  <c r="Z254" i="35"/>
  <c r="Z202" i="35"/>
  <c r="Z255" i="35"/>
  <c r="Z248" i="35"/>
  <c r="Z211" i="35"/>
  <c r="Z204" i="35"/>
  <c r="Z208" i="35"/>
  <c r="Z205" i="35"/>
  <c r="Z247" i="35"/>
  <c r="Z251" i="35"/>
  <c r="Z249" i="35"/>
  <c r="Z209" i="35"/>
  <c r="Z200" i="35"/>
  <c r="Z252" i="35"/>
  <c r="Z216" i="35"/>
  <c r="Z210" i="35"/>
  <c r="Z250" i="35"/>
  <c r="Z214" i="35"/>
  <c r="Z203" i="35"/>
  <c r="Z207" i="35"/>
  <c r="Z218" i="35"/>
  <c r="Z219" i="35"/>
  <c r="Z253" i="35"/>
  <c r="Z215" i="35"/>
  <c r="Z212" i="35"/>
  <c r="Z206" i="35"/>
  <c r="Z217" i="35"/>
  <c r="Z256" i="35"/>
  <c r="Q258" i="35"/>
  <c r="AK258" i="35"/>
  <c r="AI258" i="35"/>
  <c r="AH258" i="35"/>
  <c r="AG258" i="35"/>
  <c r="AF258" i="35"/>
  <c r="AE258" i="35"/>
  <c r="AD258" i="35"/>
  <c r="AA257" i="35"/>
  <c r="Z257" i="35" s="1"/>
  <c r="R259" i="35"/>
  <c r="S259" i="35"/>
  <c r="T259" i="35"/>
  <c r="U259" i="35"/>
  <c r="V259" i="35"/>
  <c r="W259" i="35"/>
  <c r="X259" i="35"/>
  <c r="Y259" i="35"/>
  <c r="AJ259" i="35"/>
  <c r="AW259" i="35"/>
  <c r="BP259" i="35"/>
  <c r="BF259" i="35"/>
  <c r="AU259" i="35"/>
  <c r="BW259" i="35"/>
  <c r="AS259" i="35"/>
  <c r="BB259" i="35"/>
  <c r="AY259" i="35"/>
  <c r="BN259" i="35"/>
  <c r="BM259" i="35"/>
  <c r="AZ259" i="35"/>
  <c r="BQ259" i="35"/>
  <c r="BI259" i="35"/>
  <c r="BR259" i="35"/>
  <c r="BD259" i="35"/>
  <c r="BJ259" i="35"/>
  <c r="BS259" i="35"/>
  <c r="BK259" i="35"/>
  <c r="AT259" i="35"/>
  <c r="BV259" i="35"/>
  <c r="BA259" i="35"/>
  <c r="BU259" i="35"/>
  <c r="BH259" i="35"/>
  <c r="AR259" i="35"/>
  <c r="BO259" i="35"/>
  <c r="AX259" i="35"/>
  <c r="BG259" i="35"/>
  <c r="AV259" i="35"/>
  <c r="BZ259" i="35"/>
  <c r="BT259" i="35"/>
  <c r="BE259" i="35"/>
  <c r="BY259" i="35"/>
  <c r="BC259" i="35"/>
  <c r="BL259" i="35"/>
  <c r="O203" i="35" l="1" a="1"/>
  <c r="O203" i="35" s="1"/>
  <c r="N203" i="35" s="1"/>
  <c r="O201" i="35" a="1"/>
  <c r="O201" i="35" s="1"/>
  <c r="N201" i="35" s="1"/>
  <c r="O202" i="35" a="1"/>
  <c r="O202" i="35" s="1"/>
  <c r="N202" i="35" s="1"/>
  <c r="O204" i="35" a="1"/>
  <c r="O204" i="35" s="1"/>
  <c r="K204" i="35" s="1"/>
  <c r="L204" i="35" s="1"/>
  <c r="P202" i="35"/>
  <c r="I237" i="35" s="1"/>
  <c r="O200" i="35" a="1"/>
  <c r="O200" i="35" s="1"/>
  <c r="N200" i="35" s="1"/>
  <c r="P201" i="35"/>
  <c r="H237" i="35" s="1"/>
  <c r="P200" i="35"/>
  <c r="G237" i="35" s="1"/>
  <c r="O205" i="35" a="1"/>
  <c r="O205" i="35" s="1"/>
  <c r="K205" i="35" s="1"/>
  <c r="L205" i="35" s="1"/>
  <c r="Q259" i="35"/>
  <c r="AK259" i="35"/>
  <c r="AI259" i="35"/>
  <c r="AH259" i="35"/>
  <c r="AG259" i="35"/>
  <c r="AF259" i="35"/>
  <c r="AE259" i="35"/>
  <c r="AD259" i="35"/>
  <c r="AA258" i="35"/>
  <c r="Z258" i="35" s="1"/>
  <c r="R260" i="35"/>
  <c r="S260" i="35"/>
  <c r="T260" i="35"/>
  <c r="U260" i="35"/>
  <c r="V260" i="35"/>
  <c r="W260" i="35"/>
  <c r="X260" i="35"/>
  <c r="Y260" i="35"/>
  <c r="AJ260" i="35"/>
  <c r="AT260" i="35"/>
  <c r="BT260" i="35"/>
  <c r="BB260" i="35"/>
  <c r="BW260" i="35"/>
  <c r="BM260" i="35"/>
  <c r="BU260" i="35"/>
  <c r="BK260" i="35"/>
  <c r="AZ260" i="35"/>
  <c r="BZ260" i="35"/>
  <c r="BJ260" i="35"/>
  <c r="BP260" i="35"/>
  <c r="BQ260" i="35"/>
  <c r="BS260" i="35"/>
  <c r="AX260" i="35"/>
  <c r="BY260" i="35"/>
  <c r="BL260" i="35"/>
  <c r="BH260" i="35"/>
  <c r="BI260" i="35"/>
  <c r="BC260" i="35"/>
  <c r="AY260" i="35"/>
  <c r="BF260" i="35"/>
  <c r="BE260" i="35"/>
  <c r="BR260" i="35"/>
  <c r="AV260" i="35"/>
  <c r="BA260" i="35"/>
  <c r="BN260" i="35"/>
  <c r="AW260" i="35"/>
  <c r="BO260" i="35"/>
  <c r="AU260" i="35"/>
  <c r="BG260" i="35"/>
  <c r="AR260" i="35"/>
  <c r="BV260" i="35"/>
  <c r="BD260" i="35"/>
  <c r="AS260" i="35"/>
  <c r="K203" i="35" l="1"/>
  <c r="L203" i="35" s="1"/>
  <c r="K202" i="35"/>
  <c r="L202" i="35" s="1"/>
  <c r="K201" i="35"/>
  <c r="L201" i="35" s="1"/>
  <c r="N204" i="35"/>
  <c r="I195" i="35"/>
  <c r="I212" i="35" s="1"/>
  <c r="G198" i="35"/>
  <c r="G195" i="35"/>
  <c r="G203" i="35" s="1"/>
  <c r="I198" i="35"/>
  <c r="H195" i="35"/>
  <c r="H205" i="35" s="1"/>
  <c r="N205" i="35"/>
  <c r="H198" i="35"/>
  <c r="K200" i="35"/>
  <c r="L200" i="35" s="1"/>
  <c r="Q260" i="35"/>
  <c r="AK260" i="35"/>
  <c r="AI260" i="35"/>
  <c r="AH260" i="35"/>
  <c r="AG260" i="35"/>
  <c r="AF260" i="35"/>
  <c r="AE260" i="35"/>
  <c r="AD260" i="35"/>
  <c r="AA259" i="35"/>
  <c r="Z259" i="35" s="1"/>
  <c r="R261" i="35"/>
  <c r="S261" i="35"/>
  <c r="T261" i="35"/>
  <c r="U261" i="35"/>
  <c r="V261" i="35"/>
  <c r="W261" i="35"/>
  <c r="X261" i="35"/>
  <c r="Y261" i="35"/>
  <c r="AJ261" i="35"/>
  <c r="BV261" i="35"/>
  <c r="AV261" i="35"/>
  <c r="AU261" i="35"/>
  <c r="BT261" i="35"/>
  <c r="AY261" i="35"/>
  <c r="BC261" i="35"/>
  <c r="BZ261" i="35"/>
  <c r="BU261" i="35"/>
  <c r="BY261" i="35"/>
  <c r="BG261" i="35"/>
  <c r="BW261" i="35"/>
  <c r="BI261" i="35"/>
  <c r="BP261" i="35"/>
  <c r="AR261" i="35"/>
  <c r="BJ261" i="35"/>
  <c r="BF261" i="35"/>
  <c r="AT261" i="35"/>
  <c r="BS261" i="35"/>
  <c r="BN261" i="35"/>
  <c r="BO261" i="35"/>
  <c r="BA261" i="35"/>
  <c r="BD261" i="35"/>
  <c r="BK261" i="35"/>
  <c r="AS261" i="35"/>
  <c r="BH261" i="35"/>
  <c r="AZ261" i="35"/>
  <c r="BB261" i="35"/>
  <c r="AX261" i="35"/>
  <c r="BL261" i="35"/>
  <c r="AW261" i="35"/>
  <c r="BE261" i="35"/>
  <c r="BM261" i="35"/>
  <c r="BR261" i="35"/>
  <c r="BQ261" i="35"/>
  <c r="H222" i="35" l="1"/>
  <c r="H219" i="35"/>
  <c r="I210" i="35"/>
  <c r="H230" i="35"/>
  <c r="H206" i="35"/>
  <c r="H212" i="35"/>
  <c r="H200" i="35"/>
  <c r="G227" i="35"/>
  <c r="G205" i="35"/>
  <c r="G230" i="35"/>
  <c r="G199" i="35"/>
  <c r="G233" i="35"/>
  <c r="G211" i="35"/>
  <c r="I205" i="35"/>
  <c r="G204" i="35"/>
  <c r="I211" i="35"/>
  <c r="G221" i="35"/>
  <c r="H221" i="35"/>
  <c r="I217" i="35"/>
  <c r="I225" i="35"/>
  <c r="H232" i="35"/>
  <c r="I231" i="35"/>
  <c r="I207" i="35"/>
  <c r="I233" i="35"/>
  <c r="I227" i="35"/>
  <c r="H227" i="35"/>
  <c r="I214" i="35"/>
  <c r="I222" i="35"/>
  <c r="H210" i="35"/>
  <c r="H202" i="35"/>
  <c r="I224" i="35"/>
  <c r="I223" i="35"/>
  <c r="H199" i="35"/>
  <c r="H224" i="35"/>
  <c r="I202" i="35"/>
  <c r="G231" i="35"/>
  <c r="G213" i="35"/>
  <c r="H203" i="35"/>
  <c r="G210" i="35"/>
  <c r="I221" i="35"/>
  <c r="G219" i="35"/>
  <c r="I208" i="35"/>
  <c r="G225" i="35"/>
  <c r="G214" i="35"/>
  <c r="G218" i="35"/>
  <c r="H226" i="35"/>
  <c r="H207" i="35"/>
  <c r="H223" i="35"/>
  <c r="H208" i="35"/>
  <c r="G228" i="35"/>
  <c r="I203" i="35"/>
  <c r="I218" i="35"/>
  <c r="G207" i="35"/>
  <c r="H228" i="35"/>
  <c r="H213" i="35"/>
  <c r="G202" i="35"/>
  <c r="H225" i="35"/>
  <c r="G232" i="35"/>
  <c r="I226" i="35"/>
  <c r="I219" i="35"/>
  <c r="I228" i="35"/>
  <c r="G212" i="35"/>
  <c r="G223" i="35"/>
  <c r="G200" i="35"/>
  <c r="G201" i="35"/>
  <c r="G208" i="35"/>
  <c r="G222" i="35"/>
  <c r="G217" i="35"/>
  <c r="I199" i="35"/>
  <c r="I232" i="35"/>
  <c r="G224" i="35"/>
  <c r="H231" i="35"/>
  <c r="H218" i="35"/>
  <c r="H214" i="35"/>
  <c r="H233" i="35"/>
  <c r="G220" i="35"/>
  <c r="I209" i="35"/>
  <c r="G206" i="35"/>
  <c r="I201" i="35"/>
  <c r="I204" i="35"/>
  <c r="I220" i="35"/>
  <c r="H204" i="35"/>
  <c r="H211" i="35"/>
  <c r="H220" i="35"/>
  <c r="G226" i="35"/>
  <c r="H201" i="35"/>
  <c r="H217" i="35"/>
  <c r="H209" i="35"/>
  <c r="G209" i="35"/>
  <c r="I213" i="35"/>
  <c r="I200" i="35"/>
  <c r="I206" i="35"/>
  <c r="I230" i="35"/>
  <c r="Q261" i="35"/>
  <c r="AK261" i="35"/>
  <c r="AI261" i="35"/>
  <c r="AH261" i="35"/>
  <c r="AG261" i="35"/>
  <c r="AF261" i="35"/>
  <c r="AE261" i="35"/>
  <c r="AD261" i="35"/>
  <c r="AA260" i="35"/>
  <c r="Z260" i="35" s="1"/>
  <c r="R262" i="35"/>
  <c r="S262" i="35"/>
  <c r="T262" i="35"/>
  <c r="U262" i="35"/>
  <c r="V262" i="35"/>
  <c r="W262" i="35"/>
  <c r="X262" i="35"/>
  <c r="Y262" i="35"/>
  <c r="AJ262" i="35"/>
  <c r="BO262" i="35"/>
  <c r="AT262" i="35"/>
  <c r="BN262" i="35"/>
  <c r="BR262" i="35"/>
  <c r="BU262" i="35"/>
  <c r="BS262" i="35"/>
  <c r="BB262" i="35"/>
  <c r="AZ262" i="35"/>
  <c r="AW262" i="35"/>
  <c r="BW262" i="35"/>
  <c r="BC262" i="35"/>
  <c r="BH262" i="35"/>
  <c r="BK262" i="35"/>
  <c r="AU262" i="35"/>
  <c r="BD262" i="35"/>
  <c r="BZ262" i="35"/>
  <c r="BM262" i="35"/>
  <c r="BV262" i="35"/>
  <c r="BY262" i="35"/>
  <c r="AX262" i="35"/>
  <c r="AV262" i="35"/>
  <c r="BA262" i="35"/>
  <c r="AS262" i="35"/>
  <c r="BF262" i="35"/>
  <c r="BL262" i="35"/>
  <c r="AY262" i="35"/>
  <c r="BT262" i="35"/>
  <c r="AR262" i="35"/>
  <c r="BQ262" i="35"/>
  <c r="BE262" i="35"/>
  <c r="BJ262" i="35"/>
  <c r="BG262" i="35"/>
  <c r="BP262" i="35"/>
  <c r="BI262" i="35"/>
  <c r="Q262" i="35" l="1"/>
  <c r="AK262" i="35"/>
  <c r="AI262" i="35"/>
  <c r="AH262" i="35"/>
  <c r="AG262" i="35"/>
  <c r="AF262" i="35"/>
  <c r="AE262" i="35"/>
  <c r="AD262" i="35"/>
  <c r="AA261" i="35"/>
  <c r="Z261" i="35" s="1"/>
  <c r="R263" i="35"/>
  <c r="S263" i="35"/>
  <c r="T263" i="35"/>
  <c r="U263" i="35"/>
  <c r="V263" i="35"/>
  <c r="W263" i="35"/>
  <c r="X263" i="35"/>
  <c r="Y263" i="35"/>
  <c r="AJ263" i="35"/>
  <c r="BO263" i="35"/>
  <c r="AT263" i="35"/>
  <c r="BP263" i="35"/>
  <c r="BT263" i="35"/>
  <c r="BR263" i="35"/>
  <c r="BV263" i="35"/>
  <c r="BA263" i="35"/>
  <c r="BW263" i="35"/>
  <c r="BB263" i="35"/>
  <c r="BK263" i="35"/>
  <c r="BQ263" i="35"/>
  <c r="BS263" i="35"/>
  <c r="BY263" i="35"/>
  <c r="BI263" i="35"/>
  <c r="AZ263" i="35"/>
  <c r="BL263" i="35"/>
  <c r="BH263" i="35"/>
  <c r="AX263" i="35"/>
  <c r="AY263" i="35"/>
  <c r="BU263" i="35"/>
  <c r="BN263" i="35"/>
  <c r="AS263" i="35"/>
  <c r="AW263" i="35"/>
  <c r="BE263" i="35"/>
  <c r="BM263" i="35"/>
  <c r="AR263" i="35"/>
  <c r="BD263" i="35"/>
  <c r="BC263" i="35"/>
  <c r="BG263" i="35"/>
  <c r="AV263" i="35"/>
  <c r="BZ263" i="35"/>
  <c r="BF263" i="35"/>
  <c r="BJ263" i="35"/>
  <c r="AU263" i="35"/>
  <c r="Q263" i="35" l="1"/>
  <c r="AK263" i="35"/>
  <c r="AI263" i="35"/>
  <c r="AH263" i="35"/>
  <c r="AG263" i="35"/>
  <c r="AF263" i="35"/>
  <c r="AE263" i="35"/>
  <c r="AD263" i="35"/>
  <c r="AA262" i="35"/>
  <c r="Z262" i="35" s="1"/>
  <c r="R264" i="35"/>
  <c r="S264" i="35"/>
  <c r="T264" i="35"/>
  <c r="U264" i="35"/>
  <c r="V264" i="35"/>
  <c r="W264" i="35"/>
  <c r="X264" i="35"/>
  <c r="Y264" i="35"/>
  <c r="AJ264" i="35"/>
  <c r="BS264" i="35"/>
  <c r="BD264" i="35"/>
  <c r="BV264" i="35"/>
  <c r="AT264" i="35"/>
  <c r="BJ264" i="35"/>
  <c r="AU264" i="35"/>
  <c r="BE264" i="35"/>
  <c r="BN264" i="35"/>
  <c r="AZ264" i="35"/>
  <c r="BG264" i="35"/>
  <c r="BO264" i="35"/>
  <c r="BB264" i="35"/>
  <c r="BL264" i="35"/>
  <c r="BW264" i="35"/>
  <c r="AV264" i="35"/>
  <c r="BF264" i="35"/>
  <c r="BC264" i="35"/>
  <c r="BI264" i="35"/>
  <c r="BM264" i="35"/>
  <c r="AY264" i="35"/>
  <c r="AR264" i="35"/>
  <c r="AX264" i="35"/>
  <c r="AW264" i="35"/>
  <c r="AS264" i="35"/>
  <c r="BK264" i="35"/>
  <c r="BT264" i="35"/>
  <c r="BQ264" i="35"/>
  <c r="BZ264" i="35"/>
  <c r="BR264" i="35"/>
  <c r="BH264" i="35"/>
  <c r="BU264" i="35"/>
  <c r="BP264" i="35"/>
  <c r="BA264" i="35"/>
  <c r="BY264" i="35"/>
  <c r="Q264" i="35" l="1"/>
  <c r="AK264" i="35"/>
  <c r="AI264" i="35"/>
  <c r="AH264" i="35"/>
  <c r="AG264" i="35"/>
  <c r="AF264" i="35"/>
  <c r="AE264" i="35"/>
  <c r="AD264" i="35"/>
  <c r="AA263" i="35"/>
  <c r="Z263" i="35" s="1"/>
  <c r="D265" i="35"/>
  <c r="R265" i="35"/>
  <c r="S265" i="35"/>
  <c r="T265" i="35"/>
  <c r="U265" i="35"/>
  <c r="V265" i="35"/>
  <c r="W265" i="35"/>
  <c r="X265" i="35"/>
  <c r="Y265" i="35"/>
  <c r="AJ265" i="35"/>
  <c r="BH265" i="35"/>
  <c r="AU265" i="35"/>
  <c r="BZ265" i="35"/>
  <c r="BC265" i="35"/>
  <c r="AT265" i="35"/>
  <c r="BJ265" i="35"/>
  <c r="BN265" i="35"/>
  <c r="BA265" i="35"/>
  <c r="AS265" i="35"/>
  <c r="BO265" i="35"/>
  <c r="BQ265" i="35"/>
  <c r="BV265" i="35"/>
  <c r="BF265" i="35"/>
  <c r="AV265" i="35"/>
  <c r="BL265" i="35"/>
  <c r="AY265" i="35"/>
  <c r="BG265" i="35"/>
  <c r="BT265" i="35"/>
  <c r="BW265" i="35"/>
  <c r="BP265" i="35"/>
  <c r="BB265" i="35"/>
  <c r="BS265" i="35"/>
  <c r="BY265" i="35"/>
  <c r="AZ265" i="35"/>
  <c r="AW265" i="35"/>
  <c r="BI265" i="35"/>
  <c r="BU265" i="35"/>
  <c r="BR265" i="35"/>
  <c r="BK265" i="35"/>
  <c r="BM265" i="35"/>
  <c r="BE265" i="35"/>
  <c r="AX265" i="35"/>
  <c r="AR265" i="35"/>
  <c r="BD265" i="35"/>
  <c r="Q265" i="35" l="1"/>
  <c r="AK265" i="35"/>
  <c r="AI265" i="35"/>
  <c r="AH265" i="35"/>
  <c r="AG265" i="35"/>
  <c r="AF265" i="35"/>
  <c r="AE265" i="35"/>
  <c r="AD265" i="35"/>
  <c r="AA264" i="35"/>
  <c r="Z264" i="35" s="1"/>
  <c r="D266" i="35"/>
  <c r="R266" i="35"/>
  <c r="S266" i="35"/>
  <c r="T266" i="35"/>
  <c r="U266" i="35"/>
  <c r="V266" i="35"/>
  <c r="W266" i="35"/>
  <c r="X266" i="35"/>
  <c r="Y266" i="35"/>
  <c r="AJ266" i="35"/>
  <c r="BD266" i="35"/>
  <c r="AS266" i="35"/>
  <c r="AV266" i="35"/>
  <c r="BO266" i="35"/>
  <c r="AR266" i="35"/>
  <c r="BE266" i="35"/>
  <c r="AU266" i="35"/>
  <c r="BQ266" i="35"/>
  <c r="BK266" i="35"/>
  <c r="BW266" i="35"/>
  <c r="BI266" i="35"/>
  <c r="BC266" i="35"/>
  <c r="AW266" i="35"/>
  <c r="BF266" i="35"/>
  <c r="BZ266" i="35"/>
  <c r="BN266" i="35"/>
  <c r="BL266" i="35"/>
  <c r="BS266" i="35"/>
  <c r="BA266" i="35"/>
  <c r="BJ266" i="35"/>
  <c r="BP266" i="35"/>
  <c r="BG266" i="35"/>
  <c r="BU266" i="35"/>
  <c r="AX266" i="35"/>
  <c r="AY266" i="35"/>
  <c r="BM266" i="35"/>
  <c r="BB266" i="35"/>
  <c r="BT266" i="35"/>
  <c r="AZ266" i="35"/>
  <c r="BH266" i="35"/>
  <c r="AT266" i="35"/>
  <c r="BV266" i="35"/>
  <c r="BR266" i="35"/>
  <c r="BY266" i="35"/>
  <c r="Q266" i="35" l="1"/>
  <c r="AK266" i="35"/>
  <c r="AI266" i="35"/>
  <c r="AH266" i="35"/>
  <c r="AG266" i="35"/>
  <c r="AF266" i="35"/>
  <c r="AE266" i="35"/>
  <c r="AD266" i="35"/>
  <c r="AA265" i="35"/>
  <c r="Z265" i="35" s="1"/>
  <c r="AA266" i="35" l="1"/>
  <c r="Z266" i="35" s="1"/>
  <c r="D268" i="35"/>
  <c r="D269" i="35" l="1"/>
  <c r="D271" i="35" l="1"/>
  <c r="D272" i="35"/>
  <c r="D274" i="35"/>
  <c r="D275" i="35"/>
  <c r="AR291" i="35"/>
  <c r="AS291" i="35"/>
  <c r="AT291" i="35"/>
  <c r="AU291" i="35"/>
  <c r="AV291" i="35"/>
  <c r="AW291" i="35"/>
  <c r="AX291" i="35"/>
  <c r="AY291" i="35"/>
  <c r="AZ291" i="35"/>
  <c r="BA291" i="35"/>
  <c r="BB291" i="35"/>
  <c r="BC291" i="35"/>
  <c r="BD291" i="35"/>
  <c r="BE291" i="35"/>
  <c r="BF291" i="35"/>
  <c r="AC292" i="35"/>
  <c r="BG292" i="35"/>
  <c r="BH292" i="35"/>
  <c r="BR292" i="35"/>
  <c r="AY292" i="35"/>
  <c r="BW292" i="35"/>
  <c r="AW292" i="35"/>
  <c r="BU292" i="35"/>
  <c r="BD292" i="35"/>
  <c r="BV292" i="35"/>
  <c r="BC292" i="35"/>
  <c r="BZ292" i="35"/>
  <c r="BK292" i="35"/>
  <c r="BF292" i="35"/>
  <c r="BT292" i="35"/>
  <c r="BJ292" i="35"/>
  <c r="BO292" i="35"/>
  <c r="AT292" i="35"/>
  <c r="AS292" i="35"/>
  <c r="BL292" i="35"/>
  <c r="BB292" i="35"/>
  <c r="BQ292" i="35"/>
  <c r="BP292" i="35"/>
  <c r="BY292" i="35"/>
  <c r="AU292" i="35"/>
  <c r="AR292" i="35"/>
  <c r="BS292" i="35"/>
  <c r="BA292" i="35"/>
  <c r="AX292" i="35"/>
  <c r="BN292" i="35"/>
  <c r="BE292" i="35"/>
  <c r="BM292" i="35"/>
  <c r="AZ292" i="35"/>
  <c r="BI292" i="35"/>
  <c r="AV292" i="35"/>
  <c r="AK292" i="35" l="1"/>
  <c r="AJ292" i="35"/>
  <c r="AI292" i="35"/>
  <c r="AH292" i="35"/>
  <c r="AG292" i="35"/>
  <c r="AF292" i="35"/>
  <c r="AE292" i="35"/>
  <c r="AD292" i="35"/>
  <c r="AB292" i="35"/>
  <c r="O252" i="35" a="1"/>
  <c r="O252" i="35" s="1"/>
  <c r="R294" i="35"/>
  <c r="S294" i="35"/>
  <c r="T294" i="35"/>
  <c r="U294" i="35"/>
  <c r="V294" i="35"/>
  <c r="W294" i="35"/>
  <c r="X294" i="35"/>
  <c r="Y294" i="35"/>
  <c r="AJ294" i="35"/>
  <c r="BM294" i="35"/>
  <c r="BB294" i="35"/>
  <c r="BJ294" i="35"/>
  <c r="BW294" i="35"/>
  <c r="BF294" i="35"/>
  <c r="BN294" i="35"/>
  <c r="BY294" i="35"/>
  <c r="BO294" i="35"/>
  <c r="BV294" i="35"/>
  <c r="AY294" i="35"/>
  <c r="BI294" i="35"/>
  <c r="BH294" i="35"/>
  <c r="BK294" i="35"/>
  <c r="AS294" i="35"/>
  <c r="AZ294" i="35"/>
  <c r="BL294" i="35"/>
  <c r="BR294" i="35"/>
  <c r="BZ294" i="35"/>
  <c r="BG294" i="35"/>
  <c r="BU294" i="35"/>
  <c r="AX294" i="35"/>
  <c r="BD294" i="35"/>
  <c r="BQ294" i="35"/>
  <c r="AW294" i="35"/>
  <c r="BP294" i="35"/>
  <c r="AR294" i="35"/>
  <c r="BE294" i="35"/>
  <c r="AU294" i="35"/>
  <c r="BA294" i="35"/>
  <c r="AT294" i="35"/>
  <c r="BC294" i="35"/>
  <c r="AV294" i="35"/>
  <c r="BS294" i="35"/>
  <c r="BT294" i="35"/>
  <c r="O247" i="35" l="1" a="1"/>
  <c r="O247" i="35" s="1"/>
  <c r="K247" i="35" s="1"/>
  <c r="L247" i="35" s="1"/>
  <c r="O249" i="35" a="1"/>
  <c r="O249" i="35" s="1"/>
  <c r="K249" i="35" s="1"/>
  <c r="L249" i="35" s="1"/>
  <c r="Q294" i="35"/>
  <c r="AK294" i="35"/>
  <c r="AI294" i="35"/>
  <c r="AH294" i="35"/>
  <c r="AG294" i="35"/>
  <c r="AF294" i="35"/>
  <c r="AE294" i="35"/>
  <c r="AD294" i="35"/>
  <c r="N252" i="35"/>
  <c r="K252" i="35"/>
  <c r="L252" i="35" s="1"/>
  <c r="P248" i="35"/>
  <c r="H284" i="35" s="1"/>
  <c r="P249" i="35"/>
  <c r="I284" i="35" s="1"/>
  <c r="P247" i="35"/>
  <c r="G284" i="35" s="1"/>
  <c r="O251" i="35" a="1"/>
  <c r="O251" i="35" s="1"/>
  <c r="O250" i="35" a="1"/>
  <c r="O250" i="35" s="1"/>
  <c r="O248" i="35" a="1"/>
  <c r="O248" i="35" s="1"/>
  <c r="AA292" i="35"/>
  <c r="R295" i="35"/>
  <c r="S295" i="35"/>
  <c r="T295" i="35"/>
  <c r="U295" i="35"/>
  <c r="V295" i="35"/>
  <c r="W295" i="35"/>
  <c r="X295" i="35"/>
  <c r="Y295" i="35"/>
  <c r="AJ295" i="35"/>
  <c r="AU295" i="35"/>
  <c r="BC295" i="35"/>
  <c r="BT295" i="35"/>
  <c r="BS295" i="35"/>
  <c r="BU295" i="35"/>
  <c r="BI295" i="35"/>
  <c r="BA295" i="35"/>
  <c r="BZ295" i="35"/>
  <c r="BG295" i="35"/>
  <c r="BW295" i="35"/>
  <c r="BY295" i="35"/>
  <c r="AR295" i="35"/>
  <c r="AS295" i="35"/>
  <c r="AY295" i="35"/>
  <c r="BM295" i="35"/>
  <c r="BK295" i="35"/>
  <c r="BQ295" i="35"/>
  <c r="BD295" i="35"/>
  <c r="BO295" i="35"/>
  <c r="AT295" i="35"/>
  <c r="BB295" i="35"/>
  <c r="BE295" i="35"/>
  <c r="AV295" i="35"/>
  <c r="BF295" i="35"/>
  <c r="BR295" i="35"/>
  <c r="BN295" i="35"/>
  <c r="BV295" i="35"/>
  <c r="BH295" i="35"/>
  <c r="BP295" i="35"/>
  <c r="AW295" i="35"/>
  <c r="AZ295" i="35"/>
  <c r="BJ295" i="35"/>
  <c r="BL295" i="35"/>
  <c r="AX295" i="35"/>
  <c r="I245" i="35" l="1"/>
  <c r="G245" i="35"/>
  <c r="H245" i="35"/>
  <c r="N249" i="35"/>
  <c r="N247" i="35"/>
  <c r="Q295" i="35"/>
  <c r="AK295" i="35"/>
  <c r="AI295" i="35"/>
  <c r="AH295" i="35"/>
  <c r="AG295" i="35"/>
  <c r="AF295" i="35"/>
  <c r="AE295" i="35"/>
  <c r="AD295" i="35"/>
  <c r="H242" i="35"/>
  <c r="K250" i="35"/>
  <c r="L250" i="35" s="1"/>
  <c r="N250" i="35"/>
  <c r="I242" i="35"/>
  <c r="AA294" i="35"/>
  <c r="Z294" i="35" s="1"/>
  <c r="N248" i="35"/>
  <c r="K248" i="35"/>
  <c r="L248" i="35" s="1"/>
  <c r="K251" i="35"/>
  <c r="L251" i="35" s="1"/>
  <c r="N251" i="35"/>
  <c r="G242" i="35"/>
  <c r="R296" i="35"/>
  <c r="S296" i="35"/>
  <c r="T296" i="35"/>
  <c r="U296" i="35"/>
  <c r="V296" i="35"/>
  <c r="W296" i="35"/>
  <c r="X296" i="35"/>
  <c r="Y296" i="35"/>
  <c r="AJ296" i="35"/>
  <c r="BU296" i="35"/>
  <c r="BP296" i="35"/>
  <c r="BY296" i="35"/>
  <c r="BJ296" i="35"/>
  <c r="AW296" i="35"/>
  <c r="BC296" i="35"/>
  <c r="BE296" i="35"/>
  <c r="BG296" i="35"/>
  <c r="AY296" i="35"/>
  <c r="BH296" i="35"/>
  <c r="BI296" i="35"/>
  <c r="BW296" i="35"/>
  <c r="BZ296" i="35"/>
  <c r="BK296" i="35"/>
  <c r="BQ296" i="35"/>
  <c r="AT296" i="35"/>
  <c r="AS296" i="35"/>
  <c r="AV296" i="35"/>
  <c r="BN296" i="35"/>
  <c r="BF296" i="35"/>
  <c r="BA296" i="35"/>
  <c r="AZ296" i="35"/>
  <c r="AX296" i="35"/>
  <c r="BR296" i="35"/>
  <c r="BL296" i="35"/>
  <c r="BV296" i="35"/>
  <c r="BT296" i="35"/>
  <c r="BS296" i="35"/>
  <c r="BB296" i="35"/>
  <c r="AR296" i="35"/>
  <c r="BD296" i="35"/>
  <c r="BO296" i="35"/>
  <c r="BM296" i="35"/>
  <c r="AU296" i="35"/>
  <c r="Q296" i="35" l="1"/>
  <c r="AK296" i="35"/>
  <c r="AI296" i="35"/>
  <c r="AH296" i="35"/>
  <c r="AG296" i="35"/>
  <c r="AF296" i="35"/>
  <c r="AE296" i="35"/>
  <c r="AD296" i="35"/>
  <c r="I247" i="35"/>
  <c r="I246" i="35"/>
  <c r="I248" i="35"/>
  <c r="I249" i="35"/>
  <c r="I250" i="35"/>
  <c r="I251" i="35"/>
  <c r="I252" i="35"/>
  <c r="I253" i="35"/>
  <c r="I254" i="35"/>
  <c r="I255" i="35"/>
  <c r="I256" i="35"/>
  <c r="I257" i="35"/>
  <c r="I258" i="35"/>
  <c r="I259" i="35"/>
  <c r="I260" i="35"/>
  <c r="I261" i="35"/>
  <c r="I264" i="35"/>
  <c r="I265" i="35"/>
  <c r="I266" i="35"/>
  <c r="I267" i="35"/>
  <c r="I268" i="35"/>
  <c r="I269" i="35"/>
  <c r="I270" i="35"/>
  <c r="I277" i="35"/>
  <c r="I280" i="35"/>
  <c r="I271" i="35"/>
  <c r="I274" i="35"/>
  <c r="I278" i="35"/>
  <c r="I272" i="35"/>
  <c r="I273" i="35"/>
  <c r="I275" i="35"/>
  <c r="I279" i="35"/>
  <c r="H247" i="35"/>
  <c r="H246" i="35"/>
  <c r="H248" i="35"/>
  <c r="H249" i="35"/>
  <c r="H250" i="35"/>
  <c r="H251" i="35"/>
  <c r="H252" i="35"/>
  <c r="H253" i="35"/>
  <c r="H254" i="35"/>
  <c r="H255" i="35"/>
  <c r="H256" i="35"/>
  <c r="H257" i="35"/>
  <c r="H258" i="35"/>
  <c r="H259" i="35"/>
  <c r="H260" i="35"/>
  <c r="H261" i="35"/>
  <c r="H264" i="35"/>
  <c r="H265" i="35"/>
  <c r="H266" i="35"/>
  <c r="H267" i="35"/>
  <c r="H268" i="35"/>
  <c r="H269" i="35"/>
  <c r="H270" i="35"/>
  <c r="H271" i="35"/>
  <c r="H274" i="35"/>
  <c r="H275" i="35"/>
  <c r="H278" i="35"/>
  <c r="H272" i="35"/>
  <c r="H279" i="35"/>
  <c r="H277" i="35"/>
  <c r="H280" i="35"/>
  <c r="H273" i="35"/>
  <c r="AA295" i="35"/>
  <c r="Z295" i="35" s="1"/>
  <c r="G247" i="35"/>
  <c r="G246" i="35"/>
  <c r="G248" i="35"/>
  <c r="G249" i="35"/>
  <c r="G250" i="35"/>
  <c r="G251" i="35"/>
  <c r="G252" i="35"/>
  <c r="G253" i="35"/>
  <c r="G254" i="35"/>
  <c r="G255" i="35"/>
  <c r="G256" i="35"/>
  <c r="G257" i="35"/>
  <c r="G258" i="35"/>
  <c r="G259" i="35"/>
  <c r="G260" i="35"/>
  <c r="G261" i="35"/>
  <c r="G264" i="35"/>
  <c r="G265" i="35"/>
  <c r="G266" i="35"/>
  <c r="G267" i="35"/>
  <c r="G268" i="35"/>
  <c r="G269" i="35"/>
  <c r="G270" i="35"/>
  <c r="G274" i="35"/>
  <c r="G278" i="35"/>
  <c r="G275" i="35"/>
  <c r="G272" i="35"/>
  <c r="G279" i="35"/>
  <c r="G280" i="35"/>
  <c r="G271" i="35"/>
  <c r="G273" i="35"/>
  <c r="G277" i="35"/>
  <c r="R297" i="35"/>
  <c r="S297" i="35"/>
  <c r="T297" i="35"/>
  <c r="U297" i="35"/>
  <c r="V297" i="35"/>
  <c r="W297" i="35"/>
  <c r="X297" i="35"/>
  <c r="Y297" i="35"/>
  <c r="AJ297" i="35"/>
  <c r="BZ297" i="35"/>
  <c r="BC297" i="35"/>
  <c r="BM297" i="35"/>
  <c r="BK297" i="35"/>
  <c r="AS297" i="35"/>
  <c r="AW297" i="35"/>
  <c r="BD297" i="35"/>
  <c r="BW297" i="35"/>
  <c r="AT297" i="35"/>
  <c r="BH297" i="35"/>
  <c r="BE297" i="35"/>
  <c r="BA297" i="35"/>
  <c r="AY297" i="35"/>
  <c r="BT297" i="35"/>
  <c r="BY297" i="35"/>
  <c r="BJ297" i="35"/>
  <c r="AV297" i="35"/>
  <c r="BO297" i="35"/>
  <c r="BI297" i="35"/>
  <c r="BP297" i="35"/>
  <c r="BQ297" i="35"/>
  <c r="BG297" i="35"/>
  <c r="BS297" i="35"/>
  <c r="BN297" i="35"/>
  <c r="BF297" i="35"/>
  <c r="BU297" i="35"/>
  <c r="AU297" i="35"/>
  <c r="AZ297" i="35"/>
  <c r="BR297" i="35"/>
  <c r="BV297" i="35"/>
  <c r="AR297" i="35"/>
  <c r="BL297" i="35"/>
  <c r="AX297" i="35"/>
  <c r="BB297" i="35"/>
  <c r="Q297" i="35" l="1"/>
  <c r="AK297" i="35"/>
  <c r="AI297" i="35"/>
  <c r="AH297" i="35"/>
  <c r="AG297" i="35"/>
  <c r="AF297" i="35"/>
  <c r="AE297" i="35"/>
  <c r="AD297" i="35"/>
  <c r="AA296" i="35"/>
  <c r="Z296" i="35" s="1"/>
  <c r="R298" i="35"/>
  <c r="S298" i="35"/>
  <c r="T298" i="35"/>
  <c r="U298" i="35"/>
  <c r="V298" i="35"/>
  <c r="W298" i="35"/>
  <c r="X298" i="35"/>
  <c r="Y298" i="35"/>
  <c r="AJ298" i="35"/>
  <c r="BJ298" i="35"/>
  <c r="BC298" i="35"/>
  <c r="BL298" i="35"/>
  <c r="AU298" i="35"/>
  <c r="AY298" i="35"/>
  <c r="BG298" i="35"/>
  <c r="BI298" i="35"/>
  <c r="AW298" i="35"/>
  <c r="BK298" i="35"/>
  <c r="BZ298" i="35"/>
  <c r="BM298" i="35"/>
  <c r="AR298" i="35"/>
  <c r="BS298" i="35"/>
  <c r="BN298" i="35"/>
  <c r="BD298" i="35"/>
  <c r="BE298" i="35"/>
  <c r="AZ298" i="35"/>
  <c r="BW298" i="35"/>
  <c r="BT298" i="35"/>
  <c r="AT298" i="35"/>
  <c r="AS298" i="35"/>
  <c r="BV298" i="35"/>
  <c r="AV298" i="35"/>
  <c r="BR298" i="35"/>
  <c r="BY298" i="35"/>
  <c r="AX298" i="35"/>
  <c r="BH298" i="35"/>
  <c r="BP298" i="35"/>
  <c r="BA298" i="35"/>
  <c r="BB298" i="35"/>
  <c r="BU298" i="35"/>
  <c r="BO298" i="35"/>
  <c r="BQ298" i="35"/>
  <c r="BF298" i="35"/>
  <c r="Q298" i="35" l="1"/>
  <c r="AK298" i="35"/>
  <c r="AI298" i="35"/>
  <c r="AH298" i="35"/>
  <c r="AG298" i="35"/>
  <c r="AF298" i="35"/>
  <c r="AE298" i="35"/>
  <c r="AD298" i="35"/>
  <c r="AA297" i="35"/>
  <c r="Z297" i="35" s="1"/>
  <c r="R299" i="35"/>
  <c r="S299" i="35"/>
  <c r="T299" i="35"/>
  <c r="U299" i="35"/>
  <c r="V299" i="35"/>
  <c r="W299" i="35"/>
  <c r="X299" i="35"/>
  <c r="Y299" i="35"/>
  <c r="AJ299" i="35"/>
  <c r="BK299" i="35"/>
  <c r="BB299" i="35"/>
  <c r="BU299" i="35"/>
  <c r="BF299" i="35"/>
  <c r="AZ299" i="35"/>
  <c r="BO299" i="35"/>
  <c r="AR299" i="35"/>
  <c r="BN299" i="35"/>
  <c r="BA299" i="35"/>
  <c r="BR299" i="35"/>
  <c r="AX299" i="35"/>
  <c r="BI299" i="35"/>
  <c r="AY299" i="35"/>
  <c r="BY299" i="35"/>
  <c r="BE299" i="35"/>
  <c r="BS299" i="35"/>
  <c r="BH299" i="35"/>
  <c r="AV299" i="35"/>
  <c r="BG299" i="35"/>
  <c r="BV299" i="35"/>
  <c r="BQ299" i="35"/>
  <c r="BP299" i="35"/>
  <c r="BJ299" i="35"/>
  <c r="AT299" i="35"/>
  <c r="BD299" i="35"/>
  <c r="BZ299" i="35"/>
  <c r="BC299" i="35"/>
  <c r="BL299" i="35"/>
  <c r="AS299" i="35"/>
  <c r="AW299" i="35"/>
  <c r="BT299" i="35"/>
  <c r="AU299" i="35"/>
  <c r="BM299" i="35"/>
  <c r="BW299" i="35"/>
  <c r="Q299" i="35" l="1"/>
  <c r="AK299" i="35"/>
  <c r="AI299" i="35"/>
  <c r="AH299" i="35"/>
  <c r="AG299" i="35"/>
  <c r="AF299" i="35"/>
  <c r="AE299" i="35"/>
  <c r="AD299" i="35"/>
  <c r="AA298" i="35"/>
  <c r="Z298" i="35" s="1"/>
  <c r="R300" i="35"/>
  <c r="S300" i="35"/>
  <c r="T300" i="35"/>
  <c r="U300" i="35"/>
  <c r="V300" i="35"/>
  <c r="W300" i="35"/>
  <c r="X300" i="35"/>
  <c r="Y300" i="35"/>
  <c r="AJ300" i="35"/>
  <c r="AZ300" i="35"/>
  <c r="BI300" i="35"/>
  <c r="BT300" i="35"/>
  <c r="BG300" i="35"/>
  <c r="BW300" i="35"/>
  <c r="BB300" i="35"/>
  <c r="BH300" i="35"/>
  <c r="BA300" i="35"/>
  <c r="BL300" i="35"/>
  <c r="BQ300" i="35"/>
  <c r="BF300" i="35"/>
  <c r="BJ300" i="35"/>
  <c r="BC300" i="35"/>
  <c r="BR300" i="35"/>
  <c r="BS300" i="35"/>
  <c r="BK300" i="35"/>
  <c r="AV300" i="35"/>
  <c r="BU300" i="35"/>
  <c r="BV300" i="35"/>
  <c r="BY300" i="35"/>
  <c r="AT300" i="35"/>
  <c r="AW300" i="35"/>
  <c r="BO300" i="35"/>
  <c r="BZ300" i="35"/>
  <c r="BP300" i="35"/>
  <c r="AX300" i="35"/>
  <c r="AS300" i="35"/>
  <c r="BM300" i="35"/>
  <c r="AY300" i="35"/>
  <c r="AR300" i="35"/>
  <c r="BD300" i="35"/>
  <c r="BE300" i="35"/>
  <c r="BN300" i="35"/>
  <c r="AU300" i="35"/>
  <c r="Q300" i="35" l="1"/>
  <c r="AK300" i="35"/>
  <c r="AI300" i="35"/>
  <c r="AH300" i="35"/>
  <c r="AG300" i="35"/>
  <c r="AF300" i="35"/>
  <c r="AE300" i="35"/>
  <c r="AD300" i="35"/>
  <c r="AA299" i="35"/>
  <c r="Z299" i="35" s="1"/>
  <c r="R301" i="35"/>
  <c r="S301" i="35"/>
  <c r="T301" i="35"/>
  <c r="U301" i="35"/>
  <c r="V301" i="35"/>
  <c r="W301" i="35"/>
  <c r="X301" i="35"/>
  <c r="Y301" i="35"/>
  <c r="AJ301" i="35"/>
  <c r="BU301" i="35"/>
  <c r="AX301" i="35"/>
  <c r="BR301" i="35"/>
  <c r="AU301" i="35"/>
  <c r="BY301" i="35"/>
  <c r="BZ301" i="35"/>
  <c r="BK301" i="35"/>
  <c r="BN301" i="35"/>
  <c r="BO301" i="35"/>
  <c r="BE301" i="35"/>
  <c r="BV301" i="35"/>
  <c r="BP301" i="35"/>
  <c r="BW301" i="35"/>
  <c r="BC301" i="35"/>
  <c r="BA301" i="35"/>
  <c r="AV301" i="35"/>
  <c r="BB301" i="35"/>
  <c r="BD301" i="35"/>
  <c r="AZ301" i="35"/>
  <c r="AR301" i="35"/>
  <c r="AW301" i="35"/>
  <c r="BJ301" i="35"/>
  <c r="AT301" i="35"/>
  <c r="AS301" i="35"/>
  <c r="BF301" i="35"/>
  <c r="BI301" i="35"/>
  <c r="BM301" i="35"/>
  <c r="AY301" i="35"/>
  <c r="BS301" i="35"/>
  <c r="BL301" i="35"/>
  <c r="BT301" i="35"/>
  <c r="BQ301" i="35"/>
  <c r="BH301" i="35"/>
  <c r="BG301" i="35"/>
  <c r="Q301" i="35" l="1"/>
  <c r="AK301" i="35"/>
  <c r="AI301" i="35"/>
  <c r="AH301" i="35"/>
  <c r="AG301" i="35"/>
  <c r="AF301" i="35"/>
  <c r="AE301" i="35"/>
  <c r="AD301" i="35"/>
  <c r="AA300" i="35"/>
  <c r="Z300" i="35" s="1"/>
  <c r="R302" i="35"/>
  <c r="S302" i="35"/>
  <c r="T302" i="35"/>
  <c r="U302" i="35"/>
  <c r="V302" i="35"/>
  <c r="W302" i="35"/>
  <c r="X302" i="35"/>
  <c r="Y302" i="35"/>
  <c r="AJ302" i="35"/>
  <c r="BS302" i="35"/>
  <c r="BF302" i="35"/>
  <c r="AY302" i="35"/>
  <c r="BD302" i="35"/>
  <c r="BW302" i="35"/>
  <c r="BJ302" i="35"/>
  <c r="AW302" i="35"/>
  <c r="BO302" i="35"/>
  <c r="BM302" i="35"/>
  <c r="BA302" i="35"/>
  <c r="BU302" i="35"/>
  <c r="BZ302" i="35"/>
  <c r="BQ302" i="35"/>
  <c r="BI302" i="35"/>
  <c r="AS302" i="35"/>
  <c r="BN302" i="35"/>
  <c r="BC302" i="35"/>
  <c r="BR302" i="35"/>
  <c r="AT302" i="35"/>
  <c r="AV302" i="35"/>
  <c r="AR302" i="35"/>
  <c r="BG302" i="35"/>
  <c r="BV302" i="35"/>
  <c r="AZ302" i="35"/>
  <c r="BB302" i="35"/>
  <c r="BP302" i="35"/>
  <c r="BY302" i="35"/>
  <c r="BT302" i="35"/>
  <c r="AX302" i="35"/>
  <c r="BL302" i="35"/>
  <c r="AU302" i="35"/>
  <c r="BH302" i="35"/>
  <c r="BK302" i="35"/>
  <c r="BE302" i="35"/>
  <c r="Q302" i="35" l="1"/>
  <c r="AK302" i="35"/>
  <c r="AI302" i="35"/>
  <c r="AH302" i="35"/>
  <c r="AG302" i="35"/>
  <c r="AF302" i="35"/>
  <c r="AE302" i="35"/>
  <c r="AD302" i="35"/>
  <c r="AA301" i="35"/>
  <c r="Z301" i="35" s="1"/>
  <c r="R303" i="35"/>
  <c r="S303" i="35"/>
  <c r="T303" i="35"/>
  <c r="U303" i="35"/>
  <c r="V303" i="35"/>
  <c r="W303" i="35"/>
  <c r="X303" i="35"/>
  <c r="Y303" i="35"/>
  <c r="AJ303" i="35"/>
  <c r="BJ303" i="35"/>
  <c r="AZ303" i="35"/>
  <c r="BO303" i="35"/>
  <c r="BN303" i="35"/>
  <c r="AT303" i="35"/>
  <c r="AU303" i="35"/>
  <c r="BV303" i="35"/>
  <c r="BC303" i="35"/>
  <c r="BE303" i="35"/>
  <c r="BM303" i="35"/>
  <c r="BW303" i="35"/>
  <c r="BH303" i="35"/>
  <c r="BK303" i="35"/>
  <c r="AS303" i="35"/>
  <c r="BF303" i="35"/>
  <c r="BS303" i="35"/>
  <c r="BB303" i="35"/>
  <c r="AV303" i="35"/>
  <c r="BQ303" i="35"/>
  <c r="BU303" i="35"/>
  <c r="BY303" i="35"/>
  <c r="AY303" i="35"/>
  <c r="BA303" i="35"/>
  <c r="BG303" i="35"/>
  <c r="AR303" i="35"/>
  <c r="BD303" i="35"/>
  <c r="BP303" i="35"/>
  <c r="BT303" i="35"/>
  <c r="AX303" i="35"/>
  <c r="BI303" i="35"/>
  <c r="AW303" i="35"/>
  <c r="BZ303" i="35"/>
  <c r="BL303" i="35"/>
  <c r="BR303" i="35"/>
  <c r="Q303" i="35" l="1"/>
  <c r="AK303" i="35"/>
  <c r="AI303" i="35"/>
  <c r="AH303" i="35"/>
  <c r="AG303" i="35"/>
  <c r="AF303" i="35"/>
  <c r="AE303" i="35"/>
  <c r="AD303" i="35"/>
  <c r="AA302" i="35"/>
  <c r="Z302" i="35" s="1"/>
  <c r="R304" i="35"/>
  <c r="S304" i="35"/>
  <c r="T304" i="35"/>
  <c r="U304" i="35"/>
  <c r="V304" i="35"/>
  <c r="W304" i="35"/>
  <c r="X304" i="35"/>
  <c r="Y304" i="35"/>
  <c r="AJ304" i="35"/>
  <c r="AZ304" i="35"/>
  <c r="BG304" i="35"/>
  <c r="BM304" i="35"/>
  <c r="BR304" i="35"/>
  <c r="BT304" i="35"/>
  <c r="BC304" i="35"/>
  <c r="BW304" i="35"/>
  <c r="BJ304" i="35"/>
  <c r="BO304" i="35"/>
  <c r="AT304" i="35"/>
  <c r="AW304" i="35"/>
  <c r="BD304" i="35"/>
  <c r="AS304" i="35"/>
  <c r="BA304" i="35"/>
  <c r="AR304" i="35"/>
  <c r="BK304" i="35"/>
  <c r="BY304" i="35"/>
  <c r="AU304" i="35"/>
  <c r="BI304" i="35"/>
  <c r="BU304" i="35"/>
  <c r="BB304" i="35"/>
  <c r="AV304" i="35"/>
  <c r="AX304" i="35"/>
  <c r="BN304" i="35"/>
  <c r="AY304" i="35"/>
  <c r="BF304" i="35"/>
  <c r="BZ304" i="35"/>
  <c r="BQ304" i="35"/>
  <c r="BE304" i="35"/>
  <c r="BP304" i="35"/>
  <c r="BL304" i="35"/>
  <c r="BS304" i="35"/>
  <c r="BH304" i="35"/>
  <c r="BV304" i="35"/>
  <c r="Q304" i="35" l="1"/>
  <c r="AK304" i="35"/>
  <c r="AI304" i="35"/>
  <c r="AH304" i="35"/>
  <c r="AG304" i="35"/>
  <c r="AF304" i="35"/>
  <c r="AE304" i="35"/>
  <c r="AD304" i="35"/>
  <c r="AA303" i="35"/>
  <c r="Z303" i="35" s="1"/>
  <c r="R305" i="35"/>
  <c r="S305" i="35"/>
  <c r="T305" i="35"/>
  <c r="U305" i="35"/>
  <c r="V305" i="35"/>
  <c r="W305" i="35"/>
  <c r="X305" i="35"/>
  <c r="Y305" i="35"/>
  <c r="AJ305" i="35"/>
  <c r="BU305" i="35"/>
  <c r="AY305" i="35"/>
  <c r="AW305" i="35"/>
  <c r="BH305" i="35"/>
  <c r="AU305" i="35"/>
  <c r="BK305" i="35"/>
  <c r="BR305" i="35"/>
  <c r="BF305" i="35"/>
  <c r="BQ305" i="35"/>
  <c r="AV305" i="35"/>
  <c r="BE305" i="35"/>
  <c r="BJ305" i="35"/>
  <c r="AS305" i="35"/>
  <c r="BV305" i="35"/>
  <c r="BD305" i="35"/>
  <c r="AX305" i="35"/>
  <c r="BI305" i="35"/>
  <c r="BO305" i="35"/>
  <c r="BY305" i="35"/>
  <c r="BW305" i="35"/>
  <c r="BZ305" i="35"/>
  <c r="BA305" i="35"/>
  <c r="BL305" i="35"/>
  <c r="BC305" i="35"/>
  <c r="BM305" i="35"/>
  <c r="AR305" i="35"/>
  <c r="BP305" i="35"/>
  <c r="AT305" i="35"/>
  <c r="BT305" i="35"/>
  <c r="BB305" i="35"/>
  <c r="BN305" i="35"/>
  <c r="BS305" i="35"/>
  <c r="AZ305" i="35"/>
  <c r="BG305" i="35"/>
  <c r="Q305" i="35" l="1"/>
  <c r="AK305" i="35"/>
  <c r="AI305" i="35"/>
  <c r="AH305" i="35"/>
  <c r="AG305" i="35"/>
  <c r="AF305" i="35"/>
  <c r="AE305" i="35"/>
  <c r="AD305" i="35"/>
  <c r="AA304" i="35"/>
  <c r="Z304" i="35" s="1"/>
  <c r="R306" i="35"/>
  <c r="S306" i="35"/>
  <c r="T306" i="35"/>
  <c r="U306" i="35"/>
  <c r="V306" i="35"/>
  <c r="W306" i="35"/>
  <c r="X306" i="35"/>
  <c r="Y306" i="35"/>
  <c r="AJ306" i="35"/>
  <c r="AV306" i="35"/>
  <c r="BQ306" i="35"/>
  <c r="BL306" i="35"/>
  <c r="BP306" i="35"/>
  <c r="BW306" i="35"/>
  <c r="BE306" i="35"/>
  <c r="BU306" i="35"/>
  <c r="BG306" i="35"/>
  <c r="BI306" i="35"/>
  <c r="BV306" i="35"/>
  <c r="BZ306" i="35"/>
  <c r="AX306" i="35"/>
  <c r="BC306" i="35"/>
  <c r="BK306" i="35"/>
  <c r="AS306" i="35"/>
  <c r="BY306" i="35"/>
  <c r="BF306" i="35"/>
  <c r="BR306" i="35"/>
  <c r="BH306" i="35"/>
  <c r="BS306" i="35"/>
  <c r="BB306" i="35"/>
  <c r="AT306" i="35"/>
  <c r="AW306" i="35"/>
  <c r="BN306" i="35"/>
  <c r="AR306" i="35"/>
  <c r="BT306" i="35"/>
  <c r="AZ306" i="35"/>
  <c r="AU306" i="35"/>
  <c r="BD306" i="35"/>
  <c r="BO306" i="35"/>
  <c r="BA306" i="35"/>
  <c r="AY306" i="35"/>
  <c r="BJ306" i="35"/>
  <c r="BM306" i="35"/>
  <c r="Q306" i="35" l="1"/>
  <c r="AK306" i="35"/>
  <c r="AI306" i="35"/>
  <c r="AH306" i="35"/>
  <c r="AG306" i="35"/>
  <c r="AF306" i="35"/>
  <c r="AE306" i="35"/>
  <c r="AD306" i="35"/>
  <c r="AA305" i="35"/>
  <c r="Z305" i="35" s="1"/>
  <c r="R307" i="35"/>
  <c r="S307" i="35"/>
  <c r="T307" i="35"/>
  <c r="U307" i="35"/>
  <c r="V307" i="35"/>
  <c r="W307" i="35"/>
  <c r="X307" i="35"/>
  <c r="Y307" i="35"/>
  <c r="AJ307" i="35"/>
  <c r="BJ307" i="35"/>
  <c r="AY307" i="35"/>
  <c r="BW307" i="35"/>
  <c r="BU307" i="35"/>
  <c r="BB307" i="35"/>
  <c r="BM307" i="35"/>
  <c r="BQ307" i="35"/>
  <c r="AX307" i="35"/>
  <c r="BC307" i="35"/>
  <c r="BT307" i="35"/>
  <c r="AZ307" i="35"/>
  <c r="AW307" i="35"/>
  <c r="BI307" i="35"/>
  <c r="AV307" i="35"/>
  <c r="BF307" i="35"/>
  <c r="BZ307" i="35"/>
  <c r="BL307" i="35"/>
  <c r="BA307" i="35"/>
  <c r="BO307" i="35"/>
  <c r="AT307" i="35"/>
  <c r="BH307" i="35"/>
  <c r="BG307" i="35"/>
  <c r="AR307" i="35"/>
  <c r="BE307" i="35"/>
  <c r="BV307" i="35"/>
  <c r="BP307" i="35"/>
  <c r="BD307" i="35"/>
  <c r="AU307" i="35"/>
  <c r="BK307" i="35"/>
  <c r="BS307" i="35"/>
  <c r="BY307" i="35"/>
  <c r="BN307" i="35"/>
  <c r="AS307" i="35"/>
  <c r="BR307" i="35"/>
  <c r="Q307" i="35" l="1"/>
  <c r="AK307" i="35"/>
  <c r="AI307" i="35"/>
  <c r="AH307" i="35"/>
  <c r="AG307" i="35"/>
  <c r="AF307" i="35"/>
  <c r="AE307" i="35"/>
  <c r="AD307" i="35"/>
  <c r="AA306" i="35"/>
  <c r="Z306" i="35" s="1"/>
  <c r="R308" i="35"/>
  <c r="S308" i="35"/>
  <c r="T308" i="35"/>
  <c r="U308" i="35"/>
  <c r="V308" i="35"/>
  <c r="W308" i="35"/>
  <c r="X308" i="35"/>
  <c r="Y308" i="35"/>
  <c r="AJ308" i="35"/>
  <c r="BS308" i="35"/>
  <c r="BZ308" i="35"/>
  <c r="BF308" i="35"/>
  <c r="BE308" i="35"/>
  <c r="BP308" i="35"/>
  <c r="AT308" i="35"/>
  <c r="BD308" i="35"/>
  <c r="BO308" i="35"/>
  <c r="AX308" i="35"/>
  <c r="BR308" i="35"/>
  <c r="BH308" i="35"/>
  <c r="BU308" i="35"/>
  <c r="BT308" i="35"/>
  <c r="AV308" i="35"/>
  <c r="AS308" i="35"/>
  <c r="BA308" i="35"/>
  <c r="AY308" i="35"/>
  <c r="BM308" i="35"/>
  <c r="AR308" i="35"/>
  <c r="BV308" i="35"/>
  <c r="BI308" i="35"/>
  <c r="AZ308" i="35"/>
  <c r="BN308" i="35"/>
  <c r="AU308" i="35"/>
  <c r="BY308" i="35"/>
  <c r="BJ308" i="35"/>
  <c r="BW308" i="35"/>
  <c r="AW308" i="35"/>
  <c r="BG308" i="35"/>
  <c r="BC308" i="35"/>
  <c r="BK308" i="35"/>
  <c r="BQ308" i="35"/>
  <c r="BB308" i="35"/>
  <c r="BL308" i="35"/>
  <c r="Q308" i="35" l="1"/>
  <c r="AK308" i="35"/>
  <c r="AI308" i="35"/>
  <c r="AH308" i="35"/>
  <c r="AG308" i="35"/>
  <c r="AF308" i="35"/>
  <c r="AE308" i="35"/>
  <c r="AD308" i="35"/>
  <c r="AA307" i="35"/>
  <c r="Z307" i="35" s="1"/>
  <c r="R309" i="35"/>
  <c r="S309" i="35"/>
  <c r="T309" i="35"/>
  <c r="U309" i="35"/>
  <c r="V309" i="35"/>
  <c r="W309" i="35"/>
  <c r="X309" i="35"/>
  <c r="Y309" i="35"/>
  <c r="AJ309" i="35"/>
  <c r="BQ309" i="35"/>
  <c r="BP309" i="35"/>
  <c r="BD309" i="35"/>
  <c r="BB309" i="35"/>
  <c r="BJ309" i="35"/>
  <c r="BZ309" i="35"/>
  <c r="AU309" i="35"/>
  <c r="BG309" i="35"/>
  <c r="BN309" i="35"/>
  <c r="AR309" i="35"/>
  <c r="AZ309" i="35"/>
  <c r="BY309" i="35"/>
  <c r="BW309" i="35"/>
  <c r="AS309" i="35"/>
  <c r="BM309" i="35"/>
  <c r="AT309" i="35"/>
  <c r="BH309" i="35"/>
  <c r="BT309" i="35"/>
  <c r="AY309" i="35"/>
  <c r="BU309" i="35"/>
  <c r="BL309" i="35"/>
  <c r="AX309" i="35"/>
  <c r="BS309" i="35"/>
  <c r="BO309" i="35"/>
  <c r="BF309" i="35"/>
  <c r="BA309" i="35"/>
  <c r="BE309" i="35"/>
  <c r="AV309" i="35"/>
  <c r="BV309" i="35"/>
  <c r="AW309" i="35"/>
  <c r="BR309" i="35"/>
  <c r="BI309" i="35"/>
  <c r="BK309" i="35"/>
  <c r="BC309" i="35"/>
  <c r="Q309" i="35" l="1"/>
  <c r="AK309" i="35"/>
  <c r="AI309" i="35"/>
  <c r="AH309" i="35"/>
  <c r="AG309" i="35"/>
  <c r="AF309" i="35"/>
  <c r="AE309" i="35"/>
  <c r="AD309" i="35"/>
  <c r="AA308" i="35"/>
  <c r="Z308" i="35" s="1"/>
  <c r="R310" i="35"/>
  <c r="S310" i="35"/>
  <c r="T310" i="35"/>
  <c r="U310" i="35"/>
  <c r="V310" i="35"/>
  <c r="W310" i="35"/>
  <c r="X310" i="35"/>
  <c r="Y310" i="35"/>
  <c r="AJ310" i="35"/>
  <c r="BQ310" i="35"/>
  <c r="BJ310" i="35"/>
  <c r="AR310" i="35"/>
  <c r="BS310" i="35"/>
  <c r="BU310" i="35"/>
  <c r="BR310" i="35"/>
  <c r="BC310" i="35"/>
  <c r="BT310" i="35"/>
  <c r="AT310" i="35"/>
  <c r="BO310" i="35"/>
  <c r="BI310" i="35"/>
  <c r="AY310" i="35"/>
  <c r="BB310" i="35"/>
  <c r="AZ310" i="35"/>
  <c r="AX310" i="35"/>
  <c r="AS310" i="35"/>
  <c r="BK310" i="35"/>
  <c r="BA310" i="35"/>
  <c r="BP310" i="35"/>
  <c r="BN310" i="35"/>
  <c r="AV310" i="35"/>
  <c r="BY310" i="35"/>
  <c r="AW310" i="35"/>
  <c r="BG310" i="35"/>
  <c r="BV310" i="35"/>
  <c r="BZ310" i="35"/>
  <c r="BD310" i="35"/>
  <c r="BF310" i="35"/>
  <c r="AU310" i="35"/>
  <c r="BE310" i="35"/>
  <c r="BH310" i="35"/>
  <c r="BM310" i="35"/>
  <c r="BL310" i="35"/>
  <c r="BW310" i="35"/>
  <c r="Q310" i="35" l="1"/>
  <c r="AK310" i="35"/>
  <c r="AI310" i="35"/>
  <c r="AH310" i="35"/>
  <c r="AG310" i="35"/>
  <c r="AF310" i="35"/>
  <c r="AE310" i="35"/>
  <c r="AD310" i="35"/>
  <c r="AA309" i="35"/>
  <c r="Z309" i="35" s="1"/>
  <c r="R311" i="35"/>
  <c r="S311" i="35"/>
  <c r="T311" i="35"/>
  <c r="U311" i="35"/>
  <c r="V311" i="35"/>
  <c r="W311" i="35"/>
  <c r="X311" i="35"/>
  <c r="Y311" i="35"/>
  <c r="AJ311" i="35"/>
  <c r="AW311" i="35"/>
  <c r="BJ311" i="35"/>
  <c r="BD311" i="35"/>
  <c r="BA311" i="35"/>
  <c r="BT311" i="35"/>
  <c r="BV311" i="35"/>
  <c r="BR311" i="35"/>
  <c r="BQ311" i="35"/>
  <c r="BI311" i="35"/>
  <c r="AV311" i="35"/>
  <c r="BS311" i="35"/>
  <c r="BE311" i="35"/>
  <c r="AS311" i="35"/>
  <c r="BP311" i="35"/>
  <c r="BL311" i="35"/>
  <c r="AX311" i="35"/>
  <c r="BK311" i="35"/>
  <c r="AR311" i="35"/>
  <c r="BC311" i="35"/>
  <c r="BU311" i="35"/>
  <c r="AZ311" i="35"/>
  <c r="BO311" i="35"/>
  <c r="BB311" i="35"/>
  <c r="BG311" i="35"/>
  <c r="BZ311" i="35"/>
  <c r="BY311" i="35"/>
  <c r="AT311" i="35"/>
  <c r="BW311" i="35"/>
  <c r="BN311" i="35"/>
  <c r="BH311" i="35"/>
  <c r="AY311" i="35"/>
  <c r="BF311" i="35"/>
  <c r="BM311" i="35"/>
  <c r="AU311" i="35"/>
  <c r="Q311" i="35" l="1"/>
  <c r="AK311" i="35"/>
  <c r="AI311" i="35"/>
  <c r="AH311" i="35"/>
  <c r="AG311" i="35"/>
  <c r="AF311" i="35"/>
  <c r="AE311" i="35"/>
  <c r="AD311" i="35"/>
  <c r="AA310" i="35"/>
  <c r="Z310" i="35" s="1"/>
  <c r="D312" i="35"/>
  <c r="R312" i="35"/>
  <c r="S312" i="35"/>
  <c r="T312" i="35"/>
  <c r="U312" i="35"/>
  <c r="V312" i="35"/>
  <c r="W312" i="35"/>
  <c r="X312" i="35"/>
  <c r="Y312" i="35"/>
  <c r="AJ312" i="35"/>
  <c r="BE312" i="35"/>
  <c r="BS312" i="35"/>
  <c r="AS312" i="35"/>
  <c r="BY312" i="35"/>
  <c r="BZ312" i="35"/>
  <c r="AZ312" i="35"/>
  <c r="BJ312" i="35"/>
  <c r="BQ312" i="35"/>
  <c r="BO312" i="35"/>
  <c r="AW312" i="35"/>
  <c r="BM312" i="35"/>
  <c r="BC312" i="35"/>
  <c r="AX312" i="35"/>
  <c r="BG312" i="35"/>
  <c r="BT312" i="35"/>
  <c r="BR312" i="35"/>
  <c r="BK312" i="35"/>
  <c r="AR312" i="35"/>
  <c r="BB312" i="35"/>
  <c r="AU312" i="35"/>
  <c r="BF312" i="35"/>
  <c r="BH312" i="35"/>
  <c r="AV312" i="35"/>
  <c r="BU312" i="35"/>
  <c r="BW312" i="35"/>
  <c r="BA312" i="35"/>
  <c r="BL312" i="35"/>
  <c r="BI312" i="35"/>
  <c r="BV312" i="35"/>
  <c r="BP312" i="35"/>
  <c r="AY312" i="35"/>
  <c r="BD312" i="35"/>
  <c r="AT312" i="35"/>
  <c r="BN312" i="35"/>
  <c r="Q312" i="35" l="1"/>
  <c r="AK312" i="35"/>
  <c r="AI312" i="35"/>
  <c r="AH312" i="35"/>
  <c r="AG312" i="35"/>
  <c r="AF312" i="35"/>
  <c r="AE312" i="35"/>
  <c r="AD312" i="35"/>
  <c r="AA311" i="35"/>
  <c r="Z311" i="35" s="1"/>
  <c r="D313" i="35"/>
  <c r="R313" i="35"/>
  <c r="S313" i="35"/>
  <c r="T313" i="35"/>
  <c r="U313" i="35"/>
  <c r="V313" i="35"/>
  <c r="W313" i="35"/>
  <c r="X313" i="35"/>
  <c r="Y313" i="35"/>
  <c r="AJ313" i="35"/>
  <c r="BJ313" i="35"/>
  <c r="BH313" i="35"/>
  <c r="AV313" i="35"/>
  <c r="BC313" i="35"/>
  <c r="BR313" i="35"/>
  <c r="AW313" i="35"/>
  <c r="AY313" i="35"/>
  <c r="BZ313" i="35"/>
  <c r="BN313" i="35"/>
  <c r="BU313" i="35"/>
  <c r="BP313" i="35"/>
  <c r="BV313" i="35"/>
  <c r="BQ313" i="35"/>
  <c r="AZ313" i="35"/>
  <c r="BK313" i="35"/>
  <c r="BF313" i="35"/>
  <c r="BL313" i="35"/>
  <c r="AS313" i="35"/>
  <c r="BG313" i="35"/>
  <c r="BT313" i="35"/>
  <c r="AR313" i="35"/>
  <c r="BO313" i="35"/>
  <c r="BM313" i="35"/>
  <c r="AU313" i="35"/>
  <c r="BI313" i="35"/>
  <c r="BB313" i="35"/>
  <c r="BA313" i="35"/>
  <c r="BY313" i="35"/>
  <c r="BS313" i="35"/>
  <c r="AX313" i="35"/>
  <c r="BD313" i="35"/>
  <c r="BW313" i="35"/>
  <c r="AT313" i="35"/>
  <c r="BE313" i="35"/>
  <c r="Q313" i="35" l="1"/>
  <c r="AK313" i="35"/>
  <c r="AI313" i="35"/>
  <c r="AH313" i="35"/>
  <c r="AG313" i="35"/>
  <c r="AF313" i="35"/>
  <c r="AE313" i="35"/>
  <c r="AD313" i="35"/>
  <c r="AA312" i="35"/>
  <c r="Z312" i="35" s="1"/>
  <c r="AA313" i="35" l="1"/>
  <c r="Z313" i="35" s="1"/>
  <c r="D315" i="35"/>
  <c r="D316" i="35" l="1"/>
  <c r="D318" i="35" l="1"/>
  <c r="D319" i="35"/>
  <c r="D321" i="35"/>
  <c r="D322" i="35"/>
  <c r="AR338" i="35"/>
  <c r="AS338" i="35"/>
  <c r="AT338" i="35"/>
  <c r="AU338" i="35"/>
  <c r="AV338" i="35"/>
  <c r="AW338" i="35"/>
  <c r="AX338" i="35"/>
  <c r="AY338" i="35"/>
  <c r="AZ338" i="35"/>
  <c r="BA338" i="35"/>
  <c r="BB338" i="35"/>
  <c r="BC338" i="35"/>
  <c r="BD338" i="35"/>
  <c r="BE338" i="35"/>
  <c r="BF338" i="35"/>
  <c r="AC339" i="35"/>
  <c r="BV339" i="35"/>
  <c r="BT339" i="35"/>
  <c r="BY339" i="35"/>
  <c r="AY339" i="35"/>
  <c r="BK339" i="35"/>
  <c r="AR339" i="35"/>
  <c r="BI339" i="35"/>
  <c r="AU339" i="35"/>
  <c r="AT339" i="35"/>
  <c r="BN339" i="35"/>
  <c r="AX339" i="35"/>
  <c r="BQ339" i="35"/>
  <c r="BZ339" i="35"/>
  <c r="BM339" i="35"/>
  <c r="BF339" i="35"/>
  <c r="BJ339" i="35"/>
  <c r="BD339" i="35"/>
  <c r="BE339" i="35"/>
  <c r="AW339" i="35"/>
  <c r="BU339" i="35"/>
  <c r="BG339" i="35"/>
  <c r="BH339" i="35"/>
  <c r="BA339" i="35"/>
  <c r="BL339" i="35"/>
  <c r="BW339" i="35"/>
  <c r="BB339" i="35"/>
  <c r="BO339" i="35"/>
  <c r="BP339" i="35"/>
  <c r="BC339" i="35"/>
  <c r="BS339" i="35"/>
  <c r="AS339" i="35"/>
  <c r="AV339" i="35"/>
  <c r="AZ339" i="35"/>
  <c r="BR339" i="35"/>
  <c r="AK339" i="35" l="1"/>
  <c r="AJ339" i="35"/>
  <c r="AI339" i="35"/>
  <c r="AH339" i="35"/>
  <c r="AG339" i="35"/>
  <c r="AF339" i="35"/>
  <c r="AE339" i="35"/>
  <c r="AD339" i="35"/>
  <c r="AB339" i="35"/>
  <c r="O299" i="35" a="1"/>
  <c r="O299" i="35" s="1"/>
  <c r="R341" i="35"/>
  <c r="S341" i="35"/>
  <c r="T341" i="35"/>
  <c r="U341" i="35"/>
  <c r="V341" i="35"/>
  <c r="W341" i="35"/>
  <c r="X341" i="35"/>
  <c r="Y341" i="35"/>
  <c r="AJ341" i="35"/>
  <c r="BQ341" i="35"/>
  <c r="BR341" i="35"/>
  <c r="BK341" i="35"/>
  <c r="AV341" i="35"/>
  <c r="BY341" i="35"/>
  <c r="BT341" i="35"/>
  <c r="BC341" i="35"/>
  <c r="BE341" i="35"/>
  <c r="BJ341" i="35"/>
  <c r="BF341" i="35"/>
  <c r="AW341" i="35"/>
  <c r="BO341" i="35"/>
  <c r="AU341" i="35"/>
  <c r="BD341" i="35"/>
  <c r="AR341" i="35"/>
  <c r="BL341" i="35"/>
  <c r="BH341" i="35"/>
  <c r="BP341" i="35"/>
  <c r="BU341" i="35"/>
  <c r="BB341" i="35"/>
  <c r="BV341" i="35"/>
  <c r="BI341" i="35"/>
  <c r="BG341" i="35"/>
  <c r="BA341" i="35"/>
  <c r="BM341" i="35"/>
  <c r="AT341" i="35"/>
  <c r="AZ341" i="35"/>
  <c r="BS341" i="35"/>
  <c r="AS341" i="35"/>
  <c r="BZ341" i="35"/>
  <c r="AX341" i="35"/>
  <c r="AY341" i="35"/>
  <c r="BW341" i="35"/>
  <c r="BN341" i="35"/>
  <c r="O298" i="35" l="1" a="1"/>
  <c r="O298" i="35" s="1"/>
  <c r="N298" i="35" s="1"/>
  <c r="O297" i="35" a="1"/>
  <c r="O297" i="35" s="1"/>
  <c r="K297" i="35" s="1"/>
  <c r="L297" i="35" s="1"/>
  <c r="Q341" i="35"/>
  <c r="AK341" i="35"/>
  <c r="AI341" i="35"/>
  <c r="AH341" i="35"/>
  <c r="AG341" i="35"/>
  <c r="AF341" i="35"/>
  <c r="AE341" i="35"/>
  <c r="AD341" i="35"/>
  <c r="K299" i="35"/>
  <c r="L299" i="35" s="1"/>
  <c r="N299" i="35"/>
  <c r="P295" i="35"/>
  <c r="H331" i="35" s="1"/>
  <c r="P296" i="35"/>
  <c r="I331" i="35" s="1"/>
  <c r="P294" i="35"/>
  <c r="G331" i="35" s="1"/>
  <c r="O294" i="35" a="1"/>
  <c r="O294" i="35" s="1"/>
  <c r="O296" i="35" a="1"/>
  <c r="O296" i="35" s="1"/>
  <c r="AA339" i="35"/>
  <c r="O295" i="35" a="1"/>
  <c r="O295" i="35" s="1"/>
  <c r="R342" i="35"/>
  <c r="S342" i="35"/>
  <c r="T342" i="35"/>
  <c r="U342" i="35"/>
  <c r="V342" i="35"/>
  <c r="W342" i="35"/>
  <c r="X342" i="35"/>
  <c r="Y342" i="35"/>
  <c r="AJ342" i="35"/>
  <c r="BL342" i="35"/>
  <c r="BH342" i="35"/>
  <c r="AX342" i="35"/>
  <c r="AS342" i="35"/>
  <c r="BB342" i="35"/>
  <c r="AT342" i="35"/>
  <c r="BE342" i="35"/>
  <c r="AV342" i="35"/>
  <c r="BD342" i="35"/>
  <c r="BM342" i="35"/>
  <c r="BG342" i="35"/>
  <c r="BW342" i="35"/>
  <c r="AZ342" i="35"/>
  <c r="BA342" i="35"/>
  <c r="BY342" i="35"/>
  <c r="AW342" i="35"/>
  <c r="BZ342" i="35"/>
  <c r="AY342" i="35"/>
  <c r="BS342" i="35"/>
  <c r="BP342" i="35"/>
  <c r="BR342" i="35"/>
  <c r="BC342" i="35"/>
  <c r="BT342" i="35"/>
  <c r="AR342" i="35"/>
  <c r="BF342" i="35"/>
  <c r="BO342" i="35"/>
  <c r="BJ342" i="35"/>
  <c r="BQ342" i="35"/>
  <c r="BI342" i="35"/>
  <c r="BK342" i="35"/>
  <c r="BN342" i="35"/>
  <c r="BU342" i="35"/>
  <c r="AU342" i="35"/>
  <c r="BV342" i="35"/>
  <c r="G292" i="35" l="1"/>
  <c r="I292" i="35"/>
  <c r="H292" i="35"/>
  <c r="K298" i="35"/>
  <c r="L298" i="35" s="1"/>
  <c r="N297" i="35"/>
  <c r="Q342" i="35"/>
  <c r="AK342" i="35"/>
  <c r="AI342" i="35"/>
  <c r="AH342" i="35"/>
  <c r="AG342" i="35"/>
  <c r="AF342" i="35"/>
  <c r="AE342" i="35"/>
  <c r="AD342" i="35"/>
  <c r="G289" i="35"/>
  <c r="N295" i="35"/>
  <c r="K295" i="35"/>
  <c r="L295" i="35" s="1"/>
  <c r="AA341" i="35"/>
  <c r="Z341" i="35" s="1"/>
  <c r="N294" i="35"/>
  <c r="K294" i="35"/>
  <c r="L294" i="35" s="1"/>
  <c r="I289" i="35"/>
  <c r="K296" i="35"/>
  <c r="L296" i="35" s="1"/>
  <c r="N296" i="35"/>
  <c r="H289" i="35"/>
  <c r="R343" i="35"/>
  <c r="S343" i="35"/>
  <c r="T343" i="35"/>
  <c r="U343" i="35"/>
  <c r="V343" i="35"/>
  <c r="W343" i="35"/>
  <c r="X343" i="35"/>
  <c r="Y343" i="35"/>
  <c r="AJ343" i="35"/>
  <c r="BQ343" i="35"/>
  <c r="BU343" i="35"/>
  <c r="BY343" i="35"/>
  <c r="AS343" i="35"/>
  <c r="BE343" i="35"/>
  <c r="BW343" i="35"/>
  <c r="BK343" i="35"/>
  <c r="BH343" i="35"/>
  <c r="BR343" i="35"/>
  <c r="AW343" i="35"/>
  <c r="BD343" i="35"/>
  <c r="BV343" i="35"/>
  <c r="AR343" i="35"/>
  <c r="BS343" i="35"/>
  <c r="BA343" i="35"/>
  <c r="BC343" i="35"/>
  <c r="AU343" i="35"/>
  <c r="AX343" i="35"/>
  <c r="BL343" i="35"/>
  <c r="AY343" i="35"/>
  <c r="AT343" i="35"/>
  <c r="BZ343" i="35"/>
  <c r="AZ343" i="35"/>
  <c r="BN343" i="35"/>
  <c r="AV343" i="35"/>
  <c r="BJ343" i="35"/>
  <c r="BB343" i="35"/>
  <c r="BP343" i="35"/>
  <c r="BO343" i="35"/>
  <c r="BF343" i="35"/>
  <c r="BT343" i="35"/>
  <c r="BM343" i="35"/>
  <c r="BI343" i="35"/>
  <c r="BG343" i="35"/>
  <c r="Q343" i="35" l="1"/>
  <c r="AK343" i="35"/>
  <c r="AI343" i="35"/>
  <c r="AH343" i="35"/>
  <c r="AG343" i="35"/>
  <c r="AF343" i="35"/>
  <c r="AE343" i="35"/>
  <c r="AD343" i="35"/>
  <c r="H294" i="35"/>
  <c r="H293" i="35"/>
  <c r="H295" i="35"/>
  <c r="H296" i="35"/>
  <c r="H297" i="35"/>
  <c r="H298" i="35"/>
  <c r="H299" i="35"/>
  <c r="H300" i="35"/>
  <c r="H301" i="35"/>
  <c r="H302" i="35"/>
  <c r="H303" i="35"/>
  <c r="H304" i="35"/>
  <c r="H305" i="35"/>
  <c r="H306" i="35"/>
  <c r="H307" i="35"/>
  <c r="H308" i="35"/>
  <c r="H311" i="35"/>
  <c r="H312" i="35"/>
  <c r="H313" i="35"/>
  <c r="H314" i="35"/>
  <c r="H315" i="35"/>
  <c r="H316" i="35"/>
  <c r="H317" i="35"/>
  <c r="H327" i="35"/>
  <c r="H318" i="35"/>
  <c r="H325" i="35"/>
  <c r="H322" i="35"/>
  <c r="H326" i="35"/>
  <c r="H321" i="35"/>
  <c r="H320" i="35"/>
  <c r="H324" i="35"/>
  <c r="H319" i="35"/>
  <c r="G293" i="35"/>
  <c r="G294" i="35"/>
  <c r="G295" i="35"/>
  <c r="G296" i="35"/>
  <c r="G297" i="35"/>
  <c r="G298" i="35"/>
  <c r="G299" i="35"/>
  <c r="G300" i="35"/>
  <c r="G301" i="35"/>
  <c r="G302" i="35"/>
  <c r="G303" i="35"/>
  <c r="G304" i="35"/>
  <c r="G305" i="35"/>
  <c r="G306" i="35"/>
  <c r="G307" i="35"/>
  <c r="G308" i="35"/>
  <c r="G311" i="35"/>
  <c r="G312" i="35"/>
  <c r="G313" i="35"/>
  <c r="G314" i="35"/>
  <c r="G315" i="35"/>
  <c r="G316" i="35"/>
  <c r="G317" i="35"/>
  <c r="G318" i="35"/>
  <c r="G321" i="35"/>
  <c r="G327" i="35"/>
  <c r="G319" i="35"/>
  <c r="G325" i="35"/>
  <c r="G320" i="35"/>
  <c r="G324" i="35"/>
  <c r="G322" i="35"/>
  <c r="G326" i="35"/>
  <c r="AA342" i="35"/>
  <c r="Z342" i="35" s="1"/>
  <c r="I294" i="35"/>
  <c r="I293" i="35"/>
  <c r="I295" i="35"/>
  <c r="I296" i="35"/>
  <c r="I297" i="35"/>
  <c r="I298" i="35"/>
  <c r="I299" i="35"/>
  <c r="I300" i="35"/>
  <c r="I301" i="35"/>
  <c r="I302" i="35"/>
  <c r="I303" i="35"/>
  <c r="I304" i="35"/>
  <c r="I305" i="35"/>
  <c r="I306" i="35"/>
  <c r="I307" i="35"/>
  <c r="I308" i="35"/>
  <c r="I311" i="35"/>
  <c r="I312" i="35"/>
  <c r="I313" i="35"/>
  <c r="I314" i="35"/>
  <c r="I315" i="35"/>
  <c r="I316" i="35"/>
  <c r="I317" i="35"/>
  <c r="I324" i="35"/>
  <c r="I327" i="35"/>
  <c r="I318" i="35"/>
  <c r="I321" i="35"/>
  <c r="I320" i="35"/>
  <c r="I325" i="35"/>
  <c r="I322" i="35"/>
  <c r="I326" i="35"/>
  <c r="I319" i="35"/>
  <c r="R344" i="35"/>
  <c r="S344" i="35"/>
  <c r="T344" i="35"/>
  <c r="U344" i="35"/>
  <c r="V344" i="35"/>
  <c r="W344" i="35"/>
  <c r="X344" i="35"/>
  <c r="Y344" i="35"/>
  <c r="AJ344" i="35"/>
  <c r="AY344" i="35"/>
  <c r="AT344" i="35"/>
  <c r="AV344" i="35"/>
  <c r="AW344" i="35"/>
  <c r="AU344" i="35"/>
  <c r="BH344" i="35"/>
  <c r="BK344" i="35"/>
  <c r="BY344" i="35"/>
  <c r="BZ344" i="35"/>
  <c r="BV344" i="35"/>
  <c r="BI344" i="35"/>
  <c r="AS344" i="35"/>
  <c r="BC344" i="35"/>
  <c r="AZ344" i="35"/>
  <c r="BW344" i="35"/>
  <c r="BE344" i="35"/>
  <c r="BG344" i="35"/>
  <c r="BB344" i="35"/>
  <c r="BA344" i="35"/>
  <c r="BN344" i="35"/>
  <c r="BF344" i="35"/>
  <c r="BM344" i="35"/>
  <c r="BJ344" i="35"/>
  <c r="BR344" i="35"/>
  <c r="BP344" i="35"/>
  <c r="BO344" i="35"/>
  <c r="BS344" i="35"/>
  <c r="BD344" i="35"/>
  <c r="BT344" i="35"/>
  <c r="AR344" i="35"/>
  <c r="BL344" i="35"/>
  <c r="AX344" i="35"/>
  <c r="BQ344" i="35"/>
  <c r="BU344" i="35"/>
  <c r="Q344" i="35" l="1"/>
  <c r="AK344" i="35"/>
  <c r="AI344" i="35"/>
  <c r="AH344" i="35"/>
  <c r="AG344" i="35"/>
  <c r="AF344" i="35"/>
  <c r="AE344" i="35"/>
  <c r="AD344" i="35"/>
  <c r="AA343" i="35"/>
  <c r="Z343" i="35" s="1"/>
  <c r="R345" i="35"/>
  <c r="S345" i="35"/>
  <c r="T345" i="35"/>
  <c r="U345" i="35"/>
  <c r="V345" i="35"/>
  <c r="W345" i="35"/>
  <c r="X345" i="35"/>
  <c r="Y345" i="35"/>
  <c r="AJ345" i="35"/>
  <c r="BL345" i="35"/>
  <c r="BC345" i="35"/>
  <c r="AT345" i="35"/>
  <c r="BM345" i="35"/>
  <c r="AW345" i="35"/>
  <c r="BT345" i="35"/>
  <c r="BS345" i="35"/>
  <c r="AX345" i="35"/>
  <c r="BQ345" i="35"/>
  <c r="BK345" i="35"/>
  <c r="AR345" i="35"/>
  <c r="AS345" i="35"/>
  <c r="BD345" i="35"/>
  <c r="AZ345" i="35"/>
  <c r="BI345" i="35"/>
  <c r="BR345" i="35"/>
  <c r="BF345" i="35"/>
  <c r="BO345" i="35"/>
  <c r="BU345" i="35"/>
  <c r="BP345" i="35"/>
  <c r="BB345" i="35"/>
  <c r="BA345" i="35"/>
  <c r="BH345" i="35"/>
  <c r="BV345" i="35"/>
  <c r="AU345" i="35"/>
  <c r="BZ345" i="35"/>
  <c r="BW345" i="35"/>
  <c r="AY345" i="35"/>
  <c r="BG345" i="35"/>
  <c r="BE345" i="35"/>
  <c r="BJ345" i="35"/>
  <c r="BY345" i="35"/>
  <c r="AV345" i="35"/>
  <c r="BN345" i="35"/>
  <c r="Q345" i="35" l="1"/>
  <c r="AK345" i="35"/>
  <c r="AI345" i="35"/>
  <c r="AH345" i="35"/>
  <c r="AG345" i="35"/>
  <c r="AF345" i="35"/>
  <c r="AE345" i="35"/>
  <c r="AD345" i="35"/>
  <c r="AA344" i="35"/>
  <c r="Z344" i="35" s="1"/>
  <c r="R346" i="35"/>
  <c r="S346" i="35"/>
  <c r="T346" i="35"/>
  <c r="U346" i="35"/>
  <c r="V346" i="35"/>
  <c r="W346" i="35"/>
  <c r="X346" i="35"/>
  <c r="Y346" i="35"/>
  <c r="AJ346" i="35"/>
  <c r="BD346" i="35"/>
  <c r="AU346" i="35"/>
  <c r="AR346" i="35"/>
  <c r="BK346" i="35"/>
  <c r="BE346" i="35"/>
  <c r="BG346" i="35"/>
  <c r="BN346" i="35"/>
  <c r="BS346" i="35"/>
  <c r="BU346" i="35"/>
  <c r="BP346" i="35"/>
  <c r="BI346" i="35"/>
  <c r="BJ346" i="35"/>
  <c r="BY346" i="35"/>
  <c r="AZ346" i="35"/>
  <c r="BW346" i="35"/>
  <c r="BC346" i="35"/>
  <c r="BH346" i="35"/>
  <c r="BT346" i="35"/>
  <c r="BB346" i="35"/>
  <c r="BL346" i="35"/>
  <c r="AV346" i="35"/>
  <c r="AW346" i="35"/>
  <c r="BM346" i="35"/>
  <c r="AY346" i="35"/>
  <c r="AS346" i="35"/>
  <c r="BA346" i="35"/>
  <c r="AX346" i="35"/>
  <c r="BV346" i="35"/>
  <c r="BF346" i="35"/>
  <c r="BZ346" i="35"/>
  <c r="AT346" i="35"/>
  <c r="BO346" i="35"/>
  <c r="BR346" i="35"/>
  <c r="BQ346" i="35"/>
  <c r="Q346" i="35" l="1"/>
  <c r="AK346" i="35"/>
  <c r="AI346" i="35"/>
  <c r="AH346" i="35"/>
  <c r="AG346" i="35"/>
  <c r="AF346" i="35"/>
  <c r="AE346" i="35"/>
  <c r="AD346" i="35"/>
  <c r="AA345" i="35"/>
  <c r="Z345" i="35" s="1"/>
  <c r="R347" i="35"/>
  <c r="S347" i="35"/>
  <c r="T347" i="35"/>
  <c r="U347" i="35"/>
  <c r="V347" i="35"/>
  <c r="W347" i="35"/>
  <c r="X347" i="35"/>
  <c r="Y347" i="35"/>
  <c r="AJ347" i="35"/>
  <c r="BL347" i="35"/>
  <c r="BT347" i="35"/>
  <c r="BH347" i="35"/>
  <c r="BO347" i="35"/>
  <c r="BV347" i="35"/>
  <c r="BW347" i="35"/>
  <c r="BD347" i="35"/>
  <c r="AW347" i="35"/>
  <c r="BI347" i="35"/>
  <c r="AV347" i="35"/>
  <c r="BF347" i="35"/>
  <c r="BJ347" i="35"/>
  <c r="BK347" i="35"/>
  <c r="AT347" i="35"/>
  <c r="AZ347" i="35"/>
  <c r="AS347" i="35"/>
  <c r="BY347" i="35"/>
  <c r="BS347" i="35"/>
  <c r="BN347" i="35"/>
  <c r="AX347" i="35"/>
  <c r="BM347" i="35"/>
  <c r="BP347" i="35"/>
  <c r="BR347" i="35"/>
  <c r="BQ347" i="35"/>
  <c r="AY347" i="35"/>
  <c r="BG347" i="35"/>
  <c r="BU347" i="35"/>
  <c r="BA347" i="35"/>
  <c r="AU347" i="35"/>
  <c r="BE347" i="35"/>
  <c r="BC347" i="35"/>
  <c r="BZ347" i="35"/>
  <c r="BB347" i="35"/>
  <c r="AR347" i="35"/>
  <c r="Q347" i="35" l="1"/>
  <c r="AK347" i="35"/>
  <c r="AI347" i="35"/>
  <c r="AH347" i="35"/>
  <c r="AG347" i="35"/>
  <c r="AF347" i="35"/>
  <c r="AE347" i="35"/>
  <c r="AD347" i="35"/>
  <c r="AA346" i="35"/>
  <c r="Z346" i="35" s="1"/>
  <c r="R348" i="35"/>
  <c r="S348" i="35"/>
  <c r="T348" i="35"/>
  <c r="U348" i="35"/>
  <c r="V348" i="35"/>
  <c r="W348" i="35"/>
  <c r="X348" i="35"/>
  <c r="Y348" i="35"/>
  <c r="AJ348" i="35"/>
  <c r="AR348" i="35"/>
  <c r="AX348" i="35"/>
  <c r="BI348" i="35"/>
  <c r="BK348" i="35"/>
  <c r="BV348" i="35"/>
  <c r="BP348" i="35"/>
  <c r="BJ348" i="35"/>
  <c r="BU348" i="35"/>
  <c r="BM348" i="35"/>
  <c r="BF348" i="35"/>
  <c r="AV348" i="35"/>
  <c r="AT348" i="35"/>
  <c r="BD348" i="35"/>
  <c r="BN348" i="35"/>
  <c r="BQ348" i="35"/>
  <c r="BL348" i="35"/>
  <c r="AU348" i="35"/>
  <c r="BA348" i="35"/>
  <c r="BZ348" i="35"/>
  <c r="BO348" i="35"/>
  <c r="BB348" i="35"/>
  <c r="BE348" i="35"/>
  <c r="AZ348" i="35"/>
  <c r="BW348" i="35"/>
  <c r="BG348" i="35"/>
  <c r="BS348" i="35"/>
  <c r="BH348" i="35"/>
  <c r="AS348" i="35"/>
  <c r="AY348" i="35"/>
  <c r="BT348" i="35"/>
  <c r="BC348" i="35"/>
  <c r="BY348" i="35"/>
  <c r="BR348" i="35"/>
  <c r="AW348" i="35"/>
  <c r="Q348" i="35" l="1"/>
  <c r="AK348" i="35"/>
  <c r="AI348" i="35"/>
  <c r="AH348" i="35"/>
  <c r="AG348" i="35"/>
  <c r="AF348" i="35"/>
  <c r="AE348" i="35"/>
  <c r="AD348" i="35"/>
  <c r="AA347" i="35"/>
  <c r="Z347" i="35" s="1"/>
  <c r="R349" i="35"/>
  <c r="S349" i="35"/>
  <c r="T349" i="35"/>
  <c r="U349" i="35"/>
  <c r="V349" i="35"/>
  <c r="W349" i="35"/>
  <c r="X349" i="35"/>
  <c r="Y349" i="35"/>
  <c r="AJ349" i="35"/>
  <c r="BH349" i="35"/>
  <c r="BN349" i="35"/>
  <c r="BS349" i="35"/>
  <c r="AX349" i="35"/>
  <c r="BC349" i="35"/>
  <c r="BT349" i="35"/>
  <c r="AU349" i="35"/>
  <c r="AV349" i="35"/>
  <c r="AZ349" i="35"/>
  <c r="AR349" i="35"/>
  <c r="BP349" i="35"/>
  <c r="BQ349" i="35"/>
  <c r="AS349" i="35"/>
  <c r="BI349" i="35"/>
  <c r="BK349" i="35"/>
  <c r="BG349" i="35"/>
  <c r="BA349" i="35"/>
  <c r="AT349" i="35"/>
  <c r="BZ349" i="35"/>
  <c r="BW349" i="35"/>
  <c r="BF349" i="35"/>
  <c r="BO349" i="35"/>
  <c r="AW349" i="35"/>
  <c r="AY349" i="35"/>
  <c r="BE349" i="35"/>
  <c r="BU349" i="35"/>
  <c r="BV349" i="35"/>
  <c r="BB349" i="35"/>
  <c r="BM349" i="35"/>
  <c r="BY349" i="35"/>
  <c r="BL349" i="35"/>
  <c r="BR349" i="35"/>
  <c r="BD349" i="35"/>
  <c r="BJ349" i="35"/>
  <c r="Q349" i="35" l="1"/>
  <c r="AK349" i="35"/>
  <c r="AI349" i="35"/>
  <c r="AH349" i="35"/>
  <c r="AG349" i="35"/>
  <c r="AF349" i="35"/>
  <c r="AE349" i="35"/>
  <c r="AD349" i="35"/>
  <c r="AA348" i="35"/>
  <c r="Z348" i="35" s="1"/>
  <c r="R350" i="35"/>
  <c r="S350" i="35"/>
  <c r="T350" i="35"/>
  <c r="U350" i="35"/>
  <c r="V350" i="35"/>
  <c r="W350" i="35"/>
  <c r="X350" i="35"/>
  <c r="Y350" i="35"/>
  <c r="AJ350" i="35"/>
  <c r="AZ350" i="35"/>
  <c r="BC350" i="35"/>
  <c r="BJ350" i="35"/>
  <c r="BK350" i="35"/>
  <c r="BT350" i="35"/>
  <c r="BN350" i="35"/>
  <c r="AX350" i="35"/>
  <c r="AU350" i="35"/>
  <c r="BP350" i="35"/>
  <c r="BW350" i="35"/>
  <c r="BS350" i="35"/>
  <c r="BI350" i="35"/>
  <c r="BR350" i="35"/>
  <c r="BU350" i="35"/>
  <c r="BF350" i="35"/>
  <c r="AY350" i="35"/>
  <c r="AW350" i="35"/>
  <c r="BO350" i="35"/>
  <c r="BE350" i="35"/>
  <c r="BH350" i="35"/>
  <c r="AV350" i="35"/>
  <c r="AR350" i="35"/>
  <c r="BA350" i="35"/>
  <c r="AS350" i="35"/>
  <c r="BB350" i="35"/>
  <c r="AT350" i="35"/>
  <c r="BV350" i="35"/>
  <c r="BZ350" i="35"/>
  <c r="BQ350" i="35"/>
  <c r="BL350" i="35"/>
  <c r="BD350" i="35"/>
  <c r="BM350" i="35"/>
  <c r="BG350" i="35"/>
  <c r="BY350" i="35"/>
  <c r="Q350" i="35" l="1"/>
  <c r="AK350" i="35"/>
  <c r="AI350" i="35"/>
  <c r="AH350" i="35"/>
  <c r="AG350" i="35"/>
  <c r="AF350" i="35"/>
  <c r="AE350" i="35"/>
  <c r="AD350" i="35"/>
  <c r="AA349" i="35"/>
  <c r="Z349" i="35" s="1"/>
  <c r="R351" i="35"/>
  <c r="S351" i="35"/>
  <c r="T351" i="35"/>
  <c r="U351" i="35"/>
  <c r="V351" i="35"/>
  <c r="W351" i="35"/>
  <c r="X351" i="35"/>
  <c r="Y351" i="35"/>
  <c r="AJ351" i="35"/>
  <c r="BS351" i="35"/>
  <c r="BD351" i="35"/>
  <c r="BB351" i="35"/>
  <c r="BA351" i="35"/>
  <c r="BW351" i="35"/>
  <c r="BE351" i="35"/>
  <c r="BU351" i="35"/>
  <c r="BR351" i="35"/>
  <c r="AW351" i="35"/>
  <c r="BO351" i="35"/>
  <c r="AU351" i="35"/>
  <c r="BP351" i="35"/>
  <c r="AR351" i="35"/>
  <c r="BC351" i="35"/>
  <c r="BK351" i="35"/>
  <c r="BM351" i="35"/>
  <c r="BQ351" i="35"/>
  <c r="BV351" i="35"/>
  <c r="BG351" i="35"/>
  <c r="AV351" i="35"/>
  <c r="BN351" i="35"/>
  <c r="BI351" i="35"/>
  <c r="AX351" i="35"/>
  <c r="BY351" i="35"/>
  <c r="AT351" i="35"/>
  <c r="BL351" i="35"/>
  <c r="BH351" i="35"/>
  <c r="BJ351" i="35"/>
  <c r="AY351" i="35"/>
  <c r="AZ351" i="35"/>
  <c r="BF351" i="35"/>
  <c r="BT351" i="35"/>
  <c r="AS351" i="35"/>
  <c r="BZ351" i="35"/>
  <c r="Q351" i="35" l="1"/>
  <c r="AK351" i="35"/>
  <c r="AI351" i="35"/>
  <c r="AH351" i="35"/>
  <c r="AG351" i="35"/>
  <c r="AF351" i="35"/>
  <c r="AE351" i="35"/>
  <c r="AD351" i="35"/>
  <c r="AA350" i="35"/>
  <c r="Z350" i="35" s="1"/>
  <c r="R352" i="35"/>
  <c r="S352" i="35"/>
  <c r="T352" i="35"/>
  <c r="U352" i="35"/>
  <c r="V352" i="35"/>
  <c r="W352" i="35"/>
  <c r="X352" i="35"/>
  <c r="Y352" i="35"/>
  <c r="AJ352" i="35"/>
  <c r="BN352" i="35"/>
  <c r="AR352" i="35"/>
  <c r="BW352" i="35"/>
  <c r="BR352" i="35"/>
  <c r="BG352" i="35"/>
  <c r="BA352" i="35"/>
  <c r="AV352" i="35"/>
  <c r="BL352" i="35"/>
  <c r="AX352" i="35"/>
  <c r="BY352" i="35"/>
  <c r="BS352" i="35"/>
  <c r="AT352" i="35"/>
  <c r="BE352" i="35"/>
  <c r="BD352" i="35"/>
  <c r="AW352" i="35"/>
  <c r="BH352" i="35"/>
  <c r="AZ352" i="35"/>
  <c r="BB352" i="35"/>
  <c r="BM352" i="35"/>
  <c r="BC352" i="35"/>
  <c r="BU352" i="35"/>
  <c r="AY352" i="35"/>
  <c r="BJ352" i="35"/>
  <c r="BI352" i="35"/>
  <c r="AU352" i="35"/>
  <c r="BQ352" i="35"/>
  <c r="BP352" i="35"/>
  <c r="BV352" i="35"/>
  <c r="AS352" i="35"/>
  <c r="BO352" i="35"/>
  <c r="BK352" i="35"/>
  <c r="BZ352" i="35"/>
  <c r="BT352" i="35"/>
  <c r="BF352" i="35"/>
  <c r="Q352" i="35" l="1"/>
  <c r="AK352" i="35"/>
  <c r="AI352" i="35"/>
  <c r="AH352" i="35"/>
  <c r="AG352" i="35"/>
  <c r="AF352" i="35"/>
  <c r="AE352" i="35"/>
  <c r="AD352" i="35"/>
  <c r="AA351" i="35"/>
  <c r="Z351" i="35" s="1"/>
  <c r="R353" i="35"/>
  <c r="S353" i="35"/>
  <c r="T353" i="35"/>
  <c r="U353" i="35"/>
  <c r="V353" i="35"/>
  <c r="W353" i="35"/>
  <c r="X353" i="35"/>
  <c r="Y353" i="35"/>
  <c r="AJ353" i="35"/>
  <c r="BN353" i="35"/>
  <c r="BJ353" i="35"/>
  <c r="BI353" i="35"/>
  <c r="BD353" i="35"/>
  <c r="BG353" i="35"/>
  <c r="BM353" i="35"/>
  <c r="BY353" i="35"/>
  <c r="BA353" i="35"/>
  <c r="BB353" i="35"/>
  <c r="BL353" i="35"/>
  <c r="BS353" i="35"/>
  <c r="BR353" i="35"/>
  <c r="AW353" i="35"/>
  <c r="BU353" i="35"/>
  <c r="AR353" i="35"/>
  <c r="AU353" i="35"/>
  <c r="BV353" i="35"/>
  <c r="BH353" i="35"/>
  <c r="BT353" i="35"/>
  <c r="AV353" i="35"/>
  <c r="BE353" i="35"/>
  <c r="AX353" i="35"/>
  <c r="BK353" i="35"/>
  <c r="AZ353" i="35"/>
  <c r="BO353" i="35"/>
  <c r="BF353" i="35"/>
  <c r="AS353" i="35"/>
  <c r="BC353" i="35"/>
  <c r="AY353" i="35"/>
  <c r="BP353" i="35"/>
  <c r="BQ353" i="35"/>
  <c r="BW353" i="35"/>
  <c r="AT353" i="35"/>
  <c r="BZ353" i="35"/>
  <c r="Q353" i="35" l="1"/>
  <c r="AK353" i="35"/>
  <c r="AI353" i="35"/>
  <c r="AH353" i="35"/>
  <c r="AG353" i="35"/>
  <c r="AF353" i="35"/>
  <c r="AE353" i="35"/>
  <c r="AD353" i="35"/>
  <c r="AA352" i="35"/>
  <c r="Z352" i="35" s="1"/>
  <c r="R354" i="35"/>
  <c r="S354" i="35"/>
  <c r="T354" i="35"/>
  <c r="U354" i="35"/>
  <c r="V354" i="35"/>
  <c r="W354" i="35"/>
  <c r="X354" i="35"/>
  <c r="Y354" i="35"/>
  <c r="AJ354" i="35"/>
  <c r="AS354" i="35"/>
  <c r="BP354" i="35"/>
  <c r="BM354" i="35"/>
  <c r="BB354" i="35"/>
  <c r="AY354" i="35"/>
  <c r="AZ354" i="35"/>
  <c r="BK354" i="35"/>
  <c r="BJ354" i="35"/>
  <c r="BL354" i="35"/>
  <c r="BW354" i="35"/>
  <c r="BF354" i="35"/>
  <c r="AU354" i="35"/>
  <c r="BO354" i="35"/>
  <c r="BT354" i="35"/>
  <c r="BY354" i="35"/>
  <c r="AX354" i="35"/>
  <c r="AV354" i="35"/>
  <c r="BC354" i="35"/>
  <c r="BA354" i="35"/>
  <c r="AW354" i="35"/>
  <c r="BI354" i="35"/>
  <c r="BH354" i="35"/>
  <c r="BZ354" i="35"/>
  <c r="BR354" i="35"/>
  <c r="BQ354" i="35"/>
  <c r="BS354" i="35"/>
  <c r="BU354" i="35"/>
  <c r="BE354" i="35"/>
  <c r="AT354" i="35"/>
  <c r="AR354" i="35"/>
  <c r="BD354" i="35"/>
  <c r="BV354" i="35"/>
  <c r="BG354" i="35"/>
  <c r="BN354" i="35"/>
  <c r="Q354" i="35" l="1"/>
  <c r="AK354" i="35"/>
  <c r="AI354" i="35"/>
  <c r="AH354" i="35"/>
  <c r="AG354" i="35"/>
  <c r="AF354" i="35"/>
  <c r="AE354" i="35"/>
  <c r="AD354" i="35"/>
  <c r="AA353" i="35"/>
  <c r="Z353" i="35" s="1"/>
  <c r="R355" i="35"/>
  <c r="S355" i="35"/>
  <c r="T355" i="35"/>
  <c r="U355" i="35"/>
  <c r="V355" i="35"/>
  <c r="W355" i="35"/>
  <c r="X355" i="35"/>
  <c r="Y355" i="35"/>
  <c r="AJ355" i="35"/>
  <c r="AW355" i="35"/>
  <c r="BH355" i="35"/>
  <c r="BV355" i="35"/>
  <c r="BJ355" i="35"/>
  <c r="BC355" i="35"/>
  <c r="BM355" i="35"/>
  <c r="BZ355" i="35"/>
  <c r="BS355" i="35"/>
  <c r="BE355" i="35"/>
  <c r="BU355" i="35"/>
  <c r="AU355" i="35"/>
  <c r="AS355" i="35"/>
  <c r="BT355" i="35"/>
  <c r="BQ355" i="35"/>
  <c r="BY355" i="35"/>
  <c r="BI355" i="35"/>
  <c r="BN355" i="35"/>
  <c r="BK355" i="35"/>
  <c r="BL355" i="35"/>
  <c r="BR355" i="35"/>
  <c r="AZ355" i="35"/>
  <c r="AY355" i="35"/>
  <c r="AV355" i="35"/>
  <c r="BF355" i="35"/>
  <c r="BG355" i="35"/>
  <c r="BB355" i="35"/>
  <c r="BW355" i="35"/>
  <c r="AR355" i="35"/>
  <c r="BO355" i="35"/>
  <c r="AT355" i="35"/>
  <c r="BA355" i="35"/>
  <c r="BD355" i="35"/>
  <c r="BP355" i="35"/>
  <c r="AX355" i="35"/>
  <c r="Q355" i="35" l="1"/>
  <c r="AK355" i="35"/>
  <c r="AI355" i="35"/>
  <c r="AH355" i="35"/>
  <c r="AG355" i="35"/>
  <c r="AF355" i="35"/>
  <c r="AE355" i="35"/>
  <c r="AD355" i="35"/>
  <c r="AA354" i="35"/>
  <c r="Z354" i="35" s="1"/>
  <c r="R356" i="35"/>
  <c r="S356" i="35"/>
  <c r="T356" i="35"/>
  <c r="U356" i="35"/>
  <c r="V356" i="35"/>
  <c r="W356" i="35"/>
  <c r="X356" i="35"/>
  <c r="Y356" i="35"/>
  <c r="AJ356" i="35"/>
  <c r="BL356" i="35"/>
  <c r="BI356" i="35"/>
  <c r="BT356" i="35"/>
  <c r="BP356" i="35"/>
  <c r="AV356" i="35"/>
  <c r="BV356" i="35"/>
  <c r="BN356" i="35"/>
  <c r="BE356" i="35"/>
  <c r="BY356" i="35"/>
  <c r="BO356" i="35"/>
  <c r="BF356" i="35"/>
  <c r="BR356" i="35"/>
  <c r="BK356" i="35"/>
  <c r="AW356" i="35"/>
  <c r="BJ356" i="35"/>
  <c r="AR356" i="35"/>
  <c r="BS356" i="35"/>
  <c r="AX356" i="35"/>
  <c r="AZ356" i="35"/>
  <c r="BA356" i="35"/>
  <c r="BU356" i="35"/>
  <c r="BG356" i="35"/>
  <c r="AU356" i="35"/>
  <c r="AY356" i="35"/>
  <c r="BM356" i="35"/>
  <c r="AT356" i="35"/>
  <c r="AS356" i="35"/>
  <c r="BD356" i="35"/>
  <c r="BQ356" i="35"/>
  <c r="BW356" i="35"/>
  <c r="BZ356" i="35"/>
  <c r="BB356" i="35"/>
  <c r="BH356" i="35"/>
  <c r="BC356" i="35"/>
  <c r="Q356" i="35" l="1"/>
  <c r="AK356" i="35"/>
  <c r="AI356" i="35"/>
  <c r="AH356" i="35"/>
  <c r="AG356" i="35"/>
  <c r="AF356" i="35"/>
  <c r="AE356" i="35"/>
  <c r="AD356" i="35"/>
  <c r="AA355" i="35"/>
  <c r="Z355" i="35" s="1"/>
  <c r="R357" i="35"/>
  <c r="S357" i="35"/>
  <c r="T357" i="35"/>
  <c r="U357" i="35"/>
  <c r="V357" i="35"/>
  <c r="W357" i="35"/>
  <c r="X357" i="35"/>
  <c r="Y357" i="35"/>
  <c r="AJ357" i="35"/>
  <c r="BP357" i="35"/>
  <c r="BD357" i="35"/>
  <c r="BR357" i="35"/>
  <c r="BH357" i="35"/>
  <c r="AZ357" i="35"/>
  <c r="BQ357" i="35"/>
  <c r="AX357" i="35"/>
  <c r="BN357" i="35"/>
  <c r="BV357" i="35"/>
  <c r="BJ357" i="35"/>
  <c r="BC357" i="35"/>
  <c r="BG357" i="35"/>
  <c r="BW357" i="35"/>
  <c r="BM357" i="35"/>
  <c r="BT357" i="35"/>
  <c r="BA357" i="35"/>
  <c r="BS357" i="35"/>
  <c r="BO357" i="35"/>
  <c r="AY357" i="35"/>
  <c r="BK357" i="35"/>
  <c r="BF357" i="35"/>
  <c r="BZ357" i="35"/>
  <c r="AU357" i="35"/>
  <c r="AR357" i="35"/>
  <c r="BY357" i="35"/>
  <c r="BE357" i="35"/>
  <c r="AT357" i="35"/>
  <c r="BL357" i="35"/>
  <c r="BI357" i="35"/>
  <c r="BB357" i="35"/>
  <c r="AW357" i="35"/>
  <c r="AV357" i="35"/>
  <c r="BU357" i="35"/>
  <c r="AS357" i="35"/>
  <c r="Q357" i="35" l="1"/>
  <c r="AK357" i="35"/>
  <c r="AI357" i="35"/>
  <c r="AH357" i="35"/>
  <c r="AG357" i="35"/>
  <c r="AF357" i="35"/>
  <c r="AE357" i="35"/>
  <c r="AD357" i="35"/>
  <c r="AA356" i="35"/>
  <c r="Z356" i="35" s="1"/>
  <c r="R358" i="35"/>
  <c r="S358" i="35"/>
  <c r="T358" i="35"/>
  <c r="U358" i="35"/>
  <c r="V358" i="35"/>
  <c r="W358" i="35"/>
  <c r="X358" i="35"/>
  <c r="Y358" i="35"/>
  <c r="AJ358" i="35"/>
  <c r="BC358" i="35"/>
  <c r="BE358" i="35"/>
  <c r="AX358" i="35"/>
  <c r="BQ358" i="35"/>
  <c r="BJ358" i="35"/>
  <c r="BZ358" i="35"/>
  <c r="AZ358" i="35"/>
  <c r="BU358" i="35"/>
  <c r="AR358" i="35"/>
  <c r="BB358" i="35"/>
  <c r="AW358" i="35"/>
  <c r="BS358" i="35"/>
  <c r="AV358" i="35"/>
  <c r="BO358" i="35"/>
  <c r="BV358" i="35"/>
  <c r="AT358" i="35"/>
  <c r="BG358" i="35"/>
  <c r="BA358" i="35"/>
  <c r="BI358" i="35"/>
  <c r="AU358" i="35"/>
  <c r="BD358" i="35"/>
  <c r="BW358" i="35"/>
  <c r="BR358" i="35"/>
  <c r="AS358" i="35"/>
  <c r="BL358" i="35"/>
  <c r="BH358" i="35"/>
  <c r="BK358" i="35"/>
  <c r="BY358" i="35"/>
  <c r="AY358" i="35"/>
  <c r="BF358" i="35"/>
  <c r="BM358" i="35"/>
  <c r="BT358" i="35"/>
  <c r="BN358" i="35"/>
  <c r="BP358" i="35"/>
  <c r="Q358" i="35" l="1"/>
  <c r="AK358" i="35"/>
  <c r="AI358" i="35"/>
  <c r="AH358" i="35"/>
  <c r="AG358" i="35"/>
  <c r="AF358" i="35"/>
  <c r="AE358" i="35"/>
  <c r="AD358" i="35"/>
  <c r="AA357" i="35"/>
  <c r="Z357" i="35" s="1"/>
  <c r="D359" i="35"/>
  <c r="R359" i="35"/>
  <c r="S359" i="35"/>
  <c r="T359" i="35"/>
  <c r="U359" i="35"/>
  <c r="V359" i="35"/>
  <c r="W359" i="35"/>
  <c r="X359" i="35"/>
  <c r="Y359" i="35"/>
  <c r="AJ359" i="35"/>
  <c r="AT359" i="35"/>
  <c r="AZ359" i="35"/>
  <c r="BI359" i="35"/>
  <c r="AV359" i="35"/>
  <c r="BF359" i="35"/>
  <c r="BM359" i="35"/>
  <c r="BA359" i="35"/>
  <c r="BO359" i="35"/>
  <c r="AW359" i="35"/>
  <c r="AR359" i="35"/>
  <c r="AX359" i="35"/>
  <c r="BW359" i="35"/>
  <c r="BR359" i="35"/>
  <c r="BU359" i="35"/>
  <c r="BZ359" i="35"/>
  <c r="BE359" i="35"/>
  <c r="BQ359" i="35"/>
  <c r="BN359" i="35"/>
  <c r="BY359" i="35"/>
  <c r="BH359" i="35"/>
  <c r="AS359" i="35"/>
  <c r="BC359" i="35"/>
  <c r="BL359" i="35"/>
  <c r="BT359" i="35"/>
  <c r="BD359" i="35"/>
  <c r="BV359" i="35"/>
  <c r="BP359" i="35"/>
  <c r="BS359" i="35"/>
  <c r="AY359" i="35"/>
  <c r="BG359" i="35"/>
  <c r="AU359" i="35"/>
  <c r="BK359" i="35"/>
  <c r="BJ359" i="35"/>
  <c r="BB359" i="35"/>
  <c r="Q359" i="35" l="1"/>
  <c r="AK359" i="35"/>
  <c r="AI359" i="35"/>
  <c r="AH359" i="35"/>
  <c r="AG359" i="35"/>
  <c r="AF359" i="35"/>
  <c r="AE359" i="35"/>
  <c r="AD359" i="35"/>
  <c r="AA358" i="35"/>
  <c r="Z358" i="35" s="1"/>
  <c r="D360" i="35"/>
  <c r="R360" i="35"/>
  <c r="S360" i="35"/>
  <c r="T360" i="35"/>
  <c r="U360" i="35"/>
  <c r="V360" i="35"/>
  <c r="W360" i="35"/>
  <c r="X360" i="35"/>
  <c r="Y360" i="35"/>
  <c r="AJ360" i="35"/>
  <c r="BM360" i="35"/>
  <c r="BS360" i="35"/>
  <c r="BT360" i="35"/>
  <c r="AW360" i="35"/>
  <c r="BH360" i="35"/>
  <c r="BF360" i="35"/>
  <c r="BU360" i="35"/>
  <c r="BC360" i="35"/>
  <c r="BN360" i="35"/>
  <c r="BO360" i="35"/>
  <c r="BR360" i="35"/>
  <c r="BL360" i="35"/>
  <c r="BK360" i="35"/>
  <c r="BP360" i="35"/>
  <c r="BI360" i="35"/>
  <c r="BB360" i="35"/>
  <c r="BG360" i="35"/>
  <c r="BV360" i="35"/>
  <c r="BW360" i="35"/>
  <c r="AR360" i="35"/>
  <c r="AT360" i="35"/>
  <c r="BA360" i="35"/>
  <c r="BZ360" i="35"/>
  <c r="BE360" i="35"/>
  <c r="AX360" i="35"/>
  <c r="BQ360" i="35"/>
  <c r="AU360" i="35"/>
  <c r="AY360" i="35"/>
  <c r="BJ360" i="35"/>
  <c r="AZ360" i="35"/>
  <c r="AV360" i="35"/>
  <c r="BD360" i="35"/>
  <c r="AS360" i="35"/>
  <c r="BY360" i="35"/>
  <c r="Q360" i="35" l="1"/>
  <c r="AK360" i="35"/>
  <c r="AI360" i="35"/>
  <c r="AH360" i="35"/>
  <c r="AG360" i="35"/>
  <c r="AF360" i="35"/>
  <c r="AE360" i="35"/>
  <c r="AD360" i="35"/>
  <c r="AA359" i="35"/>
  <c r="Z359" i="35" s="1"/>
  <c r="AA360" i="35" l="1"/>
  <c r="Z360" i="35" s="1"/>
  <c r="D362" i="35"/>
  <c r="D363" i="35" l="1"/>
  <c r="D365" i="35" l="1"/>
  <c r="D366" i="35"/>
  <c r="D368" i="35"/>
  <c r="D369" i="35"/>
  <c r="AR103" i="35"/>
  <c r="AS103" i="35"/>
  <c r="AT103" i="35"/>
  <c r="AU103" i="35"/>
  <c r="AV103" i="35"/>
  <c r="AW103" i="35"/>
  <c r="AX103" i="35"/>
  <c r="AY103" i="35"/>
  <c r="AZ103" i="35"/>
  <c r="BA103" i="35"/>
  <c r="BB103" i="35"/>
  <c r="BC103" i="35"/>
  <c r="BD103" i="35"/>
  <c r="BE103" i="35"/>
  <c r="BF103" i="35"/>
  <c r="AC104" i="35"/>
  <c r="BH104" i="35"/>
  <c r="BQ104" i="35"/>
  <c r="BU104" i="35"/>
  <c r="BJ104" i="35"/>
  <c r="BM104" i="35"/>
  <c r="BY104" i="35"/>
  <c r="AS104" i="35"/>
  <c r="BF104" i="35"/>
  <c r="AY104" i="35"/>
  <c r="BC104" i="35"/>
  <c r="BV104" i="35"/>
  <c r="AR104" i="35"/>
  <c r="BZ104" i="35"/>
  <c r="AV104" i="35"/>
  <c r="AZ104" i="35"/>
  <c r="BG104" i="35"/>
  <c r="BP104" i="35"/>
  <c r="BB104" i="35"/>
  <c r="AU104" i="35"/>
  <c r="BD104" i="35"/>
  <c r="BL104" i="35"/>
  <c r="BO104" i="35"/>
  <c r="BN104" i="35"/>
  <c r="BW104" i="35"/>
  <c r="BI104" i="35"/>
  <c r="BS104" i="35"/>
  <c r="BR104" i="35"/>
  <c r="BT104" i="35"/>
  <c r="BE104" i="35"/>
  <c r="BK104" i="35"/>
  <c r="AT104" i="35"/>
  <c r="AW104" i="35"/>
  <c r="AX104" i="35"/>
  <c r="BA104" i="35"/>
  <c r="O342" i="35" l="1" a="1"/>
  <c r="O342" i="35" s="1"/>
  <c r="AG104" i="35"/>
  <c r="AF104" i="35"/>
  <c r="AE104" i="35"/>
  <c r="AB104" i="35"/>
  <c r="AI104" i="35"/>
  <c r="AH104" i="35"/>
  <c r="AD104" i="35"/>
  <c r="AK104" i="35"/>
  <c r="AJ104" i="35"/>
  <c r="R106" i="35"/>
  <c r="S106" i="35"/>
  <c r="T106" i="35"/>
  <c r="U106" i="35"/>
  <c r="V106" i="35"/>
  <c r="W106" i="35"/>
  <c r="X106" i="35"/>
  <c r="Y106" i="35"/>
  <c r="AJ106" i="35"/>
  <c r="R107" i="35"/>
  <c r="S107" i="35"/>
  <c r="T107" i="35"/>
  <c r="U107" i="35"/>
  <c r="V107" i="35"/>
  <c r="W107" i="35"/>
  <c r="X107" i="35"/>
  <c r="Y107" i="35"/>
  <c r="AJ107" i="35"/>
  <c r="R108" i="35"/>
  <c r="S108" i="35"/>
  <c r="T108" i="35"/>
  <c r="U108" i="35"/>
  <c r="V108" i="35"/>
  <c r="W108" i="35"/>
  <c r="X108" i="35"/>
  <c r="Y108" i="35"/>
  <c r="AJ108" i="35"/>
  <c r="R109" i="35"/>
  <c r="S109" i="35"/>
  <c r="T109" i="35"/>
  <c r="U109" i="35"/>
  <c r="V109" i="35"/>
  <c r="W109" i="35"/>
  <c r="X109" i="35"/>
  <c r="Y109" i="35"/>
  <c r="AJ109" i="35"/>
  <c r="R110" i="35"/>
  <c r="S110" i="35"/>
  <c r="T110" i="35"/>
  <c r="U110" i="35"/>
  <c r="V110" i="35"/>
  <c r="W110" i="35"/>
  <c r="X110" i="35"/>
  <c r="Y110" i="35"/>
  <c r="AJ110" i="35"/>
  <c r="R111" i="35"/>
  <c r="S111" i="35"/>
  <c r="T111" i="35"/>
  <c r="U111" i="35"/>
  <c r="V111" i="35"/>
  <c r="W111" i="35"/>
  <c r="X111" i="35"/>
  <c r="Y111" i="35"/>
  <c r="AJ111" i="35"/>
  <c r="R112" i="35"/>
  <c r="S112" i="35"/>
  <c r="T112" i="35"/>
  <c r="U112" i="35"/>
  <c r="V112" i="35"/>
  <c r="W112" i="35"/>
  <c r="X112" i="35"/>
  <c r="Y112" i="35"/>
  <c r="AJ112" i="35"/>
  <c r="R113" i="35"/>
  <c r="S113" i="35"/>
  <c r="T113" i="35"/>
  <c r="U113" i="35"/>
  <c r="V113" i="35"/>
  <c r="W113" i="35"/>
  <c r="X113" i="35"/>
  <c r="Y113" i="35"/>
  <c r="AJ113" i="35"/>
  <c r="R114" i="35"/>
  <c r="S114" i="35"/>
  <c r="T114" i="35"/>
  <c r="U114" i="35"/>
  <c r="V114" i="35"/>
  <c r="W114" i="35"/>
  <c r="X114" i="35"/>
  <c r="Y114" i="35"/>
  <c r="AJ114" i="35"/>
  <c r="R115" i="35"/>
  <c r="S115" i="35"/>
  <c r="T115" i="35"/>
  <c r="U115" i="35"/>
  <c r="V115" i="35"/>
  <c r="W115" i="35"/>
  <c r="X115" i="35"/>
  <c r="Y115" i="35"/>
  <c r="AJ115" i="35"/>
  <c r="R116" i="35"/>
  <c r="S116" i="35"/>
  <c r="T116" i="35"/>
  <c r="U116" i="35"/>
  <c r="V116" i="35"/>
  <c r="W116" i="35"/>
  <c r="X116" i="35"/>
  <c r="Y116" i="35"/>
  <c r="AJ116" i="35"/>
  <c r="R117" i="35"/>
  <c r="S117" i="35"/>
  <c r="T117" i="35"/>
  <c r="U117" i="35"/>
  <c r="V117" i="35"/>
  <c r="W117" i="35"/>
  <c r="X117" i="35"/>
  <c r="Y117" i="35"/>
  <c r="AJ117" i="35"/>
  <c r="R118" i="35"/>
  <c r="S118" i="35"/>
  <c r="T118" i="35"/>
  <c r="U118" i="35"/>
  <c r="V118" i="35"/>
  <c r="W118" i="35"/>
  <c r="X118" i="35"/>
  <c r="Y118" i="35"/>
  <c r="AJ118" i="35"/>
  <c r="R119" i="35"/>
  <c r="S119" i="35"/>
  <c r="T119" i="35"/>
  <c r="U119" i="35"/>
  <c r="V119" i="35"/>
  <c r="W119" i="35"/>
  <c r="X119" i="35"/>
  <c r="Y119" i="35"/>
  <c r="AJ119" i="35"/>
  <c r="R120" i="35"/>
  <c r="S120" i="35"/>
  <c r="T120" i="35"/>
  <c r="U120" i="35"/>
  <c r="V120" i="35"/>
  <c r="W120" i="35"/>
  <c r="X120" i="35"/>
  <c r="Y120" i="35"/>
  <c r="AJ120" i="35"/>
  <c r="R121" i="35"/>
  <c r="S121" i="35"/>
  <c r="T121" i="35"/>
  <c r="U121" i="35"/>
  <c r="V121" i="35"/>
  <c r="W121" i="35"/>
  <c r="X121" i="35"/>
  <c r="Y121" i="35"/>
  <c r="AJ121" i="35"/>
  <c r="R122" i="35"/>
  <c r="S122" i="35"/>
  <c r="T122" i="35"/>
  <c r="U122" i="35"/>
  <c r="V122" i="35"/>
  <c r="W122" i="35"/>
  <c r="X122" i="35"/>
  <c r="Y122" i="35"/>
  <c r="AJ122" i="35"/>
  <c r="R123" i="35"/>
  <c r="S123" i="35"/>
  <c r="T123" i="35"/>
  <c r="U123" i="35"/>
  <c r="V123" i="35"/>
  <c r="W123" i="35"/>
  <c r="X123" i="35"/>
  <c r="Y123" i="35"/>
  <c r="AJ123" i="35"/>
  <c r="D124" i="35"/>
  <c r="R124" i="35"/>
  <c r="S124" i="35"/>
  <c r="T124" i="35"/>
  <c r="U124" i="35"/>
  <c r="V124" i="35"/>
  <c r="W124" i="35"/>
  <c r="X124" i="35"/>
  <c r="Y124" i="35"/>
  <c r="AJ124" i="35"/>
  <c r="D125" i="35"/>
  <c r="R125" i="35"/>
  <c r="S125" i="35"/>
  <c r="T125" i="35"/>
  <c r="U125" i="35"/>
  <c r="V125" i="35"/>
  <c r="W125" i="35"/>
  <c r="X125" i="35"/>
  <c r="Y125" i="35"/>
  <c r="AJ125" i="35"/>
  <c r="D127" i="35"/>
  <c r="D128" i="35"/>
  <c r="D130" i="35"/>
  <c r="D131" i="35"/>
  <c r="D133" i="35"/>
  <c r="D134" i="35"/>
  <c r="AR150" i="35"/>
  <c r="AS150" i="35"/>
  <c r="AT150" i="35"/>
  <c r="AU150" i="35"/>
  <c r="AV150" i="35"/>
  <c r="AW150" i="35"/>
  <c r="AX150" i="35"/>
  <c r="AY150" i="35"/>
  <c r="AZ150" i="35"/>
  <c r="BA150" i="35"/>
  <c r="BB150" i="35"/>
  <c r="BC150" i="35"/>
  <c r="BD150" i="35"/>
  <c r="BE150" i="35"/>
  <c r="BF150" i="35"/>
  <c r="AC151" i="35"/>
  <c r="Q106" i="35" l="1"/>
  <c r="Q125" i="35"/>
  <c r="Q113" i="35"/>
  <c r="Q108" i="35"/>
  <c r="Q124" i="35"/>
  <c r="Q120" i="35"/>
  <c r="Q110" i="35"/>
  <c r="Q118" i="35"/>
  <c r="Q115" i="35"/>
  <c r="P341" i="35"/>
  <c r="P343" i="35"/>
  <c r="P342" i="35"/>
  <c r="O345" i="35" a="1"/>
  <c r="O345" i="35" s="1"/>
  <c r="O344" i="35" a="1"/>
  <c r="O344" i="35" s="1"/>
  <c r="Q119" i="35"/>
  <c r="O343" i="35" a="1"/>
  <c r="O343" i="35" s="1"/>
  <c r="K342" i="35"/>
  <c r="L342" i="35" s="1"/>
  <c r="N342" i="35"/>
  <c r="O341" i="35" a="1"/>
  <c r="O341" i="35" s="1"/>
  <c r="O346" i="35" a="1"/>
  <c r="O346" i="35" s="1"/>
  <c r="Q122" i="35"/>
  <c r="Q121" i="35"/>
  <c r="Q117" i="35"/>
  <c r="Q116" i="35"/>
  <c r="Q109" i="35"/>
  <c r="Q123" i="35"/>
  <c r="Q114" i="35"/>
  <c r="Q112" i="35"/>
  <c r="Q111" i="35"/>
  <c r="Q107" i="35"/>
  <c r="AA104" i="35"/>
  <c r="R153" i="35"/>
  <c r="S153" i="35"/>
  <c r="T153" i="35"/>
  <c r="U153" i="35"/>
  <c r="V153" i="35"/>
  <c r="W153" i="35"/>
  <c r="X153" i="35"/>
  <c r="Y153" i="35"/>
  <c r="AJ153" i="35"/>
  <c r="I339" i="35" l="1"/>
  <c r="I378" i="35"/>
  <c r="H339" i="35"/>
  <c r="H378" i="35"/>
  <c r="G339" i="35"/>
  <c r="G378" i="35"/>
  <c r="H336" i="35"/>
  <c r="I336" i="35"/>
  <c r="G336" i="35"/>
  <c r="Q153" i="35"/>
  <c r="K346" i="35"/>
  <c r="L346" i="35" s="1"/>
  <c r="N346" i="35"/>
  <c r="K341" i="35"/>
  <c r="L341" i="35" s="1"/>
  <c r="N341" i="35"/>
  <c r="K343" i="35"/>
  <c r="L343" i="35" s="1"/>
  <c r="N343" i="35"/>
  <c r="K344" i="35"/>
  <c r="L344" i="35" s="1"/>
  <c r="N344" i="35"/>
  <c r="K345" i="35"/>
  <c r="L345" i="35" s="1"/>
  <c r="N345" i="35"/>
  <c r="R154" i="35"/>
  <c r="S154" i="35"/>
  <c r="T154" i="35"/>
  <c r="U154" i="35"/>
  <c r="V154" i="35"/>
  <c r="W154" i="35"/>
  <c r="X154" i="35"/>
  <c r="Y154" i="35"/>
  <c r="AJ154" i="35"/>
  <c r="G340" i="35" l="1"/>
  <c r="G341" i="35"/>
  <c r="G342" i="35"/>
  <c r="G343" i="35"/>
  <c r="G344" i="35"/>
  <c r="G345" i="35"/>
  <c r="G346" i="35"/>
  <c r="G347" i="35"/>
  <c r="G348" i="35"/>
  <c r="G349" i="35"/>
  <c r="G350" i="35"/>
  <c r="G351" i="35"/>
  <c r="G352" i="35"/>
  <c r="G353" i="35"/>
  <c r="G354" i="35"/>
  <c r="G355" i="35"/>
  <c r="G358" i="35"/>
  <c r="G359" i="35"/>
  <c r="G360" i="35"/>
  <c r="G361" i="35"/>
  <c r="G362" i="35"/>
  <c r="G363" i="35"/>
  <c r="G364" i="35"/>
  <c r="G371" i="35"/>
  <c r="G365" i="35"/>
  <c r="G368" i="35"/>
  <c r="G372" i="35"/>
  <c r="G366" i="35"/>
  <c r="G367" i="35"/>
  <c r="G369" i="35"/>
  <c r="G373" i="35"/>
  <c r="G374" i="35"/>
  <c r="Q154" i="35"/>
  <c r="I340" i="35"/>
  <c r="I341" i="35"/>
  <c r="I342" i="35"/>
  <c r="I343" i="35"/>
  <c r="I344" i="35"/>
  <c r="I345" i="35"/>
  <c r="I346" i="35"/>
  <c r="I347" i="35"/>
  <c r="I348" i="35"/>
  <c r="I349" i="35"/>
  <c r="I350" i="35"/>
  <c r="I351" i="35"/>
  <c r="I352" i="35"/>
  <c r="I353" i="35"/>
  <c r="I354" i="35"/>
  <c r="I355" i="35"/>
  <c r="I358" i="35"/>
  <c r="I359" i="35"/>
  <c r="I360" i="35"/>
  <c r="I361" i="35"/>
  <c r="I362" i="35"/>
  <c r="I363" i="35"/>
  <c r="I364" i="35"/>
  <c r="I367" i="35"/>
  <c r="I371" i="35"/>
  <c r="I374" i="35"/>
  <c r="I368" i="35"/>
  <c r="I365" i="35"/>
  <c r="I372" i="35"/>
  <c r="I366" i="35"/>
  <c r="I369" i="35"/>
  <c r="I373" i="35"/>
  <c r="H340" i="35"/>
  <c r="H341" i="35"/>
  <c r="H342" i="35"/>
  <c r="H343" i="35"/>
  <c r="H344" i="35"/>
  <c r="H345" i="35"/>
  <c r="H346" i="35"/>
  <c r="H347" i="35"/>
  <c r="H348" i="35"/>
  <c r="H349" i="35"/>
  <c r="H350" i="35"/>
  <c r="H351" i="35"/>
  <c r="H352" i="35"/>
  <c r="H353" i="35"/>
  <c r="H354" i="35"/>
  <c r="H355" i="35"/>
  <c r="H358" i="35"/>
  <c r="H359" i="35"/>
  <c r="H360" i="35"/>
  <c r="H361" i="35"/>
  <c r="H362" i="35"/>
  <c r="H363" i="35"/>
  <c r="H364" i="35"/>
  <c r="H371" i="35"/>
  <c r="H374" i="35"/>
  <c r="H365" i="35"/>
  <c r="H368" i="35"/>
  <c r="H366" i="35"/>
  <c r="H372" i="35"/>
  <c r="H369" i="35"/>
  <c r="H373" i="35"/>
  <c r="H367" i="35"/>
  <c r="R155" i="35"/>
  <c r="S155" i="35"/>
  <c r="T155" i="35"/>
  <c r="U155" i="35"/>
  <c r="V155" i="35"/>
  <c r="W155" i="35"/>
  <c r="X155" i="35"/>
  <c r="Y155" i="35"/>
  <c r="AJ155" i="35"/>
  <c r="Q155" i="35" l="1"/>
  <c r="R156" i="35"/>
  <c r="S156" i="35"/>
  <c r="T156" i="35"/>
  <c r="U156" i="35"/>
  <c r="V156" i="35"/>
  <c r="W156" i="35"/>
  <c r="X156" i="35"/>
  <c r="Y156" i="35"/>
  <c r="AJ156" i="35"/>
  <c r="Q156" i="35" l="1"/>
  <c r="R157" i="35"/>
  <c r="S157" i="35"/>
  <c r="T157" i="35"/>
  <c r="U157" i="35"/>
  <c r="V157" i="35"/>
  <c r="W157" i="35"/>
  <c r="X157" i="35"/>
  <c r="Y157" i="35"/>
  <c r="AJ157" i="35"/>
  <c r="Q157" i="35" l="1"/>
  <c r="R158" i="35"/>
  <c r="S158" i="35"/>
  <c r="T158" i="35"/>
  <c r="U158" i="35"/>
  <c r="V158" i="35"/>
  <c r="W158" i="35"/>
  <c r="X158" i="35"/>
  <c r="Y158" i="35"/>
  <c r="AJ158" i="35"/>
  <c r="Q158" i="35" l="1"/>
  <c r="R159" i="35"/>
  <c r="S159" i="35"/>
  <c r="T159" i="35"/>
  <c r="U159" i="35"/>
  <c r="V159" i="35"/>
  <c r="W159" i="35"/>
  <c r="X159" i="35"/>
  <c r="Y159" i="35"/>
  <c r="AJ159" i="35"/>
  <c r="Q159" i="35" l="1"/>
  <c r="R160" i="35"/>
  <c r="S160" i="35"/>
  <c r="T160" i="35"/>
  <c r="U160" i="35"/>
  <c r="V160" i="35"/>
  <c r="W160" i="35"/>
  <c r="X160" i="35"/>
  <c r="Y160" i="35"/>
  <c r="AJ160" i="35"/>
  <c r="Q160" i="35" l="1"/>
  <c r="R161" i="35"/>
  <c r="S161" i="35"/>
  <c r="T161" i="35"/>
  <c r="U161" i="35"/>
  <c r="V161" i="35"/>
  <c r="W161" i="35"/>
  <c r="X161" i="35"/>
  <c r="Y161" i="35"/>
  <c r="AJ161" i="35"/>
  <c r="Q161" i="35" l="1"/>
  <c r="R162" i="35"/>
  <c r="S162" i="35"/>
  <c r="T162" i="35"/>
  <c r="U162" i="35"/>
  <c r="V162" i="35"/>
  <c r="W162" i="35"/>
  <c r="X162" i="35"/>
  <c r="Y162" i="35"/>
  <c r="AJ162" i="35"/>
  <c r="Q162" i="35" l="1"/>
  <c r="R163" i="35"/>
  <c r="S163" i="35"/>
  <c r="T163" i="35"/>
  <c r="U163" i="35"/>
  <c r="V163" i="35"/>
  <c r="W163" i="35"/>
  <c r="X163" i="35"/>
  <c r="Y163" i="35"/>
  <c r="AJ163" i="35"/>
  <c r="Q163" i="35" l="1"/>
  <c r="R164" i="35"/>
  <c r="S164" i="35"/>
  <c r="T164" i="35"/>
  <c r="U164" i="35"/>
  <c r="V164" i="35"/>
  <c r="W164" i="35"/>
  <c r="X164" i="35"/>
  <c r="Y164" i="35"/>
  <c r="AJ164" i="35"/>
  <c r="AD107" i="35" l="1"/>
  <c r="AG117" i="35"/>
  <c r="AD117" i="35"/>
  <c r="AI113" i="35"/>
  <c r="AK116" i="35"/>
  <c r="AI158" i="35"/>
  <c r="AK158" i="35"/>
  <c r="AI121" i="35"/>
  <c r="AF108" i="35"/>
  <c r="AF109" i="35"/>
  <c r="AE115" i="35"/>
  <c r="AI155" i="35"/>
  <c r="AG161" i="35"/>
  <c r="AH123" i="35"/>
  <c r="AK108" i="35"/>
  <c r="AK125" i="35"/>
  <c r="AG107" i="35"/>
  <c r="AD112" i="35"/>
  <c r="AG112" i="35"/>
  <c r="AH161" i="35"/>
  <c r="AD155" i="35"/>
  <c r="AG151" i="35"/>
  <c r="AG123" i="35"/>
  <c r="AE119" i="35"/>
  <c r="AK117" i="35"/>
  <c r="AG110" i="35"/>
  <c r="AF123" i="35"/>
  <c r="AF114" i="35"/>
  <c r="AI122" i="35"/>
  <c r="AI156" i="35"/>
  <c r="AH116" i="35"/>
  <c r="AH121" i="35"/>
  <c r="AH154" i="35"/>
  <c r="AI162" i="35"/>
  <c r="AH114" i="35"/>
  <c r="AK112" i="35"/>
  <c r="AE158" i="35"/>
  <c r="AE120" i="35"/>
  <c r="AK120" i="35"/>
  <c r="AE153" i="35"/>
  <c r="AF107" i="35"/>
  <c r="AF118" i="35"/>
  <c r="AG163" i="35"/>
  <c r="AD109" i="35"/>
  <c r="AH158" i="35"/>
  <c r="AG159" i="35"/>
  <c r="AI114" i="35"/>
  <c r="AG156" i="35"/>
  <c r="AG122" i="35"/>
  <c r="AE113" i="35"/>
  <c r="AG157" i="35"/>
  <c r="AH115" i="35"/>
  <c r="AF112" i="35"/>
  <c r="AH110" i="35"/>
  <c r="AH112" i="35"/>
  <c r="AG153" i="35"/>
  <c r="AF111" i="35"/>
  <c r="AE156" i="35"/>
  <c r="AE106" i="35"/>
  <c r="AK109" i="35"/>
  <c r="AE116" i="35"/>
  <c r="AF151" i="35"/>
  <c r="AE107" i="35"/>
  <c r="AE118" i="35"/>
  <c r="AD159" i="35"/>
  <c r="AK162" i="35"/>
  <c r="AK122" i="35"/>
  <c r="AF113" i="35"/>
  <c r="AD106" i="35"/>
  <c r="AH125" i="35"/>
  <c r="AF155" i="35"/>
  <c r="AH124" i="35"/>
  <c r="AK121" i="35"/>
  <c r="AH153" i="35"/>
  <c r="AD114" i="35"/>
  <c r="AE157" i="35"/>
  <c r="AE151" i="35"/>
  <c r="AG125" i="35"/>
  <c r="AI160" i="35"/>
  <c r="AI123" i="35"/>
  <c r="AK114" i="35"/>
  <c r="AI110" i="35"/>
  <c r="AI108" i="35"/>
  <c r="AF158" i="35"/>
  <c r="AF117" i="35"/>
  <c r="AI106" i="35"/>
  <c r="AE154" i="35"/>
  <c r="AK153" i="35"/>
  <c r="AD154" i="35"/>
  <c r="AE159" i="35"/>
  <c r="AD118" i="35"/>
  <c r="AE112" i="35"/>
  <c r="AE160" i="35"/>
  <c r="AG113" i="35"/>
  <c r="AG109" i="35"/>
  <c r="AF119" i="35"/>
  <c r="AG116" i="35"/>
  <c r="AI119" i="35"/>
  <c r="AK111" i="35"/>
  <c r="AH151" i="35"/>
  <c r="AE122" i="35"/>
  <c r="AD123" i="35"/>
  <c r="AI153" i="35"/>
  <c r="AH122" i="35"/>
  <c r="AI112" i="35"/>
  <c r="AG118" i="35"/>
  <c r="AD121" i="35"/>
  <c r="AF122" i="35"/>
  <c r="AG124" i="35"/>
  <c r="AD124" i="35"/>
  <c r="AG154" i="35"/>
  <c r="AG106" i="35"/>
  <c r="AE111" i="35"/>
  <c r="AK119" i="35"/>
  <c r="AI151" i="35"/>
  <c r="AI159" i="35"/>
  <c r="AE109" i="35"/>
  <c r="AH120" i="35"/>
  <c r="AF120" i="35"/>
  <c r="AK163" i="35"/>
  <c r="AH113" i="35"/>
  <c r="AI161" i="35"/>
  <c r="AK155" i="35"/>
  <c r="AK159" i="35"/>
  <c r="AG158" i="35"/>
  <c r="AD116" i="35"/>
  <c r="AF124" i="35"/>
  <c r="AF154" i="35"/>
  <c r="AD122" i="35"/>
  <c r="AF157" i="35"/>
  <c r="AD151" i="35"/>
  <c r="AD163" i="35"/>
  <c r="AH155" i="35"/>
  <c r="AH156" i="35"/>
  <c r="AH160" i="35"/>
  <c r="AH118" i="35"/>
  <c r="AF115" i="35"/>
  <c r="AB151" i="35"/>
  <c r="AI124" i="35"/>
  <c r="AD120" i="35"/>
  <c r="AE161" i="35"/>
  <c r="AH108" i="35"/>
  <c r="AF106" i="35"/>
  <c r="AD160" i="35"/>
  <c r="AE108" i="35"/>
  <c r="AD115" i="35"/>
  <c r="AD162" i="35"/>
  <c r="AH109" i="35"/>
  <c r="AK156" i="35"/>
  <c r="AK113" i="35"/>
  <c r="AD110" i="35"/>
  <c r="AH162" i="35"/>
  <c r="AE121" i="35"/>
  <c r="AG119" i="35"/>
  <c r="AE162" i="35"/>
  <c r="AI111" i="35"/>
  <c r="AD125" i="35"/>
  <c r="AE117" i="35"/>
  <c r="AG108" i="35"/>
  <c r="AK110" i="35"/>
  <c r="AE124" i="35"/>
  <c r="AD157" i="35"/>
  <c r="AK161" i="35"/>
  <c r="AE114" i="35"/>
  <c r="AI116" i="35"/>
  <c r="AE155" i="35"/>
  <c r="AD119" i="35"/>
  <c r="AE125" i="35"/>
  <c r="AF121" i="35"/>
  <c r="AH163" i="35"/>
  <c r="AG114" i="35"/>
  <c r="AI120" i="35"/>
  <c r="AF153" i="35"/>
  <c r="AI154" i="35"/>
  <c r="AD156" i="35"/>
  <c r="AH159" i="35"/>
  <c r="AI109" i="35"/>
  <c r="AI107" i="35"/>
  <c r="AG121" i="35"/>
  <c r="AJ151" i="35"/>
  <c r="AE110" i="35"/>
  <c r="AE163" i="35"/>
  <c r="AG162" i="35"/>
  <c r="AK154" i="35"/>
  <c r="AD113" i="35"/>
  <c r="AK124" i="35"/>
  <c r="AI115" i="35"/>
  <c r="AE123" i="35"/>
  <c r="AH117" i="35"/>
  <c r="AF161" i="35"/>
  <c r="AF110" i="35"/>
  <c r="AI157" i="35"/>
  <c r="AH111" i="35"/>
  <c r="AF159" i="35"/>
  <c r="AD158" i="35"/>
  <c r="AF162" i="35"/>
  <c r="AH157" i="35"/>
  <c r="AG120" i="35"/>
  <c r="AK123" i="35"/>
  <c r="AD161" i="35"/>
  <c r="AF116" i="35"/>
  <c r="AK151" i="35"/>
  <c r="AG155" i="35"/>
  <c r="AG160" i="35"/>
  <c r="AK157" i="35"/>
  <c r="AK106" i="35"/>
  <c r="AI163" i="35"/>
  <c r="AD108" i="35"/>
  <c r="AI117" i="35"/>
  <c r="AK107" i="35"/>
  <c r="AH106" i="35"/>
  <c r="AD111" i="35"/>
  <c r="AF125" i="35"/>
  <c r="AD153" i="35"/>
  <c r="AH119" i="35"/>
  <c r="AF160" i="35"/>
  <c r="AG111" i="35"/>
  <c r="AI118" i="35"/>
  <c r="AK115" i="35"/>
  <c r="AF163" i="35"/>
  <c r="AH107" i="35"/>
  <c r="AF156" i="35"/>
  <c r="AK160" i="35"/>
  <c r="AG115" i="35"/>
  <c r="AI125" i="35"/>
  <c r="AK118" i="35"/>
  <c r="Q164" i="35"/>
  <c r="AK164" i="35"/>
  <c r="AI164" i="35"/>
  <c r="AH164" i="35"/>
  <c r="AG164" i="35"/>
  <c r="AF164" i="35"/>
  <c r="AE164" i="35"/>
  <c r="AD164" i="35"/>
  <c r="R165" i="35"/>
  <c r="S165" i="35"/>
  <c r="T165" i="35"/>
  <c r="U165" i="35"/>
  <c r="V165" i="35"/>
  <c r="W165" i="35"/>
  <c r="X165" i="35"/>
  <c r="Y165" i="35"/>
  <c r="AJ165" i="35"/>
  <c r="AA106" i="35" l="1"/>
  <c r="AA158" i="35"/>
  <c r="AA125" i="35"/>
  <c r="AA107" i="35"/>
  <c r="AA153" i="35"/>
  <c r="AA163" i="35"/>
  <c r="AA109" i="35"/>
  <c r="AA122" i="35"/>
  <c r="AA115" i="35"/>
  <c r="AA157" i="35"/>
  <c r="AA118" i="35"/>
  <c r="AA108" i="35"/>
  <c r="AA114" i="35"/>
  <c r="AA117" i="35"/>
  <c r="AA112" i="35"/>
  <c r="AA162" i="35"/>
  <c r="AA111" i="35"/>
  <c r="AA120" i="35"/>
  <c r="AA116" i="35"/>
  <c r="AA151" i="35"/>
  <c r="AA121" i="35"/>
  <c r="AA110" i="35"/>
  <c r="AA160" i="35"/>
  <c r="AA113" i="35"/>
  <c r="AA123" i="35"/>
  <c r="AA161" i="35"/>
  <c r="AA124" i="35"/>
  <c r="AA154" i="35"/>
  <c r="AA159" i="35"/>
  <c r="AA156" i="35"/>
  <c r="AA119" i="35"/>
  <c r="AA155" i="35"/>
  <c r="Q165" i="35"/>
  <c r="AK165" i="35"/>
  <c r="AI165" i="35"/>
  <c r="AH165" i="35"/>
  <c r="AG165" i="35"/>
  <c r="AF165" i="35"/>
  <c r="AE165" i="35"/>
  <c r="AD165" i="35"/>
  <c r="AA164" i="35"/>
  <c r="R166" i="35"/>
  <c r="S166" i="35"/>
  <c r="T166" i="35"/>
  <c r="U166" i="35"/>
  <c r="V166" i="35"/>
  <c r="W166" i="35"/>
  <c r="X166" i="35"/>
  <c r="Y166" i="35"/>
  <c r="AJ166" i="35"/>
  <c r="BQ116" i="35"/>
  <c r="BB163" i="35"/>
  <c r="BZ155" i="35"/>
  <c r="BU162" i="35"/>
  <c r="AZ111" i="35"/>
  <c r="BJ151" i="35"/>
  <c r="AV155" i="35"/>
  <c r="BC156" i="35"/>
  <c r="BD121" i="35"/>
  <c r="AZ117" i="35"/>
  <c r="AT123" i="35"/>
  <c r="BM113" i="35"/>
  <c r="BL157" i="35"/>
  <c r="BA122" i="35"/>
  <c r="BF166" i="35"/>
  <c r="BT159" i="35"/>
  <c r="BO165" i="35"/>
  <c r="BO154" i="35"/>
  <c r="BM107" i="35"/>
  <c r="AT155" i="35"/>
  <c r="BK118" i="35"/>
  <c r="BC157" i="35"/>
  <c r="BW122" i="35"/>
  <c r="BO153" i="35"/>
  <c r="BJ115" i="35"/>
  <c r="BP161" i="35"/>
  <c r="BK114" i="35"/>
  <c r="BA156" i="35"/>
  <c r="BM118" i="35"/>
  <c r="BF155" i="35"/>
  <c r="BA117" i="35"/>
  <c r="BP123" i="35"/>
  <c r="BK154" i="35"/>
  <c r="BI106" i="35"/>
  <c r="BC118" i="35"/>
  <c r="BY110" i="35"/>
  <c r="BA110" i="35"/>
  <c r="BQ107" i="35"/>
  <c r="BE123" i="35"/>
  <c r="AX156" i="35"/>
  <c r="BH159" i="35"/>
  <c r="AS156" i="35"/>
  <c r="AY116" i="35"/>
  <c r="BI125" i="35"/>
  <c r="BH113" i="35"/>
  <c r="BB159" i="35"/>
  <c r="AY110" i="35"/>
  <c r="BS106" i="35"/>
  <c r="BR120" i="35"/>
  <c r="BR165" i="35"/>
  <c r="AS119" i="35"/>
  <c r="BT157" i="35"/>
  <c r="BA153" i="35"/>
  <c r="BH118" i="35"/>
  <c r="BF124" i="35"/>
  <c r="AY165" i="35"/>
  <c r="BO113" i="35"/>
  <c r="AV116" i="35"/>
  <c r="BU158" i="35"/>
  <c r="BS154" i="35"/>
  <c r="AS123" i="35"/>
  <c r="BH106" i="35"/>
  <c r="AR120" i="35"/>
  <c r="BJ107" i="35"/>
  <c r="BW165" i="35"/>
  <c r="AY156" i="35"/>
  <c r="AS116" i="35"/>
  <c r="AS107" i="35"/>
  <c r="BC125" i="35"/>
  <c r="BH122" i="35"/>
  <c r="BL124" i="35"/>
  <c r="BA151" i="35"/>
  <c r="BO107" i="35"/>
  <c r="BC123" i="35"/>
  <c r="BJ158" i="35"/>
  <c r="BA158" i="35"/>
  <c r="BS120" i="35"/>
  <c r="AR156" i="35"/>
  <c r="AZ166" i="35"/>
  <c r="BP160" i="35"/>
  <c r="AZ151" i="35"/>
  <c r="BD160" i="35"/>
  <c r="BS165" i="35"/>
  <c r="BN109" i="35"/>
  <c r="BZ123" i="35"/>
  <c r="AW116" i="35"/>
  <c r="BM154" i="35"/>
  <c r="BN114" i="35"/>
  <c r="BO112" i="35"/>
  <c r="BK161" i="35"/>
  <c r="AR157" i="35"/>
  <c r="AZ106" i="35"/>
  <c r="BW157" i="35"/>
  <c r="AX110" i="35"/>
  <c r="BE162" i="35"/>
  <c r="AW165" i="35"/>
  <c r="BQ109" i="35"/>
  <c r="AZ115" i="35"/>
  <c r="AY121" i="35"/>
  <c r="AR162" i="35"/>
  <c r="AZ120" i="35"/>
  <c r="BE119" i="35"/>
  <c r="BJ106" i="35"/>
  <c r="AX153" i="35"/>
  <c r="BN117" i="35"/>
  <c r="BP112" i="35"/>
  <c r="BY165" i="35"/>
  <c r="BM116" i="35"/>
  <c r="BJ166" i="35"/>
  <c r="BP109" i="35"/>
  <c r="BU114" i="35"/>
  <c r="AS165" i="35"/>
  <c r="BL118" i="35"/>
  <c r="BQ153" i="35"/>
  <c r="AV119" i="35"/>
  <c r="BB116" i="35"/>
  <c r="BW156" i="35"/>
  <c r="BD151" i="35"/>
  <c r="BO125" i="35"/>
  <c r="BL113" i="35"/>
  <c r="AX165" i="35"/>
  <c r="BC159" i="35"/>
  <c r="AX159" i="35"/>
  <c r="BZ163" i="35"/>
  <c r="BV115" i="35"/>
  <c r="BR164" i="35"/>
  <c r="BA118" i="35"/>
  <c r="BU160" i="35"/>
  <c r="AX107" i="35"/>
  <c r="BE166" i="35"/>
  <c r="BF160" i="35"/>
  <c r="BN160" i="35"/>
  <c r="BZ116" i="35"/>
  <c r="BZ119" i="35"/>
  <c r="BB111" i="35"/>
  <c r="AZ165" i="35"/>
  <c r="BT106" i="35"/>
  <c r="BM158" i="35"/>
  <c r="AV107" i="35"/>
  <c r="BD155" i="35"/>
  <c r="BQ161" i="35"/>
  <c r="BL121" i="35"/>
  <c r="BN106" i="35"/>
  <c r="BA159" i="35"/>
  <c r="BI162" i="35"/>
  <c r="AS154" i="35"/>
  <c r="BB155" i="35"/>
  <c r="AR118" i="35"/>
  <c r="BC155" i="35"/>
  <c r="BG155" i="35"/>
  <c r="BF115" i="35"/>
  <c r="BC164" i="35"/>
  <c r="AT161" i="35"/>
  <c r="BO157" i="35"/>
  <c r="AW160" i="35"/>
  <c r="AY154" i="35"/>
  <c r="BB113" i="35"/>
  <c r="BF120" i="35"/>
  <c r="AV117" i="35"/>
  <c r="AW153" i="35"/>
  <c r="BK116" i="35"/>
  <c r="BQ158" i="35"/>
  <c r="BM111" i="35"/>
  <c r="BZ111" i="35"/>
  <c r="BM157" i="35"/>
  <c r="BH166" i="35"/>
  <c r="BE113" i="35"/>
  <c r="AV121" i="35"/>
  <c r="AS108" i="35"/>
  <c r="BV166" i="35"/>
  <c r="BZ121" i="35"/>
  <c r="BK110" i="35"/>
  <c r="AW162" i="35"/>
  <c r="AR158" i="35"/>
  <c r="BA114" i="35"/>
  <c r="BW114" i="35"/>
  <c r="BG119" i="35"/>
  <c r="BJ164" i="35"/>
  <c r="AS111" i="35"/>
  <c r="AW110" i="35"/>
  <c r="BA113" i="35"/>
  <c r="BL159" i="35"/>
  <c r="BY161" i="35"/>
  <c r="AZ124" i="35"/>
  <c r="AZ156" i="35"/>
  <c r="BE159" i="35"/>
  <c r="BH121" i="35"/>
  <c r="AT110" i="35"/>
  <c r="BW124" i="35"/>
  <c r="BT165" i="35"/>
  <c r="BV151" i="35"/>
  <c r="BT121" i="35"/>
  <c r="BZ125" i="35"/>
  <c r="BT123" i="35"/>
  <c r="AX122" i="35"/>
  <c r="AY118" i="35"/>
  <c r="BK108" i="35"/>
  <c r="BY121" i="35"/>
  <c r="BB154" i="35"/>
  <c r="BY154" i="35"/>
  <c r="BY116" i="35"/>
  <c r="BB112" i="35"/>
  <c r="BR163" i="35"/>
  <c r="BT158" i="35"/>
  <c r="BA161" i="35"/>
  <c r="BZ120" i="35"/>
  <c r="BV113" i="35"/>
  <c r="BO160" i="35"/>
  <c r="BY119" i="35"/>
  <c r="BK112" i="35"/>
  <c r="BT124" i="35"/>
  <c r="BE156" i="35"/>
  <c r="BC151" i="35"/>
  <c r="BI151" i="35"/>
  <c r="BY120" i="35"/>
  <c r="BN151" i="35"/>
  <c r="BF154" i="35"/>
  <c r="BV125" i="35"/>
  <c r="AU110" i="35"/>
  <c r="BY163" i="35"/>
  <c r="BI110" i="35"/>
  <c r="BG109" i="35"/>
  <c r="BK109" i="35"/>
  <c r="AS115" i="35"/>
  <c r="AW117" i="35"/>
  <c r="BT166" i="35"/>
  <c r="AS121" i="35"/>
  <c r="AZ113" i="35"/>
  <c r="AX154" i="35"/>
  <c r="BB118" i="35"/>
  <c r="AS158" i="35"/>
  <c r="BJ108" i="35"/>
  <c r="AU122" i="35"/>
  <c r="BN107" i="35"/>
  <c r="BB151" i="35"/>
  <c r="BF156" i="35"/>
  <c r="BO106" i="35"/>
  <c r="BG122" i="35"/>
  <c r="AX115" i="35"/>
  <c r="AZ116" i="35"/>
  <c r="BD157" i="35"/>
  <c r="BR155" i="35"/>
  <c r="AU119" i="35"/>
  <c r="BM121" i="35"/>
  <c r="BL108" i="35"/>
  <c r="BV164" i="35"/>
  <c r="BI117" i="35"/>
  <c r="BI107" i="35"/>
  <c r="BT108" i="35"/>
  <c r="BS164" i="35"/>
  <c r="BB156" i="35"/>
  <c r="BV154" i="35"/>
  <c r="BK111" i="35"/>
  <c r="AT122" i="35"/>
  <c r="AR111" i="35"/>
  <c r="BB160" i="35"/>
  <c r="AT111" i="35"/>
  <c r="AU113" i="35"/>
  <c r="BR151" i="35"/>
  <c r="AS160" i="35"/>
  <c r="AS124" i="35"/>
  <c r="BI120" i="35"/>
  <c r="AU112" i="35"/>
  <c r="BL154" i="35"/>
  <c r="BD109" i="35"/>
  <c r="AS125" i="35"/>
  <c r="BS118" i="35"/>
  <c r="AW113" i="35"/>
  <c r="BS114" i="35"/>
  <c r="AT119" i="35"/>
  <c r="AT114" i="35"/>
  <c r="AY109" i="35"/>
  <c r="BP116" i="35"/>
  <c r="AV156" i="35"/>
  <c r="AX123" i="35"/>
  <c r="AW108" i="35"/>
  <c r="BM151" i="35"/>
  <c r="BV123" i="35"/>
  <c r="BS112" i="35"/>
  <c r="AR109" i="35"/>
  <c r="BH165" i="35"/>
  <c r="BU163" i="35"/>
  <c r="AU165" i="35"/>
  <c r="BH108" i="35"/>
  <c r="BT122" i="35"/>
  <c r="AX158" i="35"/>
  <c r="BZ107" i="35"/>
  <c r="BV107" i="35"/>
  <c r="BO158" i="35"/>
  <c r="BD165" i="35"/>
  <c r="BJ163" i="35"/>
  <c r="AX108" i="35"/>
  <c r="AW156" i="35"/>
  <c r="BK165" i="35"/>
  <c r="BI116" i="35"/>
  <c r="BW113" i="35"/>
  <c r="BR125" i="35"/>
  <c r="BO120" i="35"/>
  <c r="BB162" i="35"/>
  <c r="AU163" i="35"/>
  <c r="BH163" i="35"/>
  <c r="BW111" i="35"/>
  <c r="AT112" i="35"/>
  <c r="AY160" i="35"/>
  <c r="BU156" i="35"/>
  <c r="BZ114" i="35"/>
  <c r="BV155" i="35"/>
  <c r="BM165" i="35"/>
  <c r="BM153" i="35"/>
  <c r="AW125" i="35"/>
  <c r="BP125" i="35"/>
  <c r="BK107" i="35"/>
  <c r="BO162" i="35"/>
  <c r="AW111" i="35"/>
  <c r="AT166" i="35"/>
  <c r="BF158" i="35"/>
  <c r="BU118" i="35"/>
  <c r="AV109" i="35"/>
  <c r="AZ107" i="35"/>
  <c r="AY108" i="35"/>
  <c r="BU151" i="35"/>
  <c r="BT125" i="35"/>
  <c r="AZ109" i="35"/>
  <c r="BH162" i="35"/>
  <c r="BC121" i="35"/>
  <c r="BA163" i="35"/>
  <c r="BU161" i="35"/>
  <c r="BZ160" i="35"/>
  <c r="BA125" i="35"/>
  <c r="BV112" i="35"/>
  <c r="BI119" i="35"/>
  <c r="BJ154" i="35"/>
  <c r="BI161" i="35"/>
  <c r="BT119" i="35"/>
  <c r="BK156" i="35"/>
  <c r="BJ155" i="35"/>
  <c r="BU106" i="35"/>
  <c r="AX112" i="35"/>
  <c r="BP108" i="35"/>
  <c r="BE115" i="35"/>
  <c r="BH112" i="35"/>
  <c r="BN156" i="35"/>
  <c r="BZ159" i="35"/>
  <c r="BF162" i="35"/>
  <c r="BG123" i="35"/>
  <c r="BO161" i="35"/>
  <c r="AV151" i="35"/>
  <c r="BA124" i="35"/>
  <c r="BF161" i="35"/>
  <c r="BW112" i="35"/>
  <c r="BN123" i="35"/>
  <c r="BZ118" i="35"/>
  <c r="AZ163" i="35"/>
  <c r="BF111" i="35"/>
  <c r="BJ109" i="35"/>
  <c r="BM109" i="35"/>
  <c r="AV157" i="35"/>
  <c r="BE151" i="35"/>
  <c r="BR161" i="35"/>
  <c r="BJ157" i="35"/>
  <c r="BQ164" i="35"/>
  <c r="BZ153" i="35"/>
  <c r="BE108" i="35"/>
  <c r="AV112" i="35"/>
  <c r="AW118" i="35"/>
  <c r="BU164" i="35"/>
  <c r="BE116" i="35"/>
  <c r="BP117" i="35"/>
  <c r="BB158" i="35"/>
  <c r="BW166" i="35"/>
  <c r="BY118" i="35"/>
  <c r="BG124" i="35"/>
  <c r="AY151" i="35"/>
  <c r="AU107" i="35"/>
  <c r="AW120" i="35"/>
  <c r="BD124" i="35"/>
  <c r="BG165" i="35"/>
  <c r="BE106" i="35"/>
  <c r="BO115" i="35"/>
  <c r="BT107" i="35"/>
  <c r="BY117" i="35"/>
  <c r="BO163" i="35"/>
  <c r="BH153" i="35"/>
  <c r="BF117" i="35"/>
  <c r="BA120" i="35"/>
  <c r="BE161" i="35"/>
  <c r="BB157" i="35"/>
  <c r="BY112" i="35"/>
  <c r="BO156" i="35"/>
  <c r="AY113" i="35"/>
  <c r="BQ159" i="35"/>
  <c r="BC162" i="35"/>
  <c r="BG159" i="35"/>
  <c r="BQ160" i="35"/>
  <c r="BH158" i="35"/>
  <c r="BF108" i="35"/>
  <c r="BU159" i="35"/>
  <c r="BQ121" i="35"/>
  <c r="BY155" i="35"/>
  <c r="BM124" i="35"/>
  <c r="BA115" i="35"/>
  <c r="BQ119" i="35"/>
  <c r="BF118" i="35"/>
  <c r="AR163" i="35"/>
  <c r="BF106" i="35"/>
  <c r="BR119" i="35"/>
  <c r="AV159" i="35"/>
  <c r="BO123" i="35"/>
  <c r="BW155" i="35"/>
  <c r="AY161" i="35"/>
  <c r="BM155" i="35"/>
  <c r="BJ120" i="35"/>
  <c r="AU153" i="35"/>
  <c r="BZ165" i="35"/>
  <c r="BY123" i="35"/>
  <c r="BT164" i="35"/>
  <c r="AZ153" i="35"/>
  <c r="BQ122" i="35"/>
  <c r="BU109" i="35"/>
  <c r="AV115" i="35"/>
  <c r="BE160" i="35"/>
  <c r="BU110" i="35"/>
  <c r="BS125" i="35"/>
  <c r="BE153" i="35"/>
  <c r="BZ124" i="35"/>
  <c r="BB153" i="35"/>
  <c r="BY162" i="35"/>
  <c r="BB107" i="35"/>
  <c r="BQ110" i="35"/>
  <c r="AR117" i="35"/>
  <c r="AZ158" i="35"/>
  <c r="BV156" i="35"/>
  <c r="BT114" i="35"/>
  <c r="AX120" i="35"/>
  <c r="BV165" i="35"/>
  <c r="BW121" i="35"/>
  <c r="BP155" i="35"/>
  <c r="BI163" i="35"/>
  <c r="BM123" i="35"/>
  <c r="BU107" i="35"/>
  <c r="BO118" i="35"/>
  <c r="BR118" i="35"/>
  <c r="BW159" i="35"/>
  <c r="BM160" i="35"/>
  <c r="BF164" i="35"/>
  <c r="BE112" i="35"/>
  <c r="BN165" i="35"/>
  <c r="AZ155" i="35"/>
  <c r="BS159" i="35"/>
  <c r="BD153" i="35"/>
  <c r="BP121" i="35"/>
  <c r="BT160" i="35"/>
  <c r="BE120" i="35"/>
  <c r="AV122" i="35"/>
  <c r="BN118" i="35"/>
  <c r="BU122" i="35"/>
  <c r="BC153" i="35"/>
  <c r="BA112" i="35"/>
  <c r="BZ164" i="35"/>
  <c r="BE125" i="35"/>
  <c r="BM156" i="35"/>
  <c r="AU162" i="35"/>
  <c r="BO164" i="35"/>
  <c r="BS119" i="35"/>
  <c r="AV113" i="35"/>
  <c r="BD119" i="35"/>
  <c r="AT154" i="35"/>
  <c r="BY122" i="35"/>
  <c r="BN113" i="35"/>
  <c r="AX116" i="35"/>
  <c r="BL163" i="35"/>
  <c r="BV162" i="35"/>
  <c r="BA106" i="35"/>
  <c r="BK166" i="35"/>
  <c r="BP163" i="35"/>
  <c r="BV161" i="35"/>
  <c r="BF125" i="35"/>
  <c r="BJ119" i="35"/>
  <c r="BH117" i="35"/>
  <c r="AT153" i="35"/>
  <c r="AX162" i="35"/>
  <c r="BE109" i="35"/>
  <c r="AS162" i="35"/>
  <c r="BD164" i="35"/>
  <c r="AT160" i="35"/>
  <c r="BI115" i="35"/>
  <c r="BM112" i="35"/>
  <c r="BL156" i="35"/>
  <c r="AY123" i="35"/>
  <c r="BB120" i="35"/>
  <c r="BQ156" i="35"/>
  <c r="BG111" i="35"/>
  <c r="BR160" i="35"/>
  <c r="AR161" i="35"/>
  <c r="BM161" i="35"/>
  <c r="BP158" i="35"/>
  <c r="BI158" i="35"/>
  <c r="AZ122" i="35"/>
  <c r="AW164" i="35"/>
  <c r="AW119" i="35"/>
  <c r="BK155" i="35"/>
  <c r="BW108" i="35"/>
  <c r="AV106" i="35"/>
  <c r="BA109" i="35"/>
  <c r="BW164" i="35"/>
  <c r="BN112" i="35"/>
  <c r="BP166" i="35"/>
  <c r="BW161" i="35"/>
  <c r="BG106" i="35"/>
  <c r="BO111" i="35"/>
  <c r="BH114" i="35"/>
  <c r="BU115" i="35"/>
  <c r="BU112" i="35"/>
  <c r="AR121" i="35"/>
  <c r="BQ114" i="35"/>
  <c r="AY112" i="35"/>
  <c r="BH156" i="35"/>
  <c r="BQ108" i="35"/>
  <c r="BJ161" i="35"/>
  <c r="AR154" i="35"/>
  <c r="BA121" i="35"/>
  <c r="AZ160" i="35"/>
  <c r="BZ112" i="35"/>
  <c r="BP151" i="35"/>
  <c r="BL115" i="35"/>
  <c r="BI164" i="35"/>
  <c r="BC114" i="35"/>
  <c r="BB117" i="35"/>
  <c r="BP120" i="35"/>
  <c r="AY158" i="35"/>
  <c r="AR108" i="35"/>
  <c r="BH119" i="35"/>
  <c r="BK106" i="35"/>
  <c r="AX109" i="35"/>
  <c r="AU155" i="35"/>
  <c r="BF110" i="35"/>
  <c r="AS113" i="35"/>
  <c r="BP124" i="35"/>
  <c r="BC111" i="35"/>
  <c r="BL123" i="35"/>
  <c r="AT107" i="35"/>
  <c r="BW118" i="35"/>
  <c r="BM115" i="35"/>
  <c r="AY125" i="35"/>
  <c r="BU111" i="35"/>
  <c r="BY106" i="35"/>
  <c r="AV158" i="35"/>
  <c r="BE157" i="35"/>
  <c r="BE117" i="35"/>
  <c r="BV117" i="35"/>
  <c r="BQ112" i="35"/>
  <c r="BQ111" i="35"/>
  <c r="BW116" i="35"/>
  <c r="AS157" i="35"/>
  <c r="BR110" i="35"/>
  <c r="BT154" i="35"/>
  <c r="BT109" i="35"/>
  <c r="AT125" i="35"/>
  <c r="AR125" i="35"/>
  <c r="BL119" i="35"/>
  <c r="BJ110" i="35"/>
  <c r="AR106" i="35"/>
  <c r="BH161" i="35"/>
  <c r="AV162" i="35"/>
  <c r="AW112" i="35"/>
  <c r="BA166" i="35"/>
  <c r="AU111" i="35"/>
  <c r="AY159" i="35"/>
  <c r="BD123" i="35"/>
  <c r="AU106" i="35"/>
  <c r="AT165" i="35"/>
  <c r="BW120" i="35"/>
  <c r="BK164" i="35"/>
  <c r="BO159" i="35"/>
  <c r="BS162" i="35"/>
  <c r="AZ110" i="35"/>
  <c r="BG112" i="35"/>
  <c r="BU121" i="35"/>
  <c r="BI156" i="35"/>
  <c r="BM162" i="35"/>
  <c r="AT156" i="35"/>
  <c r="AR116" i="35"/>
  <c r="AX151" i="35"/>
  <c r="BV160" i="35"/>
  <c r="AX119" i="35"/>
  <c r="BQ154" i="35"/>
  <c r="BR106" i="35"/>
  <c r="BO122" i="35"/>
  <c r="BV121" i="35"/>
  <c r="AY114" i="35"/>
  <c r="BR121" i="35"/>
  <c r="AX106" i="35"/>
  <c r="BH107" i="35"/>
  <c r="BG121" i="35"/>
  <c r="BW162" i="35"/>
  <c r="BE154" i="35"/>
  <c r="BA123" i="35"/>
  <c r="AW109" i="35"/>
  <c r="BT113" i="35"/>
  <c r="BL166" i="35"/>
  <c r="AV164" i="35"/>
  <c r="BB109" i="35"/>
  <c r="BK117" i="35"/>
  <c r="BT111" i="35"/>
  <c r="AT121" i="35"/>
  <c r="BR108" i="35"/>
  <c r="BD158" i="35"/>
  <c r="BJ159" i="35"/>
  <c r="BG154" i="35"/>
  <c r="BV163" i="35"/>
  <c r="BD106" i="35"/>
  <c r="BD113" i="35"/>
  <c r="BS163" i="35"/>
  <c r="BD107" i="35"/>
  <c r="BQ117" i="35"/>
  <c r="BH125" i="35"/>
  <c r="BY151" i="35"/>
  <c r="AZ161" i="35"/>
  <c r="BP113" i="35"/>
  <c r="BS160" i="35"/>
  <c r="BF116" i="35"/>
  <c r="BJ112" i="35"/>
  <c r="BL161" i="35"/>
  <c r="BI166" i="35"/>
  <c r="AX111" i="35"/>
  <c r="BE107" i="35"/>
  <c r="BI154" i="35"/>
  <c r="AT158" i="35"/>
  <c r="BT161" i="35"/>
  <c r="AV123" i="35"/>
  <c r="BK124" i="35"/>
  <c r="BR116" i="35"/>
  <c r="BG162" i="35"/>
  <c r="BF107" i="35"/>
  <c r="BP153" i="35"/>
  <c r="BY157" i="35"/>
  <c r="BH151" i="35"/>
  <c r="BK121" i="35"/>
  <c r="AY111" i="35"/>
  <c r="BD115" i="35"/>
  <c r="BN110" i="35"/>
  <c r="BG166" i="35"/>
  <c r="BQ165" i="35"/>
  <c r="BB164" i="35"/>
  <c r="BQ151" i="35"/>
  <c r="BI121" i="35"/>
  <c r="BE110" i="35"/>
  <c r="BB106" i="35"/>
  <c r="BS123" i="35"/>
  <c r="BD108" i="35"/>
  <c r="BK122" i="35"/>
  <c r="BV120" i="35"/>
  <c r="AV124" i="35"/>
  <c r="BQ120" i="35"/>
  <c r="AS122" i="35"/>
  <c r="AY120" i="35"/>
  <c r="BR156" i="35"/>
  <c r="BW117" i="35"/>
  <c r="BO151" i="35"/>
  <c r="BV114" i="35"/>
  <c r="AY153" i="35"/>
  <c r="BU155" i="35"/>
  <c r="BV111" i="35"/>
  <c r="AT124" i="35"/>
  <c r="BW123" i="35"/>
  <c r="AR115" i="35"/>
  <c r="BL160" i="35"/>
  <c r="BP106" i="35"/>
  <c r="BE164" i="35"/>
  <c r="BJ153" i="35"/>
  <c r="BI122" i="35"/>
  <c r="BL158" i="35"/>
  <c r="BT115" i="35"/>
  <c r="AR166" i="35"/>
  <c r="AZ123" i="35"/>
  <c r="BJ111" i="35"/>
  <c r="BE111" i="35"/>
  <c r="BL151" i="35"/>
  <c r="AX164" i="35"/>
  <c r="BC165" i="35"/>
  <c r="BZ154" i="35"/>
  <c r="BR123" i="35"/>
  <c r="AU109" i="35"/>
  <c r="BY115" i="35"/>
  <c r="BL107" i="35"/>
  <c r="BJ162" i="35"/>
  <c r="BF159" i="35"/>
  <c r="BO166" i="35"/>
  <c r="AU108" i="35"/>
  <c r="BG160" i="35"/>
  <c r="BE114" i="35"/>
  <c r="AR112" i="35"/>
  <c r="BT118" i="35"/>
  <c r="BR124" i="35"/>
  <c r="BS158" i="35"/>
  <c r="BJ124" i="35"/>
  <c r="BO121" i="35"/>
  <c r="BJ117" i="35"/>
  <c r="AY124" i="35"/>
  <c r="AX157" i="35"/>
  <c r="BE122" i="35"/>
  <c r="AW107" i="35"/>
  <c r="BA155" i="35"/>
  <c r="BQ163" i="35"/>
  <c r="BZ122" i="35"/>
  <c r="BK160" i="35"/>
  <c r="BV108" i="35"/>
  <c r="BK119" i="35"/>
  <c r="BH120" i="35"/>
  <c r="BI159" i="35"/>
  <c r="AW161" i="35"/>
  <c r="BV119" i="35"/>
  <c r="AZ119" i="35"/>
  <c r="BG117" i="35"/>
  <c r="BC115" i="35"/>
  <c r="BD166" i="35"/>
  <c r="AX166" i="35"/>
  <c r="BR112" i="35"/>
  <c r="AV160" i="35"/>
  <c r="BI109" i="35"/>
  <c r="BC117" i="35"/>
  <c r="BW153" i="35"/>
  <c r="BF151" i="35"/>
  <c r="BE121" i="35"/>
  <c r="AT117" i="35"/>
  <c r="BP110" i="35"/>
  <c r="BL125" i="35"/>
  <c r="BG153" i="35"/>
  <c r="BB122" i="35"/>
  <c r="BB125" i="35"/>
  <c r="BL109" i="35"/>
  <c r="AR155" i="35"/>
  <c r="AU120" i="35"/>
  <c r="AY162" i="35"/>
  <c r="BL155" i="35"/>
  <c r="BC154" i="35"/>
  <c r="AW115" i="35"/>
  <c r="BF109" i="35"/>
  <c r="BD125" i="35"/>
  <c r="BF153" i="35"/>
  <c r="BG161" i="35"/>
  <c r="BZ117" i="35"/>
  <c r="BK157" i="35"/>
  <c r="AU151" i="35"/>
  <c r="AW106" i="35"/>
  <c r="BS109" i="35"/>
  <c r="BF163" i="35"/>
  <c r="AS161" i="35"/>
  <c r="BC112" i="35"/>
  <c r="AZ162" i="35"/>
  <c r="BG114" i="35"/>
  <c r="BS108" i="35"/>
  <c r="BS110" i="35"/>
  <c r="AS155" i="35"/>
  <c r="BQ124" i="35"/>
  <c r="BN161" i="35"/>
  <c r="BA111" i="35"/>
  <c r="AW121" i="35"/>
  <c r="BN121" i="35"/>
  <c r="AZ108" i="35"/>
  <c r="AT120" i="35"/>
  <c r="BJ123" i="35"/>
  <c r="BY160" i="35"/>
  <c r="AW159" i="35"/>
  <c r="BT112" i="35"/>
  <c r="AZ125" i="35"/>
  <c r="BD110" i="35"/>
  <c r="AW122" i="35"/>
  <c r="BU125" i="35"/>
  <c r="AY164" i="35"/>
  <c r="AY117" i="35"/>
  <c r="BM119" i="35"/>
  <c r="BU117" i="35"/>
  <c r="BJ121" i="35"/>
  <c r="BP111" i="35"/>
  <c r="BP107" i="35"/>
  <c r="BT116" i="35"/>
  <c r="AS110" i="35"/>
  <c r="BD159" i="35"/>
  <c r="AR123" i="35"/>
  <c r="BV158" i="35"/>
  <c r="BB108" i="35"/>
  <c r="AZ154" i="35"/>
  <c r="BY166" i="35"/>
  <c r="AR124" i="35"/>
  <c r="BN154" i="35"/>
  <c r="BH111" i="35"/>
  <c r="AV161" i="35"/>
  <c r="BR115" i="35"/>
  <c r="BK159" i="35"/>
  <c r="BR159" i="35"/>
  <c r="BP162" i="35"/>
  <c r="BI113" i="35"/>
  <c r="BC107" i="35"/>
  <c r="BR113" i="35"/>
  <c r="AX124" i="35"/>
  <c r="BN153" i="35"/>
  <c r="BS155" i="35"/>
  <c r="BN120" i="35"/>
  <c r="AV108" i="35"/>
  <c r="BN163" i="35"/>
  <c r="AW157" i="35"/>
  <c r="BG116" i="35"/>
  <c r="BD120" i="35"/>
  <c r="BZ106" i="35"/>
  <c r="BU166" i="35"/>
  <c r="BW115" i="35"/>
  <c r="AU116" i="35"/>
  <c r="BR109" i="35"/>
  <c r="BE163" i="35"/>
  <c r="AS164" i="35"/>
  <c r="AU125" i="35"/>
  <c r="BB124" i="35"/>
  <c r="BL122" i="35"/>
  <c r="AV114" i="35"/>
  <c r="BD118" i="35"/>
  <c r="BI153" i="35"/>
  <c r="BS117" i="35"/>
  <c r="BF123" i="35"/>
  <c r="BN164" i="35"/>
  <c r="BT120" i="35"/>
  <c r="AS118" i="35"/>
  <c r="BG125" i="35"/>
  <c r="AW151" i="35"/>
  <c r="BI165" i="35"/>
  <c r="AT113" i="35"/>
  <c r="BJ113" i="35"/>
  <c r="BC106" i="35"/>
  <c r="BV157" i="35"/>
  <c r="BF122" i="35"/>
  <c r="BV106" i="35"/>
  <c r="BR158" i="35"/>
  <c r="BA116" i="35"/>
  <c r="BR154" i="35"/>
  <c r="BB165" i="35"/>
  <c r="BN166" i="35"/>
  <c r="BN125" i="35"/>
  <c r="BW154" i="35"/>
  <c r="BM163" i="35"/>
  <c r="AS166" i="35"/>
  <c r="AU114" i="35"/>
  <c r="BV124" i="35"/>
  <c r="BP115" i="35"/>
  <c r="AS109" i="35"/>
  <c r="BQ162" i="35"/>
  <c r="BM108" i="35"/>
  <c r="BZ151" i="35"/>
  <c r="BC122" i="35"/>
  <c r="BY164" i="35"/>
  <c r="BR122" i="35"/>
  <c r="AR164" i="35"/>
  <c r="BR162" i="35"/>
  <c r="BH154" i="35"/>
  <c r="BB110" i="35"/>
  <c r="BH124" i="35"/>
  <c r="AY157" i="35"/>
  <c r="AS163" i="35"/>
  <c r="BG108" i="35"/>
  <c r="BR166" i="35"/>
  <c r="BO110" i="35"/>
  <c r="BS157" i="35"/>
  <c r="BY158" i="35"/>
  <c r="BJ122" i="35"/>
  <c r="BL112" i="35"/>
  <c r="BC158" i="35"/>
  <c r="BS115" i="35"/>
  <c r="AR151" i="35"/>
  <c r="BC109" i="35"/>
  <c r="BZ166" i="35"/>
  <c r="BS121" i="35"/>
  <c r="AW163" i="35"/>
  <c r="BY113" i="35"/>
  <c r="BI155" i="35"/>
  <c r="BG113" i="35"/>
  <c r="AR159" i="35"/>
  <c r="BR157" i="35"/>
  <c r="BW158" i="35"/>
  <c r="BE155" i="35"/>
  <c r="BR117" i="35"/>
  <c r="BM159" i="35"/>
  <c r="BW151" i="35"/>
  <c r="AZ118" i="35"/>
  <c r="BY159" i="35"/>
  <c r="BY114" i="35"/>
  <c r="AR153" i="35"/>
  <c r="BK162" i="35"/>
  <c r="BJ160" i="35"/>
  <c r="AX163" i="35"/>
  <c r="AT118" i="35"/>
  <c r="AW166" i="35"/>
  <c r="BQ125" i="35"/>
  <c r="BE124" i="35"/>
  <c r="AY122" i="35"/>
  <c r="AV125" i="35"/>
  <c r="BP119" i="35"/>
  <c r="AR122" i="35"/>
  <c r="BK120" i="35"/>
  <c r="BZ113" i="35"/>
  <c r="BT110" i="35"/>
  <c r="BL116" i="35"/>
  <c r="BZ108" i="35"/>
  <c r="BG157" i="35"/>
  <c r="BC116" i="35"/>
  <c r="AS151" i="35"/>
  <c r="BS124" i="35"/>
  <c r="BL164" i="35"/>
  <c r="BS107" i="35"/>
  <c r="AT157" i="35"/>
  <c r="AT164" i="35"/>
  <c r="BH164" i="35"/>
  <c r="BS153" i="35"/>
  <c r="BA107" i="35"/>
  <c r="BN119" i="35"/>
  <c r="AR107" i="35"/>
  <c r="BN108" i="35"/>
  <c r="BZ158" i="35"/>
  <c r="BG107" i="35"/>
  <c r="BU153" i="35"/>
  <c r="BG120" i="35"/>
  <c r="BF121" i="35"/>
  <c r="BG118" i="35"/>
  <c r="AR114" i="35"/>
  <c r="BS166" i="35"/>
  <c r="AR165" i="35"/>
  <c r="BT151" i="35"/>
  <c r="AU157" i="35"/>
  <c r="BZ157" i="35"/>
  <c r="AR119" i="35"/>
  <c r="AX114" i="35"/>
  <c r="AU166" i="35"/>
  <c r="BD163" i="35"/>
  <c r="AU154" i="35"/>
  <c r="BC113" i="35"/>
  <c r="BL110" i="35"/>
  <c r="AX113" i="35"/>
  <c r="AT159" i="35"/>
  <c r="BP122" i="35"/>
  <c r="BF119" i="35"/>
  <c r="BP159" i="35"/>
  <c r="BU154" i="35"/>
  <c r="AX160" i="35"/>
  <c r="BA160" i="35"/>
  <c r="BS111" i="35"/>
  <c r="AR160" i="35"/>
  <c r="AS120" i="35"/>
  <c r="AX118" i="35"/>
  <c r="BI124" i="35"/>
  <c r="BD162" i="35"/>
  <c r="AX161" i="35"/>
  <c r="BY125" i="35"/>
  <c r="AT162" i="35"/>
  <c r="AX125" i="35"/>
  <c r="BN122" i="35"/>
  <c r="BD116" i="35"/>
  <c r="AT109" i="35"/>
  <c r="BE158" i="35"/>
  <c r="BN124" i="35"/>
  <c r="AV166" i="35"/>
  <c r="BA164" i="35"/>
  <c r="BI112" i="35"/>
  <c r="BR114" i="35"/>
  <c r="BI108" i="35"/>
  <c r="AY155" i="35"/>
  <c r="BS122" i="35"/>
  <c r="BK163" i="35"/>
  <c r="BJ118" i="35"/>
  <c r="BF113" i="35"/>
  <c r="BV153" i="35"/>
  <c r="BZ109" i="35"/>
  <c r="BY108" i="35"/>
  <c r="BN158" i="35"/>
  <c r="AX117" i="35"/>
  <c r="BR107" i="35"/>
  <c r="BQ106" i="35"/>
  <c r="AR113" i="35"/>
  <c r="BC108" i="35"/>
  <c r="BV122" i="35"/>
  <c r="AV153" i="35"/>
  <c r="BV116" i="35"/>
  <c r="BM120" i="35"/>
  <c r="AY119" i="35"/>
  <c r="AW123" i="35"/>
  <c r="BH123" i="35"/>
  <c r="BL114" i="35"/>
  <c r="AX121" i="35"/>
  <c r="BL111" i="35"/>
  <c r="AT106" i="35"/>
  <c r="BQ157" i="35"/>
  <c r="BT156" i="35"/>
  <c r="BC120" i="35"/>
  <c r="AU160" i="35"/>
  <c r="BN162" i="35"/>
  <c r="BA154" i="35"/>
  <c r="BT155" i="35"/>
  <c r="AT163" i="35"/>
  <c r="AS106" i="35"/>
  <c r="BW119" i="35"/>
  <c r="BT163" i="35"/>
  <c r="AZ112" i="35"/>
  <c r="AS114" i="35"/>
  <c r="BI157" i="35"/>
  <c r="AS159" i="35"/>
  <c r="BN115" i="35"/>
  <c r="AU158" i="35"/>
  <c r="BA119" i="35"/>
  <c r="BW110" i="35"/>
  <c r="BN155" i="35"/>
  <c r="BD114" i="35"/>
  <c r="BU157" i="35"/>
  <c r="BP118" i="35"/>
  <c r="BH115" i="35"/>
  <c r="BN157" i="35"/>
  <c r="BW106" i="35"/>
  <c r="BI111" i="35"/>
  <c r="BM117" i="35"/>
  <c r="AU124" i="35"/>
  <c r="BO108" i="35"/>
  <c r="BQ118" i="35"/>
  <c r="AU161" i="35"/>
  <c r="BA157" i="35"/>
  <c r="BU108" i="35"/>
  <c r="AT108" i="35"/>
  <c r="BD154" i="35"/>
  <c r="BS151" i="35"/>
  <c r="BB119" i="35"/>
  <c r="BY111" i="35"/>
  <c r="AS112" i="35"/>
  <c r="AW158" i="35"/>
  <c r="BM114" i="35"/>
  <c r="AY166" i="35"/>
  <c r="BO109" i="35"/>
  <c r="BH110" i="35"/>
  <c r="AU117" i="35"/>
  <c r="BH116" i="35"/>
  <c r="BC119" i="35"/>
  <c r="BM125" i="35"/>
  <c r="BL120" i="35"/>
  <c r="BJ114" i="35"/>
  <c r="BY124" i="35"/>
  <c r="BV118" i="35"/>
  <c r="BQ166" i="35"/>
  <c r="BO119" i="35"/>
  <c r="BC161" i="35"/>
  <c r="BK123" i="35"/>
  <c r="BK153" i="35"/>
  <c r="AY107" i="35"/>
  <c r="AT116" i="35"/>
  <c r="BJ125" i="35"/>
  <c r="BB161" i="35"/>
  <c r="AW124" i="35"/>
  <c r="BY156" i="35"/>
  <c r="BF157" i="35"/>
  <c r="BO124" i="35"/>
  <c r="BD156" i="35"/>
  <c r="BS156" i="35"/>
  <c r="AZ159" i="35"/>
  <c r="AU156" i="35"/>
  <c r="BS116" i="35"/>
  <c r="BZ162" i="35"/>
  <c r="BU123" i="35"/>
  <c r="BS161" i="35"/>
  <c r="BF114" i="35"/>
  <c r="BN111" i="35"/>
  <c r="BD161" i="35"/>
  <c r="BP164" i="35"/>
  <c r="AS153" i="35"/>
  <c r="BB114" i="35"/>
  <c r="BM106" i="35"/>
  <c r="BV109" i="35"/>
  <c r="AU123" i="35"/>
  <c r="BA162" i="35"/>
  <c r="AZ121" i="35"/>
  <c r="BJ165" i="35"/>
  <c r="BP114" i="35"/>
  <c r="BP157" i="35"/>
  <c r="BW107" i="35"/>
  <c r="BD117" i="35"/>
  <c r="AY163" i="35"/>
  <c r="AY106" i="35"/>
  <c r="BU119" i="35"/>
  <c r="BO114" i="35"/>
  <c r="BC163" i="35"/>
  <c r="BP154" i="35"/>
  <c r="BF165" i="35"/>
  <c r="AV111" i="35"/>
  <c r="AU115" i="35"/>
  <c r="AU159" i="35"/>
  <c r="BY153" i="35"/>
  <c r="BE118" i="35"/>
  <c r="BQ113" i="35"/>
  <c r="BA108" i="35"/>
  <c r="BU124" i="35"/>
  <c r="BG110" i="35"/>
  <c r="AW114" i="35"/>
  <c r="BZ115" i="35"/>
  <c r="BK158" i="35"/>
  <c r="BW163" i="35"/>
  <c r="BJ116" i="35"/>
  <c r="AS117" i="35"/>
  <c r="BK115" i="35"/>
  <c r="BI118" i="35"/>
  <c r="BO116" i="35"/>
  <c r="BL117" i="35"/>
  <c r="BC124" i="35"/>
  <c r="BK151" i="35"/>
  <c r="BY109" i="35"/>
  <c r="BI123" i="35"/>
  <c r="BU165" i="35"/>
  <c r="AW155" i="35"/>
  <c r="AZ114" i="35"/>
  <c r="BZ110" i="35"/>
  <c r="BV159" i="35"/>
  <c r="BM110" i="35"/>
  <c r="BG115" i="35"/>
  <c r="AX155" i="35"/>
  <c r="AW154" i="35"/>
  <c r="BW160" i="35"/>
  <c r="AV120" i="35"/>
  <c r="BM166" i="35"/>
  <c r="BQ155" i="35"/>
  <c r="BD112" i="35"/>
  <c r="AT115" i="35"/>
  <c r="BD122" i="35"/>
  <c r="BT162" i="35"/>
  <c r="BJ156" i="35"/>
  <c r="BH109" i="35"/>
  <c r="BG164" i="35"/>
  <c r="AZ157" i="35"/>
  <c r="BZ161" i="35"/>
  <c r="BA165" i="35"/>
  <c r="BH155" i="35"/>
  <c r="BD111" i="35"/>
  <c r="BH157" i="35"/>
  <c r="BI114" i="35"/>
  <c r="BW125" i="35"/>
  <c r="BN116" i="35"/>
  <c r="BL165" i="35"/>
  <c r="AV154" i="35"/>
  <c r="BI160" i="35"/>
  <c r="BL153" i="35"/>
  <c r="BK113" i="35"/>
  <c r="AT151" i="35"/>
  <c r="BH160" i="35"/>
  <c r="BT153" i="35"/>
  <c r="AY115" i="35"/>
  <c r="BZ156" i="35"/>
  <c r="BC166" i="35"/>
  <c r="BV110" i="35"/>
  <c r="BK125" i="35"/>
  <c r="BC160" i="35"/>
  <c r="BC110" i="35"/>
  <c r="BY107" i="35"/>
  <c r="AU164" i="35"/>
  <c r="BO155" i="35"/>
  <c r="BM164" i="35"/>
  <c r="BT117" i="35"/>
  <c r="BU120" i="35"/>
  <c r="AV165" i="35"/>
  <c r="AV110" i="35"/>
  <c r="BU113" i="35"/>
  <c r="BW109" i="35"/>
  <c r="BG156" i="35"/>
  <c r="BB166" i="35"/>
  <c r="BR111" i="35"/>
  <c r="BP156" i="35"/>
  <c r="AZ164" i="35"/>
  <c r="AU121" i="35"/>
  <c r="AV163" i="35"/>
  <c r="BB115" i="35"/>
  <c r="BN159" i="35"/>
  <c r="BL162" i="35"/>
  <c r="BQ115" i="35"/>
  <c r="BO117" i="35"/>
  <c r="BS113" i="35"/>
  <c r="BP165" i="35"/>
  <c r="BE165" i="35"/>
  <c r="AR110" i="35"/>
  <c r="BL106" i="35"/>
  <c r="AU118" i="35"/>
  <c r="BB121" i="35"/>
  <c r="BU116" i="35"/>
  <c r="BM122" i="35"/>
  <c r="BQ123" i="35"/>
  <c r="BR153" i="35"/>
  <c r="BB123" i="35"/>
  <c r="BG158" i="35"/>
  <c r="AV118" i="35"/>
  <c r="BF112" i="35"/>
  <c r="BG151" i="35"/>
  <c r="BG163" i="35"/>
  <c r="Z158" i="35" l="1"/>
  <c r="Z106" i="35"/>
  <c r="Z125" i="35"/>
  <c r="Z107" i="35"/>
  <c r="Z117" i="35"/>
  <c r="Z114" i="35"/>
  <c r="Z155" i="35"/>
  <c r="Z121" i="35"/>
  <c r="Z156" i="35"/>
  <c r="Z122" i="35"/>
  <c r="Z112" i="35"/>
  <c r="Z119" i="35"/>
  <c r="Z164" i="35"/>
  <c r="Z116" i="35"/>
  <c r="Z159" i="35"/>
  <c r="Z120" i="35"/>
  <c r="Z109" i="35"/>
  <c r="Z154" i="35"/>
  <c r="Z163" i="35"/>
  <c r="Z115" i="35"/>
  <c r="Z111" i="35"/>
  <c r="Z124" i="35"/>
  <c r="Z162" i="35"/>
  <c r="Z153" i="35"/>
  <c r="Z161" i="35"/>
  <c r="Z113" i="35"/>
  <c r="Z108" i="35"/>
  <c r="Z160" i="35"/>
  <c r="Z118" i="35"/>
  <c r="Z123" i="35"/>
  <c r="Z110" i="35"/>
  <c r="Z157" i="35"/>
  <c r="Q166" i="35"/>
  <c r="AK166" i="35"/>
  <c r="AI166" i="35"/>
  <c r="AH166" i="35"/>
  <c r="AG166" i="35"/>
  <c r="AF166" i="35"/>
  <c r="AE166" i="35"/>
  <c r="AD166" i="35"/>
  <c r="AA165" i="35"/>
  <c r="Z165" i="35" s="1"/>
  <c r="R167" i="35"/>
  <c r="S167" i="35"/>
  <c r="T167" i="35"/>
  <c r="U167" i="35"/>
  <c r="V167" i="35"/>
  <c r="W167" i="35"/>
  <c r="X167" i="35"/>
  <c r="Y167" i="35"/>
  <c r="AJ167" i="35"/>
  <c r="BO167" i="35"/>
  <c r="BM167" i="35"/>
  <c r="BW167" i="35"/>
  <c r="BC167" i="35"/>
  <c r="BL167" i="35"/>
  <c r="BD167" i="35"/>
  <c r="BN167" i="35"/>
  <c r="BZ167" i="35"/>
  <c r="AW167" i="35"/>
  <c r="AU167" i="35"/>
  <c r="AX167" i="35"/>
  <c r="BA167" i="35"/>
  <c r="BS167" i="35"/>
  <c r="BV167" i="35"/>
  <c r="BT167" i="35"/>
  <c r="AY167" i="35"/>
  <c r="BQ167" i="35"/>
  <c r="AV167" i="35"/>
  <c r="BY167" i="35"/>
  <c r="BI167" i="35"/>
  <c r="BP167" i="35"/>
  <c r="BU167" i="35"/>
  <c r="AS167" i="35"/>
  <c r="BG167" i="35"/>
  <c r="AT167" i="35"/>
  <c r="BR167" i="35"/>
  <c r="BK167" i="35"/>
  <c r="BH167" i="35"/>
  <c r="BF167" i="35"/>
  <c r="BB167" i="35"/>
  <c r="BE167" i="35"/>
  <c r="AZ167" i="35"/>
  <c r="AR167" i="35"/>
  <c r="BJ167" i="35"/>
  <c r="O108" i="35" l="1" a="1"/>
  <c r="O108" i="35" s="1"/>
  <c r="N108" i="35" s="1"/>
  <c r="O109" i="35" a="1"/>
  <c r="O109" i="35" s="1"/>
  <c r="N109" i="35" s="1"/>
  <c r="O107" i="35" a="1"/>
  <c r="O107" i="35" s="1"/>
  <c r="N107" i="35" s="1"/>
  <c r="P106" i="35"/>
  <c r="G143" i="35" s="1"/>
  <c r="O111" i="35" a="1"/>
  <c r="O111" i="35" s="1"/>
  <c r="K111" i="35" s="1"/>
  <c r="L111" i="35" s="1"/>
  <c r="O106" i="35" a="1"/>
  <c r="O106" i="35" s="1"/>
  <c r="K106" i="35" s="1"/>
  <c r="L106" i="35" s="1"/>
  <c r="P108" i="35"/>
  <c r="I143" i="35" s="1"/>
  <c r="O110" i="35" a="1"/>
  <c r="O110" i="35" s="1"/>
  <c r="K110" i="35" s="1"/>
  <c r="L110" i="35" s="1"/>
  <c r="P107" i="35"/>
  <c r="H143" i="35" s="1"/>
  <c r="Q167" i="35"/>
  <c r="AK167" i="35"/>
  <c r="AI167" i="35"/>
  <c r="AH167" i="35"/>
  <c r="AG167" i="35"/>
  <c r="AF167" i="35"/>
  <c r="AE167" i="35"/>
  <c r="AD167" i="35"/>
  <c r="AA166" i="35"/>
  <c r="Z166" i="35" s="1"/>
  <c r="R168" i="35"/>
  <c r="S168" i="35"/>
  <c r="T168" i="35"/>
  <c r="U168" i="35"/>
  <c r="V168" i="35"/>
  <c r="W168" i="35"/>
  <c r="X168" i="35"/>
  <c r="Y168" i="35"/>
  <c r="AJ168" i="35"/>
  <c r="AZ168" i="35"/>
  <c r="BF168" i="35"/>
  <c r="BJ168" i="35"/>
  <c r="BN168" i="35"/>
  <c r="BM168" i="35"/>
  <c r="BE168" i="35"/>
  <c r="AY168" i="35"/>
  <c r="AV168" i="35"/>
  <c r="BW168" i="35"/>
  <c r="BI168" i="35"/>
  <c r="AS168" i="35"/>
  <c r="BQ168" i="35"/>
  <c r="BC168" i="35"/>
  <c r="BG168" i="35"/>
  <c r="BS168" i="35"/>
  <c r="BK168" i="35"/>
  <c r="BU168" i="35"/>
  <c r="BY168" i="35"/>
  <c r="BD168" i="35"/>
  <c r="BA168" i="35"/>
  <c r="BR168" i="35"/>
  <c r="AT168" i="35"/>
  <c r="BT168" i="35"/>
  <c r="AR168" i="35"/>
  <c r="BZ168" i="35"/>
  <c r="BO168" i="35"/>
  <c r="BH168" i="35"/>
  <c r="AW168" i="35"/>
  <c r="BV168" i="35"/>
  <c r="BL168" i="35"/>
  <c r="BP168" i="35"/>
  <c r="AU168" i="35"/>
  <c r="BB168" i="35"/>
  <c r="AX168" i="35"/>
  <c r="H104" i="35" l="1"/>
  <c r="I104" i="35"/>
  <c r="G104" i="35"/>
  <c r="H101" i="35"/>
  <c r="H119" i="35" s="1"/>
  <c r="K108" i="35"/>
  <c r="L108" i="35" s="1"/>
  <c r="K109" i="35"/>
  <c r="L109" i="35" s="1"/>
  <c r="G101" i="35"/>
  <c r="G116" i="35" s="1"/>
  <c r="N106" i="35"/>
  <c r="I101" i="35"/>
  <c r="I109" i="35" s="1"/>
  <c r="K107" i="35"/>
  <c r="L107" i="35" s="1"/>
  <c r="N110" i="35"/>
  <c r="N111" i="35"/>
  <c r="Q168" i="35"/>
  <c r="AK168" i="35"/>
  <c r="AI168" i="35"/>
  <c r="AH168" i="35"/>
  <c r="AG168" i="35"/>
  <c r="AF168" i="35"/>
  <c r="AE168" i="35"/>
  <c r="AD168" i="35"/>
  <c r="AA167" i="35"/>
  <c r="Z167" i="35" s="1"/>
  <c r="R169" i="35"/>
  <c r="S169" i="35"/>
  <c r="T169" i="35"/>
  <c r="U169" i="35"/>
  <c r="V169" i="35"/>
  <c r="W169" i="35"/>
  <c r="X169" i="35"/>
  <c r="Y169" i="35"/>
  <c r="AJ169" i="35"/>
  <c r="BK169" i="35"/>
  <c r="BD169" i="35"/>
  <c r="AX169" i="35"/>
  <c r="BM169" i="35"/>
  <c r="BQ169" i="35"/>
  <c r="BV169" i="35"/>
  <c r="AS169" i="35"/>
  <c r="AU169" i="35"/>
  <c r="BW169" i="35"/>
  <c r="BJ169" i="35"/>
  <c r="AV169" i="35"/>
  <c r="AY169" i="35"/>
  <c r="BU169" i="35"/>
  <c r="AR169" i="35"/>
  <c r="BG169" i="35"/>
  <c r="BC169" i="35"/>
  <c r="AZ169" i="35"/>
  <c r="BE169" i="35"/>
  <c r="AT169" i="35"/>
  <c r="BF169" i="35"/>
  <c r="BO169" i="35"/>
  <c r="BB169" i="35"/>
  <c r="BI169" i="35"/>
  <c r="BL169" i="35"/>
  <c r="AW169" i="35"/>
  <c r="BR169" i="35"/>
  <c r="BA169" i="35"/>
  <c r="BP169" i="35"/>
  <c r="BY169" i="35"/>
  <c r="BT169" i="35"/>
  <c r="BS169" i="35"/>
  <c r="BZ169" i="35"/>
  <c r="BH169" i="35"/>
  <c r="BN169" i="35"/>
  <c r="H108" i="35" l="1"/>
  <c r="H117" i="35"/>
  <c r="H118" i="35"/>
  <c r="H128" i="35"/>
  <c r="H112" i="35"/>
  <c r="H105" i="35"/>
  <c r="H137" i="35"/>
  <c r="H138" i="35"/>
  <c r="H134" i="35"/>
  <c r="H130" i="35"/>
  <c r="H116" i="35"/>
  <c r="H133" i="35"/>
  <c r="H132" i="35"/>
  <c r="H110" i="35"/>
  <c r="H126" i="35"/>
  <c r="H136" i="35"/>
  <c r="H114" i="35"/>
  <c r="H120" i="35"/>
  <c r="H139" i="35"/>
  <c r="H113" i="35"/>
  <c r="H111" i="35"/>
  <c r="H127" i="35"/>
  <c r="H131" i="35"/>
  <c r="H107" i="35"/>
  <c r="H109" i="35"/>
  <c r="H125" i="35"/>
  <c r="H129" i="35"/>
  <c r="H124" i="35"/>
  <c r="H123" i="35"/>
  <c r="H115" i="35"/>
  <c r="H106" i="35"/>
  <c r="G112" i="35"/>
  <c r="G123" i="35"/>
  <c r="G118" i="35"/>
  <c r="G120" i="35"/>
  <c r="G113" i="35"/>
  <c r="G130" i="35"/>
  <c r="G115" i="35"/>
  <c r="G128" i="35"/>
  <c r="G131" i="35"/>
  <c r="G114" i="35"/>
  <c r="G110" i="35"/>
  <c r="G129" i="35"/>
  <c r="G136" i="35"/>
  <c r="G109" i="35"/>
  <c r="G107" i="35"/>
  <c r="G126" i="35"/>
  <c r="G119" i="35"/>
  <c r="G133" i="35"/>
  <c r="G132" i="35"/>
  <c r="G125" i="35"/>
  <c r="G124" i="35"/>
  <c r="G106" i="35"/>
  <c r="G127" i="35"/>
  <c r="G105" i="35"/>
  <c r="G108" i="35"/>
  <c r="G139" i="35"/>
  <c r="I110" i="35"/>
  <c r="I136" i="35"/>
  <c r="I119" i="35"/>
  <c r="G138" i="35"/>
  <c r="G117" i="35"/>
  <c r="G134" i="35"/>
  <c r="G111" i="35"/>
  <c r="I106" i="35"/>
  <c r="G137" i="35"/>
  <c r="I127" i="35"/>
  <c r="I138" i="35"/>
  <c r="I113" i="35"/>
  <c r="I108" i="35"/>
  <c r="I125" i="35"/>
  <c r="I123" i="35"/>
  <c r="I107" i="35"/>
  <c r="I132" i="35"/>
  <c r="I129" i="35"/>
  <c r="I130" i="35"/>
  <c r="I120" i="35"/>
  <c r="I114" i="35"/>
  <c r="I116" i="35"/>
  <c r="I105" i="35"/>
  <c r="I117" i="35"/>
  <c r="I139" i="35"/>
  <c r="I115" i="35"/>
  <c r="I124" i="35"/>
  <c r="I131" i="35"/>
  <c r="I112" i="35"/>
  <c r="I137" i="35"/>
  <c r="I128" i="35"/>
  <c r="I126" i="35"/>
  <c r="I133" i="35"/>
  <c r="I118" i="35"/>
  <c r="I111" i="35"/>
  <c r="I134" i="35"/>
  <c r="Q169" i="35"/>
  <c r="AK169" i="35"/>
  <c r="AI169" i="35"/>
  <c r="AH169" i="35"/>
  <c r="AG169" i="35"/>
  <c r="AF169" i="35"/>
  <c r="AE169" i="35"/>
  <c r="AD169" i="35"/>
  <c r="AA168" i="35"/>
  <c r="Z168" i="35" s="1"/>
  <c r="R170" i="35"/>
  <c r="S170" i="35"/>
  <c r="T170" i="35"/>
  <c r="U170" i="35"/>
  <c r="V170" i="35"/>
  <c r="W170" i="35"/>
  <c r="X170" i="35"/>
  <c r="Y170" i="35"/>
  <c r="AJ170" i="35"/>
  <c r="BC170" i="35"/>
  <c r="BV170" i="35"/>
  <c r="BE170" i="35"/>
  <c r="BU170" i="35"/>
  <c r="BY170" i="35"/>
  <c r="BH170" i="35"/>
  <c r="AX170" i="35"/>
  <c r="BG170" i="35"/>
  <c r="BM170" i="35"/>
  <c r="AR170" i="35"/>
  <c r="AZ170" i="35"/>
  <c r="AW170" i="35"/>
  <c r="BW170" i="35"/>
  <c r="BO170" i="35"/>
  <c r="BL170" i="35"/>
  <c r="BK170" i="35"/>
  <c r="BB170" i="35"/>
  <c r="BF170" i="35"/>
  <c r="AY170" i="35"/>
  <c r="BI170" i="35"/>
  <c r="BS170" i="35"/>
  <c r="BN170" i="35"/>
  <c r="BZ170" i="35"/>
  <c r="BT170" i="35"/>
  <c r="BQ170" i="35"/>
  <c r="AS170" i="35"/>
  <c r="BR170" i="35"/>
  <c r="BJ170" i="35"/>
  <c r="AV170" i="35"/>
  <c r="AU170" i="35"/>
  <c r="BD170" i="35"/>
  <c r="BP170" i="35"/>
  <c r="BA170" i="35"/>
  <c r="AT170" i="35"/>
  <c r="Q170" i="35" l="1"/>
  <c r="AK170" i="35"/>
  <c r="AI170" i="35"/>
  <c r="AH170" i="35"/>
  <c r="AG170" i="35"/>
  <c r="AF170" i="35"/>
  <c r="AE170" i="35"/>
  <c r="AD170" i="35"/>
  <c r="AA169" i="35"/>
  <c r="Z169" i="35" s="1"/>
  <c r="D171" i="35"/>
  <c r="R171" i="35"/>
  <c r="S171" i="35"/>
  <c r="T171" i="35"/>
  <c r="U171" i="35"/>
  <c r="V171" i="35"/>
  <c r="W171" i="35"/>
  <c r="X171" i="35"/>
  <c r="Y171" i="35"/>
  <c r="AJ171" i="35"/>
  <c r="BH171" i="35"/>
  <c r="BP171" i="35"/>
  <c r="BK171" i="35"/>
  <c r="BL171" i="35"/>
  <c r="AT171" i="35"/>
  <c r="BT171" i="35"/>
  <c r="BA171" i="35"/>
  <c r="BU171" i="35"/>
  <c r="AY171" i="35"/>
  <c r="BQ171" i="35"/>
  <c r="BM171" i="35"/>
  <c r="AU171" i="35"/>
  <c r="BW171" i="35"/>
  <c r="AS171" i="35"/>
  <c r="BJ171" i="35"/>
  <c r="BG171" i="35"/>
  <c r="BE171" i="35"/>
  <c r="BY171" i="35"/>
  <c r="BI171" i="35"/>
  <c r="BZ171" i="35"/>
  <c r="AR171" i="35"/>
  <c r="AX171" i="35"/>
  <c r="BC171" i="35"/>
  <c r="AV171" i="35"/>
  <c r="BS171" i="35"/>
  <c r="BD171" i="35"/>
  <c r="AW171" i="35"/>
  <c r="BR171" i="35"/>
  <c r="BB171" i="35"/>
  <c r="AZ171" i="35"/>
  <c r="BO171" i="35"/>
  <c r="BV171" i="35"/>
  <c r="BN171" i="35"/>
  <c r="BF171" i="35"/>
  <c r="Q171" i="35" l="1"/>
  <c r="AK171" i="35"/>
  <c r="AI171" i="35"/>
  <c r="AH171" i="35"/>
  <c r="AG171" i="35"/>
  <c r="AF171" i="35"/>
  <c r="AE171" i="35"/>
  <c r="AD171" i="35"/>
  <c r="AA170" i="35"/>
  <c r="Z170" i="35" s="1"/>
  <c r="D172" i="35"/>
  <c r="R172" i="35"/>
  <c r="S172" i="35"/>
  <c r="T172" i="35"/>
  <c r="U172" i="35"/>
  <c r="V172" i="35"/>
  <c r="W172" i="35"/>
  <c r="X172" i="35"/>
  <c r="Y172" i="35"/>
  <c r="AJ172" i="35"/>
  <c r="AT172" i="35"/>
  <c r="BE172" i="35"/>
  <c r="BR172" i="35"/>
  <c r="BU172" i="35"/>
  <c r="BG172" i="35"/>
  <c r="BF172" i="35"/>
  <c r="AX172" i="35"/>
  <c r="BS172" i="35"/>
  <c r="AU172" i="35"/>
  <c r="BJ172" i="35"/>
  <c r="BH172" i="35"/>
  <c r="BB172" i="35"/>
  <c r="BZ172" i="35"/>
  <c r="BW172" i="35"/>
  <c r="BA172" i="35"/>
  <c r="BD172" i="35"/>
  <c r="BN172" i="35"/>
  <c r="BI172" i="35"/>
  <c r="BQ172" i="35"/>
  <c r="AR172" i="35"/>
  <c r="BK172" i="35"/>
  <c r="BM172" i="35"/>
  <c r="AS172" i="35"/>
  <c r="AW172" i="35"/>
  <c r="AV172" i="35"/>
  <c r="AY172" i="35"/>
  <c r="BL172" i="35"/>
  <c r="BT172" i="35"/>
  <c r="BP172" i="35"/>
  <c r="BC172" i="35"/>
  <c r="AZ172" i="35"/>
  <c r="BO172" i="35"/>
  <c r="BY172" i="35"/>
  <c r="BV172" i="35"/>
  <c r="Q172" i="35" l="1"/>
  <c r="AK172" i="35"/>
  <c r="AI172" i="35"/>
  <c r="AH172" i="35"/>
  <c r="AG172" i="35"/>
  <c r="AF172" i="35"/>
  <c r="AE172" i="35"/>
  <c r="AD172" i="35"/>
  <c r="AA171" i="35"/>
  <c r="Z171" i="35" s="1"/>
  <c r="AA172" i="35" l="1"/>
  <c r="Z172" i="35" s="1"/>
  <c r="D174" i="35"/>
  <c r="D175" i="35" l="1"/>
  <c r="D177" i="35" l="1"/>
  <c r="D178" i="35"/>
  <c r="D180" i="35"/>
  <c r="D181" i="35"/>
  <c r="AR56" i="35"/>
  <c r="AS56" i="35"/>
  <c r="AT56" i="35"/>
  <c r="AU56" i="35"/>
  <c r="AV56" i="35"/>
  <c r="AW56" i="35"/>
  <c r="AX56" i="35"/>
  <c r="AY56" i="35"/>
  <c r="AZ56" i="35"/>
  <c r="BA56" i="35"/>
  <c r="BB56" i="35"/>
  <c r="BC56" i="35"/>
  <c r="BD56" i="35"/>
  <c r="BE56" i="35"/>
  <c r="BF56" i="35"/>
  <c r="AC57" i="35"/>
  <c r="AY57" i="35"/>
  <c r="AU57" i="35"/>
  <c r="AV57" i="35"/>
  <c r="BU57" i="35"/>
  <c r="BK57" i="35"/>
  <c r="BF57" i="35"/>
  <c r="AZ57" i="35"/>
  <c r="AS57" i="35"/>
  <c r="BR57" i="35"/>
  <c r="BA57" i="35"/>
  <c r="BI57" i="35"/>
  <c r="BS57" i="35"/>
  <c r="BJ57" i="35"/>
  <c r="BN57" i="35"/>
  <c r="BE57" i="35"/>
  <c r="BC57" i="35"/>
  <c r="BH57" i="35"/>
  <c r="AW57" i="35"/>
  <c r="BD57" i="35"/>
  <c r="BT57" i="35"/>
  <c r="BM57" i="35"/>
  <c r="AX57" i="35"/>
  <c r="BP57" i="35"/>
  <c r="BL57" i="35"/>
  <c r="BQ57" i="35"/>
  <c r="BW57" i="35"/>
  <c r="BB57" i="35"/>
  <c r="BV57" i="35"/>
  <c r="BZ57" i="35"/>
  <c r="AT57" i="35"/>
  <c r="AR57" i="35"/>
  <c r="BG57" i="35"/>
  <c r="BO57" i="35"/>
  <c r="BY57" i="35"/>
  <c r="O155" i="35" l="1" a="1"/>
  <c r="O155" i="35" s="1"/>
  <c r="AH57" i="35"/>
  <c r="AF57" i="35"/>
  <c r="AK57" i="35"/>
  <c r="AJ57" i="35"/>
  <c r="AI57" i="35"/>
  <c r="AG57" i="35"/>
  <c r="AB57" i="35"/>
  <c r="AE57" i="35"/>
  <c r="AD57" i="35"/>
  <c r="W59" i="35"/>
  <c r="X59" i="35"/>
  <c r="Y59" i="35"/>
  <c r="W60" i="35"/>
  <c r="X60" i="35"/>
  <c r="Y60" i="35"/>
  <c r="W61" i="35"/>
  <c r="X61" i="35"/>
  <c r="Y61" i="35"/>
  <c r="W62" i="35"/>
  <c r="X62" i="35"/>
  <c r="Y62" i="35"/>
  <c r="W63" i="35"/>
  <c r="X63" i="35"/>
  <c r="Y63" i="35"/>
  <c r="W64" i="35"/>
  <c r="X64" i="35"/>
  <c r="Y64" i="35"/>
  <c r="W65" i="35"/>
  <c r="X65" i="35"/>
  <c r="Y65" i="35"/>
  <c r="W66" i="35"/>
  <c r="X66" i="35"/>
  <c r="Y66" i="35"/>
  <c r="W67" i="35"/>
  <c r="X67" i="35"/>
  <c r="Y67" i="35"/>
  <c r="W68" i="35"/>
  <c r="X68" i="35"/>
  <c r="Y68" i="35"/>
  <c r="W69" i="35"/>
  <c r="X69" i="35"/>
  <c r="Y69" i="35"/>
  <c r="W70" i="35"/>
  <c r="X70" i="35"/>
  <c r="Y70" i="35"/>
  <c r="W71" i="35"/>
  <c r="X71" i="35"/>
  <c r="Y71" i="35"/>
  <c r="W72" i="35"/>
  <c r="X72" i="35"/>
  <c r="Y72" i="35"/>
  <c r="W73" i="35"/>
  <c r="X73" i="35"/>
  <c r="Y73" i="35"/>
  <c r="W74" i="35"/>
  <c r="X74" i="35"/>
  <c r="Y74" i="35"/>
  <c r="W75" i="35"/>
  <c r="X75" i="35"/>
  <c r="Y75" i="35"/>
  <c r="W76" i="35"/>
  <c r="X76" i="35"/>
  <c r="Y76" i="35"/>
  <c r="W77" i="35"/>
  <c r="X77" i="35"/>
  <c r="Y77" i="35"/>
  <c r="W78" i="35"/>
  <c r="X78" i="35"/>
  <c r="Y78" i="35"/>
  <c r="D86" i="35"/>
  <c r="D87" i="35"/>
  <c r="AA13" i="66"/>
  <c r="AB13" i="66"/>
  <c r="AA14" i="66"/>
  <c r="AB14" i="66"/>
  <c r="AA15" i="66"/>
  <c r="AB15" i="66"/>
  <c r="AA16" i="66"/>
  <c r="AB16" i="66"/>
  <c r="AA17" i="66"/>
  <c r="AB17" i="66"/>
  <c r="AA18" i="66"/>
  <c r="AB18" i="66"/>
  <c r="AA19" i="66"/>
  <c r="AB19" i="66"/>
  <c r="AA20" i="66"/>
  <c r="AB20" i="66"/>
  <c r="AA21" i="66"/>
  <c r="AB21" i="66"/>
  <c r="O158" i="35" l="1" a="1"/>
  <c r="O158" i="35" s="1"/>
  <c r="K158" i="35" s="1"/>
  <c r="L158" i="35" s="1"/>
  <c r="O157" i="35" a="1"/>
  <c r="O157" i="35" s="1"/>
  <c r="N157" i="35" s="1"/>
  <c r="K155" i="35"/>
  <c r="L155" i="35" s="1"/>
  <c r="N155" i="35"/>
  <c r="P155" i="35"/>
  <c r="I190" i="35" s="1"/>
  <c r="P154" i="35"/>
  <c r="H190" i="35" s="1"/>
  <c r="P153" i="35"/>
  <c r="G190" i="35" s="1"/>
  <c r="O154" i="35" a="1"/>
  <c r="O154" i="35" s="1"/>
  <c r="O153" i="35" a="1"/>
  <c r="O153" i="35" s="1"/>
  <c r="O156" i="35" a="1"/>
  <c r="O156" i="35" s="1"/>
  <c r="AA57" i="35"/>
  <c r="B4" i="68"/>
  <c r="G151" i="35" l="1"/>
  <c r="H151" i="35"/>
  <c r="I151" i="35"/>
  <c r="N158" i="35"/>
  <c r="K157" i="35"/>
  <c r="L157" i="35" s="1"/>
  <c r="H148" i="35"/>
  <c r="I148" i="35"/>
  <c r="N156" i="35"/>
  <c r="K156" i="35"/>
  <c r="L156" i="35" s="1"/>
  <c r="K153" i="35"/>
  <c r="L153" i="35" s="1"/>
  <c r="N153" i="35"/>
  <c r="K154" i="35"/>
  <c r="L154" i="35" s="1"/>
  <c r="N154" i="35"/>
  <c r="G148" i="35"/>
  <c r="E7" i="58"/>
  <c r="E6" i="58"/>
  <c r="E5" i="58"/>
  <c r="E4" i="58"/>
  <c r="E3" i="58"/>
  <c r="E2" i="58"/>
  <c r="G152" i="35" l="1"/>
  <c r="G153" i="35"/>
  <c r="G154" i="35"/>
  <c r="G155" i="35"/>
  <c r="G156" i="35"/>
  <c r="G157" i="35"/>
  <c r="G158" i="35"/>
  <c r="G159" i="35"/>
  <c r="G160" i="35"/>
  <c r="G161" i="35"/>
  <c r="G162" i="35"/>
  <c r="G163" i="35"/>
  <c r="G164" i="35"/>
  <c r="G165" i="35"/>
  <c r="G166" i="35"/>
  <c r="G167" i="35"/>
  <c r="G170" i="35"/>
  <c r="G171" i="35"/>
  <c r="G172" i="35"/>
  <c r="G173" i="35"/>
  <c r="G174" i="35"/>
  <c r="G175" i="35"/>
  <c r="G176" i="35"/>
  <c r="G184" i="35"/>
  <c r="G178" i="35"/>
  <c r="G181" i="35"/>
  <c r="G185" i="35"/>
  <c r="G179" i="35"/>
  <c r="G183" i="35"/>
  <c r="G186" i="35"/>
  <c r="G177" i="35"/>
  <c r="G180" i="35"/>
  <c r="I153" i="35"/>
  <c r="I152" i="35"/>
  <c r="I154" i="35"/>
  <c r="I155" i="35"/>
  <c r="I156" i="35"/>
  <c r="I157" i="35"/>
  <c r="I158" i="35"/>
  <c r="I159" i="35"/>
  <c r="I160" i="35"/>
  <c r="I161" i="35"/>
  <c r="I162" i="35"/>
  <c r="I163" i="35"/>
  <c r="I164" i="35"/>
  <c r="I165" i="35"/>
  <c r="I166" i="35"/>
  <c r="I167" i="35"/>
  <c r="I170" i="35"/>
  <c r="I171" i="35"/>
  <c r="I172" i="35"/>
  <c r="I173" i="35"/>
  <c r="I174" i="35"/>
  <c r="I175" i="35"/>
  <c r="I176" i="35"/>
  <c r="I180" i="35"/>
  <c r="I184" i="35"/>
  <c r="I178" i="35"/>
  <c r="I181" i="35"/>
  <c r="I185" i="35"/>
  <c r="I179" i="35"/>
  <c r="I183" i="35"/>
  <c r="I186" i="35"/>
  <c r="I177" i="35"/>
  <c r="H153" i="35"/>
  <c r="H152" i="35"/>
  <c r="H154" i="35"/>
  <c r="H155" i="35"/>
  <c r="H156" i="35"/>
  <c r="H157" i="35"/>
  <c r="H158" i="35"/>
  <c r="H159" i="35"/>
  <c r="H160" i="35"/>
  <c r="H161" i="35"/>
  <c r="H162" i="35"/>
  <c r="H163" i="35"/>
  <c r="H164" i="35"/>
  <c r="H165" i="35"/>
  <c r="H166" i="35"/>
  <c r="H167" i="35"/>
  <c r="H170" i="35"/>
  <c r="H171" i="35"/>
  <c r="H172" i="35"/>
  <c r="H173" i="35"/>
  <c r="H174" i="35"/>
  <c r="H175" i="35"/>
  <c r="H176" i="35"/>
  <c r="H180" i="35"/>
  <c r="H184" i="35"/>
  <c r="H181" i="35"/>
  <c r="H185" i="35"/>
  <c r="H178" i="35"/>
  <c r="H179" i="35"/>
  <c r="H183" i="35"/>
  <c r="H186" i="35"/>
  <c r="H177" i="35"/>
  <c r="AG13" i="65"/>
  <c r="AG14" i="65"/>
  <c r="AG15" i="65"/>
  <c r="AG16" i="65"/>
  <c r="AG17" i="65"/>
  <c r="AG18" i="65"/>
  <c r="AG19" i="65"/>
  <c r="AG20" i="65"/>
  <c r="AG21" i="65"/>
  <c r="AG22" i="65"/>
  <c r="AG23" i="65"/>
  <c r="AG24" i="65"/>
  <c r="AG25" i="65"/>
  <c r="AG26" i="65"/>
  <c r="AG27" i="65"/>
  <c r="AG28" i="65"/>
  <c r="AG29" i="65"/>
  <c r="AG30" i="65"/>
  <c r="AG31" i="65"/>
  <c r="X28" i="65"/>
  <c r="Y28" i="65"/>
  <c r="X29" i="65"/>
  <c r="Y29" i="65"/>
  <c r="X30" i="65"/>
  <c r="Y30" i="65"/>
  <c r="X31" i="65"/>
  <c r="Y31" i="65"/>
  <c r="W30" i="65" l="1"/>
  <c r="W28" i="65"/>
  <c r="W29" i="65"/>
  <c r="W31" i="65"/>
  <c r="V29" i="65"/>
  <c r="V30" i="65"/>
  <c r="V28" i="65"/>
  <c r="V31" i="65"/>
  <c r="U30" i="65"/>
  <c r="U29" i="65"/>
  <c r="U31" i="65"/>
  <c r="U28" i="65"/>
  <c r="S31" i="65"/>
  <c r="T28" i="65"/>
  <c r="R31" i="65"/>
  <c r="T30" i="65"/>
  <c r="S28" i="65"/>
  <c r="S29" i="65"/>
  <c r="T31" i="65"/>
  <c r="T29" i="65"/>
  <c r="R28" i="65"/>
  <c r="S30" i="65"/>
  <c r="R29" i="65"/>
  <c r="R30" i="65"/>
  <c r="BZ29" i="65"/>
  <c r="BU77" i="35"/>
  <c r="BV78" i="35"/>
  <c r="AY70" i="35"/>
  <c r="BO61" i="35"/>
  <c r="BZ28" i="65"/>
  <c r="AU63" i="35"/>
  <c r="AU64" i="35"/>
  <c r="BR28" i="65"/>
  <c r="BH67" i="35"/>
  <c r="BV63" i="35"/>
  <c r="BR71" i="35"/>
  <c r="BQ72" i="35"/>
  <c r="BA64" i="35"/>
  <c r="BQ73" i="35"/>
  <c r="BM61" i="35"/>
  <c r="BY76" i="35"/>
  <c r="BZ75" i="35"/>
  <c r="AU76" i="35"/>
  <c r="BK77" i="35"/>
  <c r="BL29" i="65"/>
  <c r="BU67" i="35"/>
  <c r="BP63" i="35"/>
  <c r="BI29" i="65"/>
  <c r="BB75" i="35"/>
  <c r="BM29" i="65"/>
  <c r="BK68" i="35"/>
  <c r="BE69" i="35"/>
  <c r="BM65" i="35"/>
  <c r="BW72" i="35"/>
  <c r="BN75" i="35"/>
  <c r="BQ62" i="35"/>
  <c r="BN73" i="35"/>
  <c r="BM72" i="35"/>
  <c r="BJ59" i="35"/>
  <c r="BN60" i="35"/>
  <c r="BF72" i="35"/>
  <c r="BZ74" i="35"/>
  <c r="AS71" i="35"/>
  <c r="BF60" i="35"/>
  <c r="BJ75" i="35"/>
  <c r="BU71" i="35"/>
  <c r="BR31" i="65"/>
  <c r="AV63" i="35"/>
  <c r="AR68" i="35"/>
  <c r="BD72" i="35"/>
  <c r="BH63" i="35"/>
  <c r="BC67" i="35"/>
  <c r="BR68" i="35"/>
  <c r="BH69" i="35"/>
  <c r="BP73" i="35"/>
  <c r="BP61" i="35"/>
  <c r="AY76" i="35"/>
  <c r="AX68" i="35"/>
  <c r="BJ66" i="35"/>
  <c r="BT29" i="65"/>
  <c r="BO59" i="35"/>
  <c r="AR71" i="35"/>
  <c r="BI69" i="35"/>
  <c r="BH28" i="65"/>
  <c r="AV72" i="35"/>
  <c r="BO63" i="35"/>
  <c r="BO70" i="35"/>
  <c r="AU74" i="35"/>
  <c r="BP71" i="35"/>
  <c r="BA60" i="35"/>
  <c r="BH60" i="35"/>
  <c r="BD74" i="35"/>
  <c r="BM66" i="35"/>
  <c r="BU59" i="35"/>
  <c r="BN61" i="35"/>
  <c r="BH68" i="35"/>
  <c r="BD64" i="35"/>
  <c r="BW74" i="35"/>
  <c r="BL69" i="35"/>
  <c r="BV69" i="35"/>
  <c r="BP76" i="35"/>
  <c r="AU65" i="35"/>
  <c r="BE76" i="35"/>
  <c r="AZ75" i="35"/>
  <c r="BT78" i="35"/>
  <c r="BU60" i="35"/>
  <c r="BB63" i="35"/>
  <c r="BE65" i="35"/>
  <c r="BP64" i="35"/>
  <c r="BJ62" i="35"/>
  <c r="BP74" i="35"/>
  <c r="AX67" i="35"/>
  <c r="AZ60" i="35"/>
  <c r="BW66" i="35"/>
  <c r="BH73" i="35"/>
  <c r="AX70" i="35"/>
  <c r="BG67" i="35"/>
  <c r="BW77" i="35"/>
  <c r="BG72" i="35"/>
  <c r="BI66" i="35"/>
  <c r="BE62" i="35"/>
  <c r="BN78" i="35"/>
  <c r="BH62" i="35"/>
  <c r="AZ64" i="35"/>
  <c r="BJ77" i="35"/>
  <c r="BJ76" i="35"/>
  <c r="BH29" i="65"/>
  <c r="AS78" i="35"/>
  <c r="BH78" i="35"/>
  <c r="BH72" i="35"/>
  <c r="BJ31" i="65"/>
  <c r="AW62" i="35"/>
  <c r="BW75" i="35"/>
  <c r="BG29" i="65"/>
  <c r="BJ64" i="35"/>
  <c r="BJ78" i="35"/>
  <c r="AT72" i="35"/>
  <c r="BR70" i="35"/>
  <c r="BM28" i="65"/>
  <c r="BM62" i="35"/>
  <c r="BY71" i="35"/>
  <c r="BA76" i="35"/>
  <c r="BB60" i="35"/>
  <c r="BL63" i="35"/>
  <c r="AT69" i="35"/>
  <c r="BL28" i="65"/>
  <c r="AY74" i="35"/>
  <c r="BR72" i="35"/>
  <c r="BT64" i="35"/>
  <c r="BR29" i="65"/>
  <c r="AS76" i="35"/>
  <c r="BB61" i="35"/>
  <c r="BA68" i="35"/>
  <c r="AV78" i="35"/>
  <c r="BD62" i="35"/>
  <c r="BZ73" i="35"/>
  <c r="BC78" i="35"/>
  <c r="BK29" i="65"/>
  <c r="BD66" i="35"/>
  <c r="BB70" i="35"/>
  <c r="BW76" i="35"/>
  <c r="BE75" i="35"/>
  <c r="BR69" i="35"/>
  <c r="BF78" i="35"/>
  <c r="BJ71" i="35"/>
  <c r="AV76" i="35"/>
  <c r="BZ71" i="35"/>
  <c r="BH65" i="35"/>
  <c r="BL31" i="65"/>
  <c r="BD67" i="35"/>
  <c r="BR75" i="35"/>
  <c r="BP68" i="35"/>
  <c r="BY63" i="35"/>
  <c r="BN65" i="35"/>
  <c r="AR70" i="35"/>
  <c r="BA70" i="35"/>
  <c r="AR62" i="35"/>
  <c r="BF74" i="35"/>
  <c r="BK75" i="35"/>
  <c r="BL73" i="35"/>
  <c r="BN72" i="35"/>
  <c r="BG63" i="35"/>
  <c r="BE72" i="35"/>
  <c r="BC75" i="35"/>
  <c r="AU72" i="35"/>
  <c r="AW66" i="35"/>
  <c r="AX75" i="35"/>
  <c r="AS66" i="35"/>
  <c r="AW72" i="35"/>
  <c r="BY78" i="35"/>
  <c r="AT59" i="35"/>
  <c r="BD60" i="35"/>
  <c r="BN62" i="35"/>
  <c r="BC30" i="65"/>
  <c r="BE73" i="35"/>
  <c r="BY74" i="35"/>
  <c r="AY71" i="35"/>
  <c r="BZ60" i="35"/>
  <c r="BY73" i="35"/>
  <c r="BL68" i="35"/>
  <c r="BR78" i="35"/>
  <c r="BG30" i="65"/>
  <c r="BH71" i="35"/>
  <c r="AY68" i="35"/>
  <c r="AX62" i="35"/>
  <c r="BZ77" i="35"/>
  <c r="BJ68" i="35"/>
  <c r="BT72" i="35"/>
  <c r="BM64" i="35"/>
  <c r="BJ74" i="35"/>
  <c r="BB74" i="35"/>
  <c r="BE59" i="35"/>
  <c r="BM74" i="35"/>
  <c r="AT73" i="35"/>
  <c r="BN67" i="35"/>
  <c r="BD71" i="35"/>
  <c r="AS67" i="35"/>
  <c r="BF62" i="35"/>
  <c r="BB78" i="35"/>
  <c r="BT66" i="35"/>
  <c r="BG61" i="35"/>
  <c r="BB66" i="35"/>
  <c r="BH30" i="65"/>
  <c r="BO68" i="35"/>
  <c r="BV28" i="65"/>
  <c r="BE68" i="35"/>
  <c r="BY65" i="35"/>
  <c r="BA62" i="35"/>
  <c r="BW69" i="35"/>
  <c r="AV73" i="35"/>
  <c r="BS78" i="35"/>
  <c r="BT76" i="35"/>
  <c r="BO62" i="35"/>
  <c r="BT70" i="35"/>
  <c r="BP30" i="65"/>
  <c r="BA75" i="35"/>
  <c r="BK74" i="35"/>
  <c r="BI63" i="35"/>
  <c r="BQ61" i="35"/>
  <c r="AZ78" i="35"/>
  <c r="BC69" i="35"/>
  <c r="BY31" i="65"/>
  <c r="BR60" i="35"/>
  <c r="BV60" i="35"/>
  <c r="BQ63" i="35"/>
  <c r="BI73" i="35"/>
  <c r="BF69" i="35"/>
  <c r="BU64" i="35"/>
  <c r="BQ31" i="65"/>
  <c r="BW63" i="35"/>
  <c r="BM63" i="35"/>
  <c r="BG31" i="65"/>
  <c r="BC29" i="65"/>
  <c r="BF68" i="35"/>
  <c r="BK76" i="35"/>
  <c r="BV65" i="35"/>
  <c r="BF67" i="35"/>
  <c r="BS28" i="65"/>
  <c r="BU70" i="35"/>
  <c r="BL66" i="35"/>
  <c r="BS66" i="35"/>
  <c r="AU59" i="35"/>
  <c r="BL60" i="35"/>
  <c r="BG68" i="35"/>
  <c r="BN59" i="35"/>
  <c r="AW61" i="35"/>
  <c r="BS59" i="35"/>
  <c r="BD77" i="35"/>
  <c r="BC70" i="35"/>
  <c r="AY66" i="35"/>
  <c r="BV77" i="35"/>
  <c r="BZ70" i="35"/>
  <c r="BU61" i="35"/>
  <c r="AR66" i="35"/>
  <c r="BZ66" i="35"/>
  <c r="AR78" i="35"/>
  <c r="BF29" i="65"/>
  <c r="BI62" i="35"/>
  <c r="BN28" i="65"/>
  <c r="AX74" i="35"/>
  <c r="BK71" i="35"/>
  <c r="BU63" i="35"/>
  <c r="BF73" i="35"/>
  <c r="BW73" i="35"/>
  <c r="BT77" i="35"/>
  <c r="AU68" i="35"/>
  <c r="BV64" i="35"/>
  <c r="BO74" i="35"/>
  <c r="BZ30" i="65"/>
  <c r="BF66" i="35"/>
  <c r="BG28" i="65"/>
  <c r="BI31" i="65"/>
  <c r="AS61" i="35"/>
  <c r="BQ30" i="65"/>
  <c r="AZ63" i="35"/>
  <c r="BG69" i="35"/>
  <c r="AZ61" i="35"/>
  <c r="BS31" i="65"/>
  <c r="AV61" i="35"/>
  <c r="AR69" i="35"/>
  <c r="BC61" i="35"/>
  <c r="BY70" i="35"/>
  <c r="AW59" i="35"/>
  <c r="BT31" i="65"/>
  <c r="BF63" i="35"/>
  <c r="BC31" i="65"/>
  <c r="BD78" i="35"/>
  <c r="BP75" i="35"/>
  <c r="BO77" i="35"/>
  <c r="BO71" i="35"/>
  <c r="BQ67" i="35"/>
  <c r="BY61" i="35"/>
  <c r="BQ66" i="35"/>
  <c r="BP59" i="35"/>
  <c r="BD28" i="65"/>
  <c r="BS29" i="65"/>
  <c r="BC77" i="35"/>
  <c r="BU76" i="35"/>
  <c r="BC62" i="35"/>
  <c r="AW68" i="35"/>
  <c r="BZ59" i="35"/>
  <c r="BR61" i="35"/>
  <c r="BJ72" i="35"/>
  <c r="BT67" i="35"/>
  <c r="BU78" i="35"/>
  <c r="BR63" i="35"/>
  <c r="BN77" i="35"/>
  <c r="BR67" i="35"/>
  <c r="BZ65" i="35"/>
  <c r="BK59" i="35"/>
  <c r="BN30" i="65"/>
  <c r="BN29" i="65"/>
  <c r="AZ76" i="35"/>
  <c r="BS71" i="35"/>
  <c r="AW73" i="35"/>
  <c r="BE66" i="35"/>
  <c r="BN31" i="65"/>
  <c r="BH76" i="35"/>
  <c r="BK65" i="35"/>
  <c r="AX72" i="35"/>
  <c r="AV77" i="35"/>
  <c r="AY69" i="35"/>
  <c r="BJ67" i="35"/>
  <c r="AR75" i="35"/>
  <c r="BF65" i="35"/>
  <c r="BY72" i="35"/>
  <c r="BF61" i="35"/>
  <c r="BL59" i="35"/>
  <c r="AV64" i="35"/>
  <c r="AZ62" i="35"/>
  <c r="BP62" i="35"/>
  <c r="BG64" i="35"/>
  <c r="BV74" i="35"/>
  <c r="BQ70" i="35"/>
  <c r="BC28" i="65"/>
  <c r="AT74" i="35"/>
  <c r="AY72" i="35"/>
  <c r="AZ72" i="35"/>
  <c r="AZ69" i="35"/>
  <c r="BI30" i="65"/>
  <c r="AS75" i="35"/>
  <c r="BK31" i="65"/>
  <c r="BB69" i="35"/>
  <c r="BS61" i="35"/>
  <c r="BG73" i="35"/>
  <c r="BJ63" i="35"/>
  <c r="BD31" i="65"/>
  <c r="BA66" i="35"/>
  <c r="AY73" i="35"/>
  <c r="BM69" i="35"/>
  <c r="AR60" i="35"/>
  <c r="BO65" i="35"/>
  <c r="AU78" i="35"/>
  <c r="BA59" i="35"/>
  <c r="BK72" i="35"/>
  <c r="AR67" i="35"/>
  <c r="BT68" i="35"/>
  <c r="AT78" i="35"/>
  <c r="BS72" i="35"/>
  <c r="BA73" i="35"/>
  <c r="BR74" i="35"/>
  <c r="BK63" i="35"/>
  <c r="BF30" i="65"/>
  <c r="BQ60" i="35"/>
  <c r="AR77" i="35"/>
  <c r="BA63" i="35"/>
  <c r="AZ70" i="35"/>
  <c r="BN66" i="35"/>
  <c r="BI60" i="35"/>
  <c r="BM59" i="35"/>
  <c r="AV70" i="35"/>
  <c r="BD63" i="35"/>
  <c r="BP65" i="35"/>
  <c r="AV62" i="35"/>
  <c r="BI28" i="65"/>
  <c r="BE70" i="35"/>
  <c r="BT73" i="35"/>
  <c r="BE74" i="35"/>
  <c r="BV72" i="35"/>
  <c r="BL78" i="35"/>
  <c r="BP77" i="35"/>
  <c r="AY77" i="35"/>
  <c r="BF64" i="35"/>
  <c r="BE61" i="35"/>
  <c r="BQ28" i="65"/>
  <c r="AU75" i="35"/>
  <c r="BU74" i="35"/>
  <c r="BI75" i="35"/>
  <c r="BI76" i="35"/>
  <c r="AX76" i="35"/>
  <c r="BT62" i="35"/>
  <c r="BN68" i="35"/>
  <c r="BQ71" i="35"/>
  <c r="BU62" i="35"/>
  <c r="BR77" i="35"/>
  <c r="BY67" i="35"/>
  <c r="BN76" i="35"/>
  <c r="BM67" i="35"/>
  <c r="BP70" i="35"/>
  <c r="AT76" i="35"/>
  <c r="BS76" i="35"/>
  <c r="BJ73" i="35"/>
  <c r="BS65" i="35"/>
  <c r="AY60" i="35"/>
  <c r="BH59" i="35"/>
  <c r="AY63" i="35"/>
  <c r="AY29" i="65"/>
  <c r="BU73" i="35"/>
  <c r="AT66" i="35"/>
  <c r="AR74" i="35"/>
  <c r="BG71" i="35"/>
  <c r="BQ74" i="35"/>
  <c r="BA69" i="35"/>
  <c r="BO31" i="65"/>
  <c r="BV31" i="65"/>
  <c r="BC66" i="35"/>
  <c r="AX61" i="35"/>
  <c r="AZ66" i="35"/>
  <c r="BF77" i="35"/>
  <c r="BQ75" i="35"/>
  <c r="BP31" i="65"/>
  <c r="BY60" i="35"/>
  <c r="BE63" i="35"/>
  <c r="AY61" i="35"/>
  <c r="BR64" i="35"/>
  <c r="AZ71" i="35"/>
  <c r="BJ28" i="65"/>
  <c r="BG74" i="35"/>
  <c r="AY75" i="35"/>
  <c r="AT68" i="35"/>
  <c r="BG78" i="35"/>
  <c r="BB64" i="35"/>
  <c r="BL74" i="35"/>
  <c r="BE64" i="35"/>
  <c r="BB65" i="35"/>
  <c r="AT67" i="35"/>
  <c r="BD61" i="35"/>
  <c r="AW64" i="35"/>
  <c r="BE31" i="65"/>
  <c r="BH74" i="35"/>
  <c r="AV67" i="35"/>
  <c r="BC59" i="35"/>
  <c r="BT63" i="35"/>
  <c r="BD69" i="35"/>
  <c r="AZ59" i="35"/>
  <c r="AT61" i="35"/>
  <c r="AZ73" i="35"/>
  <c r="AW63" i="35"/>
  <c r="BZ72" i="35"/>
  <c r="AW75" i="35"/>
  <c r="AV71" i="35"/>
  <c r="BB59" i="35"/>
  <c r="BW61" i="35"/>
  <c r="BO64" i="35"/>
  <c r="BU28" i="65"/>
  <c r="BO67" i="35"/>
  <c r="BM68" i="35"/>
  <c r="BS75" i="35"/>
  <c r="BB73" i="35"/>
  <c r="BF71" i="35"/>
  <c r="BR66" i="35"/>
  <c r="AS59" i="35"/>
  <c r="AU60" i="35"/>
  <c r="BZ76" i="35"/>
  <c r="BQ59" i="35"/>
  <c r="BP28" i="65"/>
  <c r="BN64" i="35"/>
  <c r="AS63" i="35"/>
  <c r="BB76" i="35"/>
  <c r="BH66" i="35"/>
  <c r="BD68" i="35"/>
  <c r="AU62" i="35"/>
  <c r="BL64" i="35"/>
  <c r="AX77" i="35"/>
  <c r="BT30" i="65"/>
  <c r="BL76" i="35"/>
  <c r="AY64" i="35"/>
  <c r="BB67" i="35"/>
  <c r="BT74" i="35"/>
  <c r="AV60" i="35"/>
  <c r="BA72" i="35"/>
  <c r="BF59" i="35"/>
  <c r="BG77" i="35"/>
  <c r="BA71" i="35"/>
  <c r="AT75" i="35"/>
  <c r="AY31" i="65"/>
  <c r="AU73" i="35"/>
  <c r="BO29" i="65"/>
  <c r="BT61" i="35"/>
  <c r="BQ78" i="35"/>
  <c r="BF28" i="65"/>
  <c r="BK73" i="35"/>
  <c r="BK61" i="35"/>
  <c r="BZ68" i="35"/>
  <c r="AT60" i="35"/>
  <c r="BE67" i="35"/>
  <c r="BT59" i="35"/>
  <c r="BZ61" i="35"/>
  <c r="BW62" i="35"/>
  <c r="BW70" i="35"/>
  <c r="BV61" i="35"/>
  <c r="AZ74" i="35"/>
  <c r="BS62" i="35"/>
  <c r="AZ77" i="35"/>
  <c r="BW68" i="35"/>
  <c r="BO78" i="35"/>
  <c r="BA67" i="35"/>
  <c r="BL67" i="35"/>
  <c r="BT75" i="35"/>
  <c r="BI71" i="35"/>
  <c r="BL30" i="65"/>
  <c r="AX69" i="35"/>
  <c r="BM60" i="35"/>
  <c r="BK67" i="35"/>
  <c r="BC63" i="35"/>
  <c r="BC64" i="35"/>
  <c r="BJ65" i="35"/>
  <c r="BN70" i="35"/>
  <c r="BF75" i="35"/>
  <c r="BU31" i="65"/>
  <c r="BO30" i="65"/>
  <c r="AS65" i="35"/>
  <c r="BS63" i="35"/>
  <c r="BH70" i="35"/>
  <c r="AR61" i="35"/>
  <c r="BT60" i="35"/>
  <c r="BC65" i="35"/>
  <c r="AV74" i="35"/>
  <c r="AV69" i="35"/>
  <c r="BB68" i="35"/>
  <c r="BN71" i="35"/>
  <c r="AS68" i="35"/>
  <c r="BQ64" i="35"/>
  <c r="BK60" i="35"/>
  <c r="BL71" i="35"/>
  <c r="AW74" i="35"/>
  <c r="BG66" i="35"/>
  <c r="BK28" i="65"/>
  <c r="BH75" i="35"/>
  <c r="BL75" i="35"/>
  <c r="BD76" i="35"/>
  <c r="BB62" i="35"/>
  <c r="BD30" i="65"/>
  <c r="BB77" i="35"/>
  <c r="AV66" i="35"/>
  <c r="BH31" i="65"/>
  <c r="BE71" i="35"/>
  <c r="BT69" i="35"/>
  <c r="AU69" i="35"/>
  <c r="BK64" i="35"/>
  <c r="BM31" i="65"/>
  <c r="BT28" i="65"/>
  <c r="AT77" i="35"/>
  <c r="AR64" i="35"/>
  <c r="BW65" i="35"/>
  <c r="BY29" i="65"/>
  <c r="BN69" i="35"/>
  <c r="BF76" i="35"/>
  <c r="BV76" i="35"/>
  <c r="BU69" i="35"/>
  <c r="BZ69" i="35"/>
  <c r="BG75" i="35"/>
  <c r="AY59" i="35"/>
  <c r="BS77" i="35"/>
  <c r="BS64" i="35"/>
  <c r="AX64" i="35"/>
  <c r="BG65" i="35"/>
  <c r="BP69" i="35"/>
  <c r="BR73" i="35"/>
  <c r="BP66" i="35"/>
  <c r="BD70" i="35"/>
  <c r="AR72" i="35"/>
  <c r="BL70" i="35"/>
  <c r="BO66" i="35"/>
  <c r="AV68" i="35"/>
  <c r="BS69" i="35"/>
  <c r="BD73" i="35"/>
  <c r="BC60" i="35"/>
  <c r="BV71" i="35"/>
  <c r="BS67" i="35"/>
  <c r="BU29" i="65"/>
  <c r="BQ68" i="35"/>
  <c r="AR65" i="35"/>
  <c r="BS74" i="35"/>
  <c r="BD65" i="35"/>
  <c r="BY68" i="35"/>
  <c r="BI64" i="35"/>
  <c r="BZ62" i="35"/>
  <c r="BW64" i="35"/>
  <c r="AX63" i="35"/>
  <c r="AZ65" i="35"/>
  <c r="AS64" i="35"/>
  <c r="AX59" i="35"/>
  <c r="BN74" i="35"/>
  <c r="BO75" i="35"/>
  <c r="BH64" i="35"/>
  <c r="BK30" i="65"/>
  <c r="BR59" i="35"/>
  <c r="AT64" i="35"/>
  <c r="BJ70" i="35"/>
  <c r="BJ29" i="65"/>
  <c r="BK78" i="35"/>
  <c r="BB72" i="35"/>
  <c r="AT71" i="35"/>
  <c r="BV73" i="35"/>
  <c r="BQ69" i="35"/>
  <c r="BT65" i="35"/>
  <c r="BV75" i="35"/>
  <c r="AY62" i="35"/>
  <c r="BG76" i="35"/>
  <c r="BC76" i="35"/>
  <c r="BJ30" i="65"/>
  <c r="BQ29" i="65"/>
  <c r="AW76" i="35"/>
  <c r="BV59" i="35"/>
  <c r="AU77" i="35"/>
  <c r="BY62" i="35"/>
  <c r="BY69" i="35"/>
  <c r="BN63" i="35"/>
  <c r="BE30" i="65"/>
  <c r="BJ60" i="35"/>
  <c r="BJ69" i="35"/>
  <c r="BY28" i="65"/>
  <c r="BR30" i="65"/>
  <c r="AW69" i="35"/>
  <c r="AV65" i="35"/>
  <c r="BR65" i="35"/>
  <c r="BF70" i="35"/>
  <c r="BU30" i="65"/>
  <c r="AW65" i="35"/>
  <c r="AW70" i="35"/>
  <c r="BP72" i="35"/>
  <c r="BO72" i="35"/>
  <c r="BP67" i="35"/>
  <c r="BZ63" i="35"/>
  <c r="AW71" i="35"/>
  <c r="AY28" i="65"/>
  <c r="BE60" i="35"/>
  <c r="BV70" i="35"/>
  <c r="BY30" i="65"/>
  <c r="AR59" i="35"/>
  <c r="AU66" i="35"/>
  <c r="BY66" i="35"/>
  <c r="BQ65" i="35"/>
  <c r="BM70" i="35"/>
  <c r="BC72" i="35"/>
  <c r="BS68" i="35"/>
  <c r="BM75" i="35"/>
  <c r="BL77" i="35"/>
  <c r="BD75" i="35"/>
  <c r="BM71" i="35"/>
  <c r="BA78" i="35"/>
  <c r="AY65" i="35"/>
  <c r="BE29" i="65"/>
  <c r="BD29" i="65"/>
  <c r="BC68" i="35"/>
  <c r="AX71" i="35"/>
  <c r="BI72" i="35"/>
  <c r="BY77" i="35"/>
  <c r="BU75" i="35"/>
  <c r="BV67" i="35"/>
  <c r="BZ67" i="35"/>
  <c r="AX65" i="35"/>
  <c r="BA74" i="35"/>
  <c r="BK69" i="35"/>
  <c r="BM30" i="65"/>
  <c r="BK62" i="35"/>
  <c r="BO69" i="35"/>
  <c r="BU65" i="35"/>
  <c r="BL61" i="35"/>
  <c r="BW59" i="35"/>
  <c r="BM77" i="35"/>
  <c r="BR62" i="35"/>
  <c r="BC74" i="35"/>
  <c r="BC71" i="35"/>
  <c r="BS73" i="35"/>
  <c r="BK70" i="35"/>
  <c r="BM76" i="35"/>
  <c r="AS70" i="35"/>
  <c r="AX73" i="35"/>
  <c r="BP29" i="65"/>
  <c r="AT70" i="35"/>
  <c r="AS62" i="35"/>
  <c r="BV30" i="65"/>
  <c r="AY67" i="35"/>
  <c r="BD59" i="35"/>
  <c r="BO60" i="35"/>
  <c r="BF31" i="65"/>
  <c r="BY59" i="35"/>
  <c r="BV68" i="35"/>
  <c r="BI78" i="35"/>
  <c r="BU66" i="35"/>
  <c r="BU72" i="35"/>
  <c r="AX60" i="35"/>
  <c r="AS60" i="35"/>
  <c r="BI68" i="35"/>
  <c r="AV59" i="35"/>
  <c r="BR76" i="35"/>
  <c r="BZ64" i="35"/>
  <c r="BI59" i="35"/>
  <c r="BV62" i="35"/>
  <c r="BA77" i="35"/>
  <c r="BE28" i="65"/>
  <c r="AX66" i="35"/>
  <c r="AX78" i="35"/>
  <c r="AS74" i="35"/>
  <c r="AU71" i="35"/>
  <c r="BI74" i="35"/>
  <c r="BG70" i="35"/>
  <c r="BO73" i="35"/>
  <c r="BI77" i="35"/>
  <c r="BY64" i="35"/>
  <c r="AS69" i="35"/>
  <c r="BW71" i="35"/>
  <c r="BU68" i="35"/>
  <c r="BS70" i="35"/>
  <c r="BW78" i="35"/>
  <c r="BS60" i="35"/>
  <c r="BZ78" i="35"/>
  <c r="BV29" i="65"/>
  <c r="AR73" i="35"/>
  <c r="AS72" i="35"/>
  <c r="BG62" i="35"/>
  <c r="BW60" i="35"/>
  <c r="BI70" i="35"/>
  <c r="BO76" i="35"/>
  <c r="AT65" i="35"/>
  <c r="AW78" i="35"/>
  <c r="BO28" i="65"/>
  <c r="AV75" i="35"/>
  <c r="AZ68" i="35"/>
  <c r="BH77" i="35"/>
  <c r="AR63" i="35"/>
  <c r="BQ77" i="35"/>
  <c r="BH61" i="35"/>
  <c r="BL65" i="35"/>
  <c r="BB71" i="35"/>
  <c r="AW77" i="35"/>
  <c r="AY78" i="35"/>
  <c r="BA61" i="35"/>
  <c r="AU61" i="35"/>
  <c r="AS77" i="35"/>
  <c r="BG59" i="35"/>
  <c r="BL72" i="35"/>
  <c r="BK66" i="35"/>
  <c r="AT62" i="35"/>
  <c r="BY75" i="35"/>
  <c r="BI65" i="35"/>
  <c r="AW60" i="35"/>
  <c r="AT63" i="35"/>
  <c r="BT71" i="35"/>
  <c r="BA65" i="35"/>
  <c r="BE77" i="35"/>
  <c r="BC73" i="35"/>
  <c r="BE78" i="35"/>
  <c r="BS30" i="65"/>
  <c r="BM73" i="35"/>
  <c r="BP78" i="35"/>
  <c r="BJ61" i="35"/>
  <c r="BZ31" i="65"/>
  <c r="AU70" i="35"/>
  <c r="BV66" i="35"/>
  <c r="BL62" i="35"/>
  <c r="AY30" i="65"/>
  <c r="BQ76" i="35"/>
  <c r="BW67" i="35"/>
  <c r="BI61" i="35"/>
  <c r="AR76" i="35"/>
  <c r="AS73" i="35"/>
  <c r="AW67" i="35"/>
  <c r="BG60" i="35"/>
  <c r="BM78" i="35"/>
  <c r="BP60" i="35"/>
  <c r="BI67" i="35"/>
  <c r="AU67" i="35"/>
  <c r="AZ67" i="35"/>
  <c r="V64" i="35" l="1"/>
  <c r="V77" i="35"/>
  <c r="V65" i="35"/>
  <c r="V62" i="35"/>
  <c r="V71" i="35"/>
  <c r="V72" i="35"/>
  <c r="V69" i="35"/>
  <c r="V75" i="35"/>
  <c r="V76" i="35"/>
  <c r="V73" i="35"/>
  <c r="V67" i="35"/>
  <c r="V59" i="35"/>
  <c r="V66" i="35"/>
  <c r="V70" i="35"/>
  <c r="V68" i="35"/>
  <c r="V61" i="35"/>
  <c r="V78" i="35"/>
  <c r="V63" i="35"/>
  <c r="V74" i="35"/>
  <c r="V60" i="35"/>
  <c r="U66" i="35"/>
  <c r="U68" i="35"/>
  <c r="T76" i="35"/>
  <c r="R73" i="35"/>
  <c r="S78" i="35"/>
  <c r="U65" i="35"/>
  <c r="T70" i="35"/>
  <c r="T75" i="35"/>
  <c r="S65" i="35"/>
  <c r="T60" i="35"/>
  <c r="R68" i="35"/>
  <c r="U76" i="35"/>
  <c r="S71" i="35"/>
  <c r="T61" i="35"/>
  <c r="R69" i="35"/>
  <c r="T78" i="35"/>
  <c r="S60" i="35"/>
  <c r="U73" i="35"/>
  <c r="S70" i="35"/>
  <c r="S63" i="35"/>
  <c r="R63" i="35"/>
  <c r="R66" i="35"/>
  <c r="R59" i="35"/>
  <c r="U77" i="35"/>
  <c r="R75" i="35"/>
  <c r="T62" i="35"/>
  <c r="R78" i="35"/>
  <c r="S67" i="35"/>
  <c r="R61" i="35"/>
  <c r="R77" i="35"/>
  <c r="S61" i="35"/>
  <c r="R67" i="35"/>
  <c r="R60" i="35"/>
  <c r="T63" i="35"/>
  <c r="S75" i="35"/>
  <c r="S69" i="35"/>
  <c r="R70" i="35"/>
  <c r="T69" i="35"/>
  <c r="U60" i="35"/>
  <c r="T68" i="35"/>
  <c r="U67" i="35"/>
  <c r="T66" i="35"/>
  <c r="R76" i="35"/>
  <c r="S62" i="35"/>
  <c r="S66" i="35"/>
  <c r="S77" i="35"/>
  <c r="R72" i="35"/>
  <c r="T77" i="35"/>
  <c r="U64" i="35"/>
  <c r="R65" i="35"/>
  <c r="T73" i="35"/>
  <c r="R64" i="35"/>
  <c r="R71" i="35"/>
  <c r="U59" i="35"/>
  <c r="U63" i="35"/>
  <c r="S74" i="35"/>
  <c r="S76" i="35"/>
  <c r="T72" i="35"/>
  <c r="U78" i="35"/>
  <c r="S72" i="35"/>
  <c r="R62" i="35"/>
  <c r="U72" i="35"/>
  <c r="T65" i="35"/>
  <c r="U75" i="35"/>
  <c r="T64" i="35"/>
  <c r="U62" i="35"/>
  <c r="U70" i="35"/>
  <c r="T59" i="35"/>
  <c r="T74" i="35"/>
  <c r="U74" i="35"/>
  <c r="S64" i="35"/>
  <c r="T67" i="35"/>
  <c r="T71" i="35"/>
  <c r="S59" i="35"/>
  <c r="S73" i="35"/>
  <c r="U61" i="35"/>
  <c r="R74" i="35"/>
  <c r="U69" i="35"/>
  <c r="U71" i="35"/>
  <c r="S68" i="35"/>
  <c r="AJ63" i="35"/>
  <c r="AJ71" i="35"/>
  <c r="AC63" i="35"/>
  <c r="AM63" i="35"/>
  <c r="AC70" i="35"/>
  <c r="AC71" i="35"/>
  <c r="AM65" i="35"/>
  <c r="AM67" i="35"/>
  <c r="AJ76" i="35"/>
  <c r="AM69" i="35"/>
  <c r="AJ62" i="35"/>
  <c r="AC72" i="35"/>
  <c r="AM75" i="35"/>
  <c r="AC65" i="35"/>
  <c r="AM77" i="35"/>
  <c r="AJ61" i="35"/>
  <c r="AC61" i="35"/>
  <c r="AM74" i="35"/>
  <c r="AJ59" i="35"/>
  <c r="AM73" i="35"/>
  <c r="AJ68" i="35"/>
  <c r="AM70" i="35"/>
  <c r="AM71" i="35"/>
  <c r="AM62" i="35"/>
  <c r="AC60" i="35"/>
  <c r="AM76" i="35"/>
  <c r="AC74" i="35"/>
  <c r="AM66" i="35"/>
  <c r="AC66" i="35"/>
  <c r="AM61" i="35"/>
  <c r="AJ67" i="35"/>
  <c r="AJ66" i="35"/>
  <c r="AJ72" i="35"/>
  <c r="AC76" i="35"/>
  <c r="AC78" i="35"/>
  <c r="AJ70" i="35"/>
  <c r="AJ73" i="35"/>
  <c r="AM60" i="35"/>
  <c r="AC62" i="35"/>
  <c r="AM64" i="35"/>
  <c r="AC59" i="35"/>
  <c r="AC77" i="35"/>
  <c r="AM78" i="35"/>
  <c r="AC73" i="35"/>
  <c r="AJ60" i="35"/>
  <c r="AJ64" i="35"/>
  <c r="AJ78" i="35"/>
  <c r="AC64" i="35"/>
  <c r="AC68" i="35"/>
  <c r="AC75" i="35"/>
  <c r="AC67" i="35"/>
  <c r="AJ65" i="35"/>
  <c r="AM72" i="35"/>
  <c r="AJ75" i="35"/>
  <c r="AJ69" i="35"/>
  <c r="AM68" i="35"/>
  <c r="AM59" i="35"/>
  <c r="AJ77" i="35"/>
  <c r="AJ74" i="35"/>
  <c r="AC69" i="35"/>
  <c r="AD59" i="35"/>
  <c r="AF66" i="35"/>
  <c r="AF77" i="35"/>
  <c r="AD71" i="35"/>
  <c r="AH77" i="35"/>
  <c r="AG66" i="35"/>
  <c r="AK67" i="35"/>
  <c r="AD68" i="35"/>
  <c r="AE64" i="35"/>
  <c r="AF73" i="35"/>
  <c r="AD63" i="35"/>
  <c r="AD72" i="35"/>
  <c r="AK74" i="35"/>
  <c r="AK78" i="35"/>
  <c r="AF67" i="35"/>
  <c r="AD78" i="35"/>
  <c r="AG72" i="35"/>
  <c r="AK70" i="35"/>
  <c r="AK64" i="35"/>
  <c r="AK77" i="35"/>
  <c r="AG61" i="35"/>
  <c r="AE76" i="35"/>
  <c r="AE72" i="35"/>
  <c r="AD74" i="35"/>
  <c r="AD77" i="35"/>
  <c r="AH75" i="35"/>
  <c r="AH68" i="35"/>
  <c r="AH66" i="35"/>
  <c r="AH61" i="35"/>
  <c r="AE71" i="35"/>
  <c r="AE68" i="35"/>
  <c r="AF62" i="35"/>
  <c r="AE73" i="35"/>
  <c r="AD65" i="35"/>
  <c r="AE70" i="35"/>
  <c r="AF68" i="35"/>
  <c r="AI68" i="35"/>
  <c r="AI78" i="35"/>
  <c r="AG77" i="35"/>
  <c r="AH71" i="35"/>
  <c r="AG76" i="35"/>
  <c r="AK66" i="35"/>
  <c r="AH72" i="35"/>
  <c r="AF69" i="35"/>
  <c r="AG73" i="35"/>
  <c r="AD60" i="35"/>
  <c r="AK69" i="35"/>
  <c r="AI59" i="35"/>
  <c r="AK59" i="35"/>
  <c r="AH60" i="35"/>
  <c r="AK73" i="35"/>
  <c r="AF65" i="35"/>
  <c r="AG74" i="35"/>
  <c r="AK68" i="35"/>
  <c r="AE75" i="35"/>
  <c r="AE77" i="35"/>
  <c r="AD76" i="35"/>
  <c r="AE69" i="35"/>
  <c r="AE66" i="35"/>
  <c r="AF63" i="35"/>
  <c r="AI62" i="35"/>
  <c r="AD69" i="35"/>
  <c r="AE78" i="35"/>
  <c r="AK62" i="35"/>
  <c r="AH62" i="35"/>
  <c r="AI73" i="35"/>
  <c r="AE59" i="35"/>
  <c r="AG62" i="35"/>
  <c r="AF78" i="35"/>
  <c r="AH65" i="35"/>
  <c r="AD66" i="35"/>
  <c r="AF61" i="35"/>
  <c r="AE74" i="35"/>
  <c r="AG65" i="35"/>
  <c r="AH73" i="35"/>
  <c r="AF75" i="35"/>
  <c r="AI69" i="35"/>
  <c r="AE62" i="35"/>
  <c r="AG59" i="35"/>
  <c r="AK72" i="35"/>
  <c r="AE60" i="35"/>
  <c r="AE61" i="35"/>
  <c r="AH59" i="35"/>
  <c r="AF64" i="35"/>
  <c r="AF71" i="35"/>
  <c r="AG78" i="35"/>
  <c r="AK63" i="35"/>
  <c r="AK60" i="35"/>
  <c r="AH70" i="35"/>
  <c r="AE67" i="35"/>
  <c r="AF76" i="35"/>
  <c r="AG70" i="35"/>
  <c r="AK65" i="35"/>
  <c r="AD61" i="35"/>
  <c r="AD64" i="35"/>
  <c r="AH78" i="35"/>
  <c r="AI60" i="35"/>
  <c r="AH63" i="35"/>
  <c r="AH67" i="35"/>
  <c r="AH74" i="35"/>
  <c r="AG71" i="35"/>
  <c r="AF72" i="35"/>
  <c r="AI61" i="35"/>
  <c r="AD67" i="35"/>
  <c r="AK76" i="35"/>
  <c r="AK75" i="35"/>
  <c r="AG64" i="35"/>
  <c r="AD75" i="35"/>
  <c r="AG68" i="35"/>
  <c r="AK61" i="35"/>
  <c r="AI64" i="35"/>
  <c r="AI71" i="35"/>
  <c r="AD70" i="35"/>
  <c r="AI70" i="35"/>
  <c r="AH64" i="35"/>
  <c r="AG69" i="35"/>
  <c r="AF70" i="35"/>
  <c r="AF59" i="35"/>
  <c r="AI63" i="35"/>
  <c r="AG63" i="35"/>
  <c r="AH69" i="35"/>
  <c r="AH76" i="35"/>
  <c r="AG60" i="35"/>
  <c r="AI67" i="35"/>
  <c r="AD73" i="35"/>
  <c r="AI74" i="35"/>
  <c r="AI75" i="35"/>
  <c r="AG67" i="35"/>
  <c r="AE65" i="35"/>
  <c r="AG75" i="35"/>
  <c r="AF60" i="35"/>
  <c r="AI72" i="35"/>
  <c r="AE63" i="35"/>
  <c r="AI76" i="35"/>
  <c r="AI77" i="35"/>
  <c r="AI66" i="35"/>
  <c r="AK71" i="35"/>
  <c r="AD62" i="35"/>
  <c r="AI65" i="35"/>
  <c r="AF74" i="35"/>
  <c r="Q31" i="65"/>
  <c r="Q30" i="65"/>
  <c r="Q29" i="65"/>
  <c r="Q28" i="65"/>
  <c r="U21" i="66"/>
  <c r="S21" i="66"/>
  <c r="U20" i="66"/>
  <c r="S20" i="66"/>
  <c r="X21" i="64"/>
  <c r="W21" i="64"/>
  <c r="V21" i="64"/>
  <c r="U21" i="64"/>
  <c r="X20" i="64"/>
  <c r="W20" i="64"/>
  <c r="V20" i="64"/>
  <c r="U20" i="64"/>
  <c r="X19" i="64"/>
  <c r="W19" i="64"/>
  <c r="V19" i="64"/>
  <c r="U19" i="64"/>
  <c r="T11" i="33"/>
  <c r="J12" i="33"/>
  <c r="T12" i="33" s="1"/>
  <c r="J13" i="33"/>
  <c r="T13" i="33" s="1"/>
  <c r="J14" i="33"/>
  <c r="T14" i="33" s="1"/>
  <c r="J15" i="33"/>
  <c r="T15" i="33" s="1"/>
  <c r="J16" i="33"/>
  <c r="T16" i="33" s="1"/>
  <c r="J17" i="33"/>
  <c r="T17" i="33" s="1"/>
  <c r="J18" i="33"/>
  <c r="T18" i="33" s="1"/>
  <c r="J19" i="33"/>
  <c r="T19" i="33" s="1"/>
  <c r="J20" i="33"/>
  <c r="T20" i="33" s="1"/>
  <c r="J21" i="33"/>
  <c r="T21" i="33" s="1"/>
  <c r="J22" i="33"/>
  <c r="T22" i="33" s="1"/>
  <c r="J23" i="33"/>
  <c r="T23" i="33" s="1"/>
  <c r="J24" i="33"/>
  <c r="T24" i="33" s="1"/>
  <c r="J25" i="33"/>
  <c r="T25" i="33" s="1"/>
  <c r="J26" i="33"/>
  <c r="T26" i="33" s="1"/>
  <c r="BM31" i="35"/>
  <c r="BX20" i="64"/>
  <c r="BR20" i="64"/>
  <c r="BK30" i="35"/>
  <c r="BA20" i="66"/>
  <c r="BS31" i="35"/>
  <c r="AZ20" i="66"/>
  <c r="BK31" i="35"/>
  <c r="AX20" i="66"/>
  <c r="BH21" i="64"/>
  <c r="BG31" i="35"/>
  <c r="BR21" i="64"/>
  <c r="BP30" i="35"/>
  <c r="BG19" i="64"/>
  <c r="BB21" i="66"/>
  <c r="BG30" i="35"/>
  <c r="BH30" i="35"/>
  <c r="AZ21" i="66"/>
  <c r="BW30" i="35"/>
  <c r="BD21" i="66"/>
  <c r="BM30" i="35"/>
  <c r="BQ30" i="35"/>
  <c r="BC21" i="66"/>
  <c r="BH20" i="66"/>
  <c r="BQ20" i="64"/>
  <c r="BU31" i="35"/>
  <c r="BR30" i="35"/>
  <c r="AY21" i="66"/>
  <c r="BQ21" i="64"/>
  <c r="BW19" i="64"/>
  <c r="BB20" i="66"/>
  <c r="BL21" i="64"/>
  <c r="BZ30" i="35"/>
  <c r="BL30" i="35"/>
  <c r="BO31" i="35"/>
  <c r="BE20" i="66"/>
  <c r="BI21" i="64"/>
  <c r="BY31" i="35"/>
  <c r="BL20" i="64"/>
  <c r="BQ19" i="64"/>
  <c r="BL31" i="35"/>
  <c r="BF19" i="64"/>
  <c r="BJ20" i="64"/>
  <c r="BH21" i="66"/>
  <c r="BQ31" i="35"/>
  <c r="BH31" i="35"/>
  <c r="BE20" i="64"/>
  <c r="BS30" i="35"/>
  <c r="BC20" i="66"/>
  <c r="BG21" i="66"/>
  <c r="BH20" i="64"/>
  <c r="BO21" i="64"/>
  <c r="BW20" i="64"/>
  <c r="BI20" i="66"/>
  <c r="BG20" i="66"/>
  <c r="BP21" i="64"/>
  <c r="BG21" i="64"/>
  <c r="BK21" i="64"/>
  <c r="BA21" i="66"/>
  <c r="BP31" i="35"/>
  <c r="BJ19" i="64"/>
  <c r="BT30" i="35"/>
  <c r="AY20" i="66"/>
  <c r="BN20" i="64"/>
  <c r="BI19" i="64"/>
  <c r="BT19" i="64"/>
  <c r="BJ30" i="35"/>
  <c r="BF20" i="66"/>
  <c r="BS21" i="64"/>
  <c r="BX19" i="64"/>
  <c r="BK20" i="64"/>
  <c r="BT21" i="64"/>
  <c r="BW21" i="64"/>
  <c r="BO19" i="64"/>
  <c r="BF21" i="66"/>
  <c r="BN31" i="35"/>
  <c r="BN19" i="64"/>
  <c r="BD20" i="66"/>
  <c r="BK19" i="64"/>
  <c r="BV31" i="35"/>
  <c r="BM21" i="64"/>
  <c r="BZ31" i="35"/>
  <c r="BG20" i="64"/>
  <c r="BR19" i="64"/>
  <c r="BN21" i="64"/>
  <c r="AX21" i="66"/>
  <c r="BE21" i="66"/>
  <c r="BS19" i="64"/>
  <c r="BP20" i="64"/>
  <c r="BU30" i="35"/>
  <c r="BM19" i="64"/>
  <c r="BW31" i="35"/>
  <c r="BJ31" i="35"/>
  <c r="BN30" i="35"/>
  <c r="BX21" i="64"/>
  <c r="BI30" i="35"/>
  <c r="BE21" i="64"/>
  <c r="BF20" i="64"/>
  <c r="BT31" i="35"/>
  <c r="BO20" i="64"/>
  <c r="BP19" i="64"/>
  <c r="BH19" i="64"/>
  <c r="BE19" i="64"/>
  <c r="BI21" i="66"/>
  <c r="BT20" i="64"/>
  <c r="BO30" i="35"/>
  <c r="BL19" i="64"/>
  <c r="BV30" i="35"/>
  <c r="BJ21" i="64"/>
  <c r="BF21" i="64"/>
  <c r="BI31" i="35"/>
  <c r="BM20" i="64"/>
  <c r="BI20" i="64"/>
  <c r="BS20" i="64"/>
  <c r="BR31" i="35"/>
  <c r="Q68" i="35" l="1"/>
  <c r="Q74" i="35"/>
  <c r="Q62" i="35"/>
  <c r="Q65" i="35"/>
  <c r="Q59" i="35"/>
  <c r="Q67" i="35"/>
  <c r="Q66" i="35"/>
  <c r="Q63" i="35"/>
  <c r="Q77" i="35"/>
  <c r="Q61" i="35"/>
  <c r="Q72" i="35"/>
  <c r="Q78" i="35"/>
  <c r="Q70" i="35"/>
  <c r="Q71" i="35"/>
  <c r="Q73" i="35"/>
  <c r="Q64" i="35"/>
  <c r="Q76" i="35"/>
  <c r="Q75" i="35"/>
  <c r="Q69" i="35"/>
  <c r="Q60" i="35"/>
  <c r="T31" i="35"/>
  <c r="U31" i="35"/>
  <c r="U30" i="35"/>
  <c r="T30" i="35"/>
  <c r="S30" i="35"/>
  <c r="S31" i="35"/>
  <c r="R31" i="35"/>
  <c r="R30" i="35"/>
  <c r="AA63" i="35"/>
  <c r="Z63" i="35" s="1"/>
  <c r="AA60" i="35"/>
  <c r="Z60" i="35" s="1"/>
  <c r="AA62" i="35"/>
  <c r="Z62" i="35" s="1"/>
  <c r="AA66" i="35"/>
  <c r="Z66" i="35" s="1"/>
  <c r="AA78" i="35"/>
  <c r="Z78" i="35" s="1"/>
  <c r="AA61" i="35"/>
  <c r="Z61" i="35" s="1"/>
  <c r="AA68" i="35"/>
  <c r="Z68" i="35" s="1"/>
  <c r="AA70" i="35"/>
  <c r="Z70" i="35" s="1"/>
  <c r="AA76" i="35"/>
  <c r="Z76" i="35" s="1"/>
  <c r="AA75" i="35"/>
  <c r="Z75" i="35" s="1"/>
  <c r="AA69" i="35"/>
  <c r="Z69" i="35" s="1"/>
  <c r="AA77" i="35"/>
  <c r="Z77" i="35" s="1"/>
  <c r="AA74" i="35"/>
  <c r="Z74" i="35" s="1"/>
  <c r="AA73" i="35"/>
  <c r="Z73" i="35" s="1"/>
  <c r="AA67" i="35"/>
  <c r="Z67" i="35" s="1"/>
  <c r="AA59" i="35"/>
  <c r="Z59" i="35" s="1"/>
  <c r="AA65" i="35"/>
  <c r="Z65" i="35" s="1"/>
  <c r="AA72" i="35"/>
  <c r="Z72" i="35" s="1"/>
  <c r="AA71" i="35"/>
  <c r="Z71" i="35" s="1"/>
  <c r="AA64" i="35"/>
  <c r="Z64" i="35" s="1"/>
  <c r="T20" i="66"/>
  <c r="T21" i="66"/>
  <c r="R21" i="66"/>
  <c r="Q21" i="66" s="1"/>
  <c r="R20" i="66"/>
  <c r="Q20" i="66" s="1"/>
  <c r="T21" i="64"/>
  <c r="T20" i="64"/>
  <c r="T19" i="64"/>
  <c r="S20" i="64"/>
  <c r="S21" i="64"/>
  <c r="S19" i="64"/>
  <c r="R19" i="64"/>
  <c r="R21" i="64"/>
  <c r="R20" i="64"/>
  <c r="Y31" i="35"/>
  <c r="Y30" i="35"/>
  <c r="X31" i="35"/>
  <c r="X30" i="35"/>
  <c r="W30" i="35"/>
  <c r="W31" i="35"/>
  <c r="V30" i="35"/>
  <c r="V31" i="35"/>
  <c r="D37" i="65"/>
  <c r="D36" i="65"/>
  <c r="D34" i="65"/>
  <c r="D33" i="65"/>
  <c r="D31" i="65"/>
  <c r="D30" i="65"/>
  <c r="D28" i="65"/>
  <c r="D27" i="65"/>
  <c r="D25" i="65"/>
  <c r="D24" i="65"/>
  <c r="D36" i="64"/>
  <c r="D35" i="64"/>
  <c r="D33" i="64"/>
  <c r="D32" i="64"/>
  <c r="D30" i="64"/>
  <c r="D29" i="64"/>
  <c r="D40" i="35"/>
  <c r="D39" i="35"/>
  <c r="BQ12" i="35"/>
  <c r="O64" i="35" l="1" a="1"/>
  <c r="O64" i="35" s="1"/>
  <c r="O63" i="35" a="1"/>
  <c r="O63" i="35" s="1"/>
  <c r="O62" i="35" a="1"/>
  <c r="O62" i="35" s="1"/>
  <c r="O61" i="35" a="1"/>
  <c r="O61" i="35" s="1"/>
  <c r="K61" i="35" s="1"/>
  <c r="L61" i="35" s="1"/>
  <c r="P60" i="35"/>
  <c r="H96" i="35" s="1"/>
  <c r="P61" i="35"/>
  <c r="I96" i="35" s="1"/>
  <c r="O59" i="35" a="1"/>
  <c r="O59" i="35" s="1"/>
  <c r="K59" i="35" s="1"/>
  <c r="L59" i="35" s="1"/>
  <c r="O60" i="35" a="1"/>
  <c r="O60" i="35" s="1"/>
  <c r="K60" i="35" s="1"/>
  <c r="L60" i="35" s="1"/>
  <c r="P59" i="35"/>
  <c r="G96" i="35" s="1"/>
  <c r="Q20" i="64"/>
  <c r="Q19" i="64"/>
  <c r="Q21" i="64"/>
  <c r="Q31" i="35"/>
  <c r="Q30" i="35"/>
  <c r="D26" i="66"/>
  <c r="D25" i="66"/>
  <c r="BU16" i="35"/>
  <c r="BI19" i="65"/>
  <c r="BP17" i="35"/>
  <c r="BT17" i="64"/>
  <c r="BG10" i="65"/>
  <c r="BU26" i="35"/>
  <c r="BH16" i="65"/>
  <c r="BD27" i="65"/>
  <c r="BD26" i="65"/>
  <c r="BF17" i="66"/>
  <c r="BQ10" i="35"/>
  <c r="BO13" i="64"/>
  <c r="BQ23" i="35"/>
  <c r="BU21" i="35"/>
  <c r="BV28" i="35"/>
  <c r="BE26" i="65"/>
  <c r="BK24" i="65"/>
  <c r="BT26" i="35"/>
  <c r="BG27" i="65"/>
  <c r="BI24" i="65"/>
  <c r="BM12" i="65"/>
  <c r="BV24" i="35"/>
  <c r="BS18" i="64"/>
  <c r="BS17" i="64"/>
  <c r="BK23" i="65"/>
  <c r="BL18" i="65"/>
  <c r="BI25" i="65"/>
  <c r="BV16" i="35"/>
  <c r="BN20" i="65"/>
  <c r="BO17" i="64"/>
  <c r="BQ22" i="35"/>
  <c r="BJ20" i="65"/>
  <c r="BK13" i="65"/>
  <c r="BM14" i="65"/>
  <c r="BR26" i="35"/>
  <c r="BM13" i="64"/>
  <c r="BR25" i="35"/>
  <c r="BS10" i="35"/>
  <c r="BD18" i="65"/>
  <c r="BI12" i="65"/>
  <c r="BL22" i="65"/>
  <c r="BD12" i="66"/>
  <c r="BT18" i="35"/>
  <c r="BQ16" i="64"/>
  <c r="BF23" i="65"/>
  <c r="BI18" i="65"/>
  <c r="BJ13" i="65"/>
  <c r="BS21" i="35"/>
  <c r="BG23" i="65"/>
  <c r="BP21" i="35"/>
  <c r="BD14" i="65"/>
  <c r="BP28" i="35"/>
  <c r="BJ24" i="65"/>
  <c r="BG22" i="65"/>
  <c r="BU25" i="35"/>
  <c r="BD12" i="65"/>
  <c r="BR10" i="64"/>
  <c r="BU14" i="35"/>
  <c r="BQ20" i="35"/>
  <c r="BH19" i="65"/>
  <c r="BQ25" i="35"/>
  <c r="BN15" i="65"/>
  <c r="BV23" i="35"/>
  <c r="BE24" i="65"/>
  <c r="BV12" i="35"/>
  <c r="BG12" i="65"/>
  <c r="BO14" i="64"/>
  <c r="BT13" i="35"/>
  <c r="BS24" i="35"/>
  <c r="BM23" i="65"/>
  <c r="BG21" i="65"/>
  <c r="BU19" i="35"/>
  <c r="BH12" i="65"/>
  <c r="BK16" i="65"/>
  <c r="BF15" i="66"/>
  <c r="BK18" i="65"/>
  <c r="BM17" i="65"/>
  <c r="BG19" i="65"/>
  <c r="BR21" i="35"/>
  <c r="BW14" i="35"/>
  <c r="BE18" i="66"/>
  <c r="BW23" i="35"/>
  <c r="BP14" i="64"/>
  <c r="BQ24" i="35"/>
  <c r="BS14" i="64"/>
  <c r="BN12" i="65"/>
  <c r="BV17" i="35"/>
  <c r="BU23" i="35"/>
  <c r="BI15" i="65"/>
  <c r="BJ16" i="65"/>
  <c r="BJ25" i="65"/>
  <c r="BI21" i="65"/>
  <c r="BK19" i="65"/>
  <c r="BE16" i="66"/>
  <c r="BE12" i="66"/>
  <c r="BU15" i="35"/>
  <c r="BD10" i="65"/>
  <c r="BF15" i="65"/>
  <c r="BP14" i="35"/>
  <c r="BU18" i="35"/>
  <c r="BS25" i="35"/>
  <c r="BG26" i="65"/>
  <c r="BU29" i="35"/>
  <c r="BS14" i="35"/>
  <c r="BQ21" i="35"/>
  <c r="BT12" i="35"/>
  <c r="BP18" i="64"/>
  <c r="BJ19" i="65"/>
  <c r="BE12" i="65"/>
  <c r="BN18" i="64"/>
  <c r="BF20" i="65"/>
  <c r="BE25" i="65"/>
  <c r="BQ27" i="35"/>
  <c r="BQ17" i="35"/>
  <c r="BH20" i="65"/>
  <c r="BJ21" i="65"/>
  <c r="BF10" i="65"/>
  <c r="BT14" i="64"/>
  <c r="BK10" i="65"/>
  <c r="BD22" i="65"/>
  <c r="BF21" i="65"/>
  <c r="BO16" i="64"/>
  <c r="BG25" i="65"/>
  <c r="BJ22" i="65"/>
  <c r="BR23" i="35"/>
  <c r="BD23" i="65"/>
  <c r="BV18" i="35"/>
  <c r="BG18" i="66"/>
  <c r="BR17" i="64"/>
  <c r="BM21" i="65"/>
  <c r="BR13" i="35"/>
  <c r="BE15" i="66"/>
  <c r="BS15" i="35"/>
  <c r="BJ17" i="65"/>
  <c r="BW22" i="35"/>
  <c r="BN21" i="65"/>
  <c r="BT24" i="35"/>
  <c r="BG14" i="66"/>
  <c r="BU12" i="35"/>
  <c r="BI16" i="65"/>
  <c r="BF14" i="66"/>
  <c r="BL23" i="65"/>
  <c r="BU10" i="35"/>
  <c r="BR22" i="35"/>
  <c r="BK21" i="65"/>
  <c r="BS12" i="64"/>
  <c r="BJ23" i="65"/>
  <c r="BN27" i="65"/>
  <c r="BP10" i="35"/>
  <c r="BV26" i="35"/>
  <c r="BJ15" i="65"/>
  <c r="BM26" i="65"/>
  <c r="BU13" i="35"/>
  <c r="BV27" i="35"/>
  <c r="BI13" i="65"/>
  <c r="BR28" i="35"/>
  <c r="BP24" i="35"/>
  <c r="BH23" i="65"/>
  <c r="BE15" i="65"/>
  <c r="BM22" i="65"/>
  <c r="BQ29" i="35"/>
  <c r="BT10" i="64"/>
  <c r="BK12" i="65"/>
  <c r="BG16" i="66"/>
  <c r="BP12" i="35"/>
  <c r="BH10" i="65"/>
  <c r="BT16" i="64"/>
  <c r="BN12" i="64"/>
  <c r="BR12" i="35"/>
  <c r="BS16" i="64"/>
  <c r="BQ14" i="35"/>
  <c r="BJ12" i="65"/>
  <c r="BE16" i="65"/>
  <c r="BF16" i="66"/>
  <c r="BS17" i="35"/>
  <c r="BP25" i="35"/>
  <c r="BR16" i="64"/>
  <c r="BP20" i="35"/>
  <c r="BW27" i="35"/>
  <c r="BF18" i="66"/>
  <c r="BL13" i="65"/>
  <c r="BN14" i="65"/>
  <c r="BT21" i="35"/>
  <c r="BE14" i="66"/>
  <c r="BS15" i="64"/>
  <c r="BO10" i="64"/>
  <c r="BD14" i="66"/>
  <c r="BL17" i="65"/>
  <c r="BR16" i="35"/>
  <c r="BE13" i="65"/>
  <c r="BW20" i="35"/>
  <c r="BH27" i="65"/>
  <c r="BQ13" i="35"/>
  <c r="BP16" i="35"/>
  <c r="BS16" i="35"/>
  <c r="BW24" i="35"/>
  <c r="BO12" i="64"/>
  <c r="BN16" i="65"/>
  <c r="BH24" i="65"/>
  <c r="BT14" i="35"/>
  <c r="BW15" i="35"/>
  <c r="BV21" i="35"/>
  <c r="BN26" i="65"/>
  <c r="BW18" i="35"/>
  <c r="BE27" i="65"/>
  <c r="BG16" i="65"/>
  <c r="BT27" i="35"/>
  <c r="BI20" i="65"/>
  <c r="BE17" i="66"/>
  <c r="BS27" i="35"/>
  <c r="BL19" i="65"/>
  <c r="BD20" i="65"/>
  <c r="BU28" i="35"/>
  <c r="BH15" i="65"/>
  <c r="BQ18" i="35"/>
  <c r="BK27" i="65"/>
  <c r="BW13" i="35"/>
  <c r="BR12" i="64"/>
  <c r="BT22" i="35"/>
  <c r="BD19" i="66"/>
  <c r="BN24" i="65"/>
  <c r="BT28" i="35"/>
  <c r="BN14" i="64"/>
  <c r="BP26" i="35"/>
  <c r="BE19" i="65"/>
  <c r="BT20" i="35"/>
  <c r="BT10" i="35"/>
  <c r="BP17" i="64"/>
  <c r="BG12" i="66"/>
  <c r="BM13" i="65"/>
  <c r="BL12" i="65"/>
  <c r="BL21" i="65"/>
  <c r="BP27" i="35"/>
  <c r="BN22" i="65"/>
  <c r="BG20" i="65"/>
  <c r="BJ26" i="65"/>
  <c r="BP18" i="35"/>
  <c r="BF17" i="65"/>
  <c r="BW12" i="35"/>
  <c r="BM25" i="65"/>
  <c r="BK26" i="65"/>
  <c r="BL24" i="65"/>
  <c r="BS26" i="35"/>
  <c r="BF19" i="66"/>
  <c r="BH21" i="65"/>
  <c r="BT18" i="64"/>
  <c r="BQ15" i="35"/>
  <c r="BP19" i="35"/>
  <c r="BH14" i="65"/>
  <c r="BG15" i="65"/>
  <c r="BU20" i="35"/>
  <c r="BM19" i="65"/>
  <c r="BI23" i="65"/>
  <c r="BH22" i="65"/>
  <c r="BQ26" i="35"/>
  <c r="BL16" i="65"/>
  <c r="BG24" i="65"/>
  <c r="BF19" i="65"/>
  <c r="BS28" i="35"/>
  <c r="BD15" i="66"/>
  <c r="BP15" i="64"/>
  <c r="BS19" i="35"/>
  <c r="BE21" i="65"/>
  <c r="BV25" i="35"/>
  <c r="BT12" i="64"/>
  <c r="BD16" i="66"/>
  <c r="BQ16" i="35"/>
  <c r="BS13" i="64"/>
  <c r="BM15" i="64"/>
  <c r="BR14" i="64"/>
  <c r="BK20" i="65"/>
  <c r="BF24" i="65"/>
  <c r="BI27" i="65"/>
  <c r="BK22" i="65"/>
  <c r="BG17" i="66"/>
  <c r="BD13" i="65"/>
  <c r="BH18" i="65"/>
  <c r="BR24" i="35"/>
  <c r="BD15" i="65"/>
  <c r="BG13" i="65"/>
  <c r="BL15" i="65"/>
  <c r="BW25" i="35"/>
  <c r="BU17" i="35"/>
  <c r="BG14" i="65"/>
  <c r="BI22" i="65"/>
  <c r="BQ19" i="35"/>
  <c r="BW10" i="35"/>
  <c r="BF13" i="66"/>
  <c r="BW28" i="35"/>
  <c r="BR29" i="35"/>
  <c r="BD25" i="65"/>
  <c r="BK15" i="65"/>
  <c r="BT23" i="35"/>
  <c r="BP15" i="35"/>
  <c r="BL10" i="65"/>
  <c r="BU22" i="35"/>
  <c r="BL27" i="65"/>
  <c r="BH26" i="65"/>
  <c r="BR18" i="35"/>
  <c r="BE10" i="65"/>
  <c r="BH25" i="65"/>
  <c r="BE23" i="65"/>
  <c r="BQ14" i="64"/>
  <c r="BG18" i="65"/>
  <c r="BD18" i="66"/>
  <c r="BH17" i="65"/>
  <c r="BM16" i="64"/>
  <c r="BP13" i="64"/>
  <c r="BQ28" i="35"/>
  <c r="BV19" i="35"/>
  <c r="BQ10" i="64"/>
  <c r="BE13" i="66"/>
  <c r="BF13" i="65"/>
  <c r="BO15" i="64"/>
  <c r="BM16" i="65"/>
  <c r="BO18" i="64"/>
  <c r="BF25" i="65"/>
  <c r="BQ15" i="64"/>
  <c r="BM27" i="65"/>
  <c r="BL26" i="65"/>
  <c r="BR15" i="64"/>
  <c r="BS20" i="35"/>
  <c r="BN25" i="65"/>
  <c r="BM15" i="65"/>
  <c r="BV15" i="35"/>
  <c r="BN19" i="65"/>
  <c r="BF12" i="65"/>
  <c r="BM20" i="65"/>
  <c r="BW19" i="35"/>
  <c r="BG13" i="66"/>
  <c r="BP23" i="35"/>
  <c r="BM12" i="64"/>
  <c r="BS13" i="35"/>
  <c r="BN16" i="64"/>
  <c r="BV14" i="35"/>
  <c r="BS12" i="35"/>
  <c r="BM14" i="64"/>
  <c r="BR27" i="35"/>
  <c r="BG19" i="66"/>
  <c r="BT15" i="64"/>
  <c r="BR17" i="35"/>
  <c r="BN15" i="64"/>
  <c r="BJ14" i="65"/>
  <c r="BM18" i="64"/>
  <c r="BM17" i="64"/>
  <c r="BJ27" i="65"/>
  <c r="BL20" i="65"/>
  <c r="BE19" i="66"/>
  <c r="BT29" i="35"/>
  <c r="BK17" i="65"/>
  <c r="BT19" i="35"/>
  <c r="BU27" i="35"/>
  <c r="BR18" i="64"/>
  <c r="BS10" i="64"/>
  <c r="BF12" i="66"/>
  <c r="BJ10" i="65"/>
  <c r="BW29" i="35"/>
  <c r="BN18" i="65"/>
  <c r="BR19" i="35"/>
  <c r="BG15" i="66"/>
  <c r="BI26" i="65"/>
  <c r="BG17" i="65"/>
  <c r="BH13" i="65"/>
  <c r="BP29" i="35"/>
  <c r="BE17" i="65"/>
  <c r="BM10" i="64"/>
  <c r="BF22" i="65"/>
  <c r="BE18" i="65"/>
  <c r="BQ13" i="64"/>
  <c r="BV29" i="35"/>
  <c r="BE14" i="65"/>
  <c r="BM24" i="65"/>
  <c r="BS29" i="35"/>
  <c r="BN13" i="64"/>
  <c r="BR20" i="35"/>
  <c r="BN17" i="64"/>
  <c r="BR15" i="35"/>
  <c r="BW21" i="35"/>
  <c r="BN23" i="65"/>
  <c r="BK25" i="65"/>
  <c r="BW17" i="35"/>
  <c r="BV20" i="35"/>
  <c r="BJ18" i="65"/>
  <c r="BU24" i="35"/>
  <c r="BF14" i="65"/>
  <c r="BP22" i="35"/>
  <c r="BT17" i="35"/>
  <c r="BM18" i="65"/>
  <c r="BD19" i="65"/>
  <c r="BD13" i="66"/>
  <c r="BP12" i="64"/>
  <c r="BF18" i="65"/>
  <c r="BR13" i="64"/>
  <c r="BV22" i="35"/>
  <c r="BD16" i="65"/>
  <c r="BQ18" i="64"/>
  <c r="BP10" i="64"/>
  <c r="BD17" i="66"/>
  <c r="BR14" i="35"/>
  <c r="BT16" i="35"/>
  <c r="BT25" i="35"/>
  <c r="BW26" i="35"/>
  <c r="BW16" i="35"/>
  <c r="BI14" i="65"/>
  <c r="BE22" i="65"/>
  <c r="BD17" i="65"/>
  <c r="BF27" i="65"/>
  <c r="BF26" i="65"/>
  <c r="BS22" i="35"/>
  <c r="BN13" i="65"/>
  <c r="BN17" i="65"/>
  <c r="BD21" i="65"/>
  <c r="BK14" i="65"/>
  <c r="BP13" i="35"/>
  <c r="BD24" i="65"/>
  <c r="BP16" i="64"/>
  <c r="BI17" i="65"/>
  <c r="BF16" i="65"/>
  <c r="BV10" i="35"/>
  <c r="BQ17" i="64"/>
  <c r="BE20" i="65"/>
  <c r="BI10" i="65"/>
  <c r="BS18" i="35"/>
  <c r="BL25" i="65"/>
  <c r="BQ12" i="64"/>
  <c r="BT15" i="35"/>
  <c r="BN10" i="64"/>
  <c r="BV13" i="35"/>
  <c r="BR10" i="35"/>
  <c r="BT13" i="64"/>
  <c r="BS23" i="35"/>
  <c r="BL14" i="65"/>
  <c r="I57" i="35" l="1"/>
  <c r="H57" i="35"/>
  <c r="G57" i="35"/>
  <c r="N62" i="35"/>
  <c r="K62" i="35"/>
  <c r="L62" i="35" s="1"/>
  <c r="I54" i="35"/>
  <c r="I72" i="35" s="1"/>
  <c r="N61" i="35"/>
  <c r="H54" i="35"/>
  <c r="H66" i="35" s="1"/>
  <c r="G54" i="35"/>
  <c r="G70" i="35" s="1"/>
  <c r="N59" i="35"/>
  <c r="N60" i="35"/>
  <c r="R12" i="65"/>
  <c r="B258" i="68"/>
  <c r="B273" i="68"/>
  <c r="B272" i="68"/>
  <c r="B271" i="68"/>
  <c r="B270" i="68"/>
  <c r="B269" i="68"/>
  <c r="B268" i="68"/>
  <c r="B267" i="68"/>
  <c r="B266" i="68"/>
  <c r="B265" i="68"/>
  <c r="B264" i="68"/>
  <c r="B263" i="68"/>
  <c r="B262" i="68"/>
  <c r="B261" i="68"/>
  <c r="B260" i="68"/>
  <c r="B259" i="68"/>
  <c r="I85" i="35" l="1"/>
  <c r="I59" i="35"/>
  <c r="I81" i="35"/>
  <c r="I73" i="35"/>
  <c r="I69" i="35"/>
  <c r="I80" i="35"/>
  <c r="I86" i="35"/>
  <c r="I60" i="35"/>
  <c r="I70" i="35"/>
  <c r="I67" i="35"/>
  <c r="I66" i="35"/>
  <c r="I89" i="35"/>
  <c r="I61" i="35"/>
  <c r="I77" i="35"/>
  <c r="I83" i="35"/>
  <c r="I65" i="35"/>
  <c r="I64" i="35"/>
  <c r="I91" i="35"/>
  <c r="I84" i="35"/>
  <c r="I68" i="35"/>
  <c r="I62" i="35"/>
  <c r="I87" i="35"/>
  <c r="I79" i="35"/>
  <c r="I63" i="35"/>
  <c r="I82" i="35"/>
  <c r="I71" i="35"/>
  <c r="I90" i="35"/>
  <c r="I58" i="35"/>
  <c r="I92" i="35"/>
  <c r="I78" i="35"/>
  <c r="I76" i="35"/>
  <c r="H92" i="35"/>
  <c r="H84" i="35"/>
  <c r="H81" i="35"/>
  <c r="H58" i="35"/>
  <c r="H65" i="35"/>
  <c r="H59" i="35"/>
  <c r="H79" i="35"/>
  <c r="H82" i="35"/>
  <c r="H67" i="35"/>
  <c r="H85" i="35"/>
  <c r="H76" i="35"/>
  <c r="H61" i="35"/>
  <c r="H90" i="35"/>
  <c r="H87" i="35"/>
  <c r="H78" i="35"/>
  <c r="H64" i="35"/>
  <c r="G76" i="35"/>
  <c r="H89" i="35"/>
  <c r="H72" i="35"/>
  <c r="G66" i="35"/>
  <c r="H69" i="35"/>
  <c r="H63" i="35"/>
  <c r="H86" i="35"/>
  <c r="H91" i="35"/>
  <c r="G65" i="35"/>
  <c r="H62" i="35"/>
  <c r="G86" i="35"/>
  <c r="H83" i="35"/>
  <c r="H70" i="35"/>
  <c r="H71" i="35"/>
  <c r="H80" i="35"/>
  <c r="H68" i="35"/>
  <c r="H60" i="35"/>
  <c r="H73" i="35"/>
  <c r="H77" i="35"/>
  <c r="G81" i="35"/>
  <c r="G69" i="35"/>
  <c r="G68" i="35"/>
  <c r="G73" i="35"/>
  <c r="G64" i="35"/>
  <c r="G79" i="35"/>
  <c r="G84" i="35"/>
  <c r="G85" i="35"/>
  <c r="G77" i="35"/>
  <c r="G80" i="35"/>
  <c r="G90" i="35"/>
  <c r="G83" i="35"/>
  <c r="G82" i="35"/>
  <c r="G61" i="35"/>
  <c r="G87" i="35"/>
  <c r="G59" i="35"/>
  <c r="G60" i="35"/>
  <c r="G63" i="35"/>
  <c r="G67" i="35"/>
  <c r="G62" i="35"/>
  <c r="G78" i="35"/>
  <c r="G92" i="35"/>
  <c r="G89" i="35"/>
  <c r="G91" i="35"/>
  <c r="G72" i="35"/>
  <c r="G58" i="35"/>
  <c r="G71" i="35"/>
  <c r="B256" i="68"/>
  <c r="S26" i="33"/>
  <c r="L26" i="33"/>
  <c r="R26" i="33" s="1"/>
  <c r="K26" i="33"/>
  <c r="Q26" i="33" s="1"/>
  <c r="I26" i="33"/>
  <c r="P26" i="33" s="1"/>
  <c r="H26" i="33"/>
  <c r="O26" i="33" s="1"/>
  <c r="S25" i="33"/>
  <c r="L25" i="33"/>
  <c r="R25" i="33" s="1"/>
  <c r="K25" i="33"/>
  <c r="Q25" i="33" s="1"/>
  <c r="I25" i="33"/>
  <c r="P25" i="33" s="1"/>
  <c r="H25" i="33"/>
  <c r="O25" i="33" s="1"/>
  <c r="S24" i="33"/>
  <c r="L24" i="33"/>
  <c r="R24" i="33" s="1"/>
  <c r="K24" i="33"/>
  <c r="Q24" i="33" s="1"/>
  <c r="I24" i="33"/>
  <c r="P24" i="33" s="1"/>
  <c r="H24" i="33"/>
  <c r="O24" i="33" s="1"/>
  <c r="S23" i="33"/>
  <c r="L23" i="33"/>
  <c r="R23" i="33" s="1"/>
  <c r="K23" i="33"/>
  <c r="Q23" i="33" s="1"/>
  <c r="I23" i="33"/>
  <c r="P23" i="33" s="1"/>
  <c r="H23" i="33"/>
  <c r="O23" i="33" s="1"/>
  <c r="S22" i="33"/>
  <c r="L22" i="33"/>
  <c r="R22" i="33" s="1"/>
  <c r="K22" i="33"/>
  <c r="Q22" i="33" s="1"/>
  <c r="I22" i="33"/>
  <c r="P22" i="33" s="1"/>
  <c r="H22" i="33"/>
  <c r="O22" i="33" s="1"/>
  <c r="S21" i="33"/>
  <c r="L21" i="33"/>
  <c r="R21" i="33" s="1"/>
  <c r="K21" i="33"/>
  <c r="Q21" i="33" s="1"/>
  <c r="I21" i="33"/>
  <c r="P21" i="33" s="1"/>
  <c r="H21" i="33"/>
  <c r="O21" i="33" s="1"/>
  <c r="S20" i="33"/>
  <c r="L20" i="33"/>
  <c r="R20" i="33" s="1"/>
  <c r="K20" i="33"/>
  <c r="Q20" i="33" s="1"/>
  <c r="I20" i="33"/>
  <c r="P20" i="33" s="1"/>
  <c r="H20" i="33"/>
  <c r="O20" i="33" s="1"/>
  <c r="S19" i="33"/>
  <c r="L19" i="33"/>
  <c r="R19" i="33" s="1"/>
  <c r="K19" i="33"/>
  <c r="Q19" i="33" s="1"/>
  <c r="I19" i="33"/>
  <c r="P19" i="33" s="1"/>
  <c r="H19" i="33"/>
  <c r="O19" i="33" s="1"/>
  <c r="S18" i="33"/>
  <c r="L18" i="33"/>
  <c r="R18" i="33" s="1"/>
  <c r="K18" i="33"/>
  <c r="Q18" i="33" s="1"/>
  <c r="I18" i="33"/>
  <c r="P18" i="33" s="1"/>
  <c r="H18" i="33"/>
  <c r="O18" i="33" s="1"/>
  <c r="S17" i="33"/>
  <c r="L17" i="33"/>
  <c r="R17" i="33" s="1"/>
  <c r="K17" i="33"/>
  <c r="Q17" i="33" s="1"/>
  <c r="I17" i="33"/>
  <c r="P17" i="33" s="1"/>
  <c r="H17" i="33"/>
  <c r="O17" i="33" s="1"/>
  <c r="S16" i="33"/>
  <c r="L16" i="33"/>
  <c r="R16" i="33" s="1"/>
  <c r="K16" i="33"/>
  <c r="Q16" i="33" s="1"/>
  <c r="I16" i="33"/>
  <c r="P16" i="33" s="1"/>
  <c r="H16" i="33"/>
  <c r="O16" i="33" s="1"/>
  <c r="S15" i="33"/>
  <c r="L15" i="33"/>
  <c r="R15" i="33" s="1"/>
  <c r="K15" i="33"/>
  <c r="Q15" i="33" s="1"/>
  <c r="I15" i="33"/>
  <c r="P15" i="33" s="1"/>
  <c r="H15" i="33"/>
  <c r="O15" i="33" s="1"/>
  <c r="S14" i="33"/>
  <c r="L14" i="33"/>
  <c r="R14" i="33" s="1"/>
  <c r="K14" i="33"/>
  <c r="Q14" i="33" s="1"/>
  <c r="I14" i="33"/>
  <c r="P14" i="33" s="1"/>
  <c r="H14" i="33"/>
  <c r="O14" i="33" s="1"/>
  <c r="S13" i="33"/>
  <c r="L13" i="33"/>
  <c r="R13" i="33" s="1"/>
  <c r="K13" i="33"/>
  <c r="Q13" i="33" s="1"/>
  <c r="I13" i="33"/>
  <c r="P13" i="33" s="1"/>
  <c r="H13" i="33"/>
  <c r="O13" i="33" s="1"/>
  <c r="S12" i="33"/>
  <c r="L12" i="33"/>
  <c r="R12" i="33" s="1"/>
  <c r="K12" i="33"/>
  <c r="Q12" i="33" s="1"/>
  <c r="I12" i="33"/>
  <c r="P12" i="33" s="1"/>
  <c r="H12" i="33"/>
  <c r="O12" i="33" s="1"/>
  <c r="S11" i="33"/>
  <c r="R11" i="33"/>
  <c r="Q11" i="33"/>
  <c r="P11" i="33"/>
  <c r="O11" i="33" l="1"/>
  <c r="A20" i="67"/>
  <c r="A19" i="67"/>
  <c r="A18" i="67"/>
  <c r="A17" i="67"/>
  <c r="A16" i="67"/>
  <c r="A15" i="67"/>
  <c r="AB12" i="66"/>
  <c r="AA12" i="66"/>
  <c r="D17" i="67" l="1"/>
  <c r="E15" i="67"/>
  <c r="AH242" i="65"/>
  <c r="AA242" i="65" s="1"/>
  <c r="Z242" i="65" s="1"/>
  <c r="AH231" i="65"/>
  <c r="AA231" i="65" s="1"/>
  <c r="Z231" i="65" s="1"/>
  <c r="AH236" i="65"/>
  <c r="AA236" i="65" s="1"/>
  <c r="Z236" i="65" s="1"/>
  <c r="AH233" i="65"/>
  <c r="AA233" i="65" s="1"/>
  <c r="Z233" i="65" s="1"/>
  <c r="AH229" i="65"/>
  <c r="AA229" i="65" s="1"/>
  <c r="Z229" i="65" s="1"/>
  <c r="AH241" i="65"/>
  <c r="AA241" i="65" s="1"/>
  <c r="Z241" i="65" s="1"/>
  <c r="AH227" i="65"/>
  <c r="AA227" i="65" s="1"/>
  <c r="Z227" i="65" s="1"/>
  <c r="AH270" i="65"/>
  <c r="AA270" i="65" s="1"/>
  <c r="Z270" i="65" s="1"/>
  <c r="AH243" i="65"/>
  <c r="AA243" i="65" s="1"/>
  <c r="Z243" i="65" s="1"/>
  <c r="AH230" i="65"/>
  <c r="AA230" i="65" s="1"/>
  <c r="Z230" i="65" s="1"/>
  <c r="AH246" i="65"/>
  <c r="AA246" i="65" s="1"/>
  <c r="Z246" i="65" s="1"/>
  <c r="AH245" i="65"/>
  <c r="AA245" i="65" s="1"/>
  <c r="Z245" i="65" s="1"/>
  <c r="AH234" i="65"/>
  <c r="AA234" i="65" s="1"/>
  <c r="Z234" i="65" s="1"/>
  <c r="AH232" i="65"/>
  <c r="AA232" i="65" s="1"/>
  <c r="Z232" i="65" s="1"/>
  <c r="AH237" i="65"/>
  <c r="AA237" i="65" s="1"/>
  <c r="Z237" i="65" s="1"/>
  <c r="AH238" i="65"/>
  <c r="AA238" i="65" s="1"/>
  <c r="Z238" i="65" s="1"/>
  <c r="AH240" i="65"/>
  <c r="AA240" i="65" s="1"/>
  <c r="Z240" i="65" s="1"/>
  <c r="AH228" i="65"/>
  <c r="AA228" i="65" s="1"/>
  <c r="Z228" i="65" s="1"/>
  <c r="AH239" i="65"/>
  <c r="AA239" i="65" s="1"/>
  <c r="Z239" i="65" s="1"/>
  <c r="AH235" i="65"/>
  <c r="AA235" i="65" s="1"/>
  <c r="Z235" i="65" s="1"/>
  <c r="AH244" i="65"/>
  <c r="AA244" i="65" s="1"/>
  <c r="Z244" i="65" s="1"/>
  <c r="AH271" i="65"/>
  <c r="AA271" i="65" s="1"/>
  <c r="Z271" i="65" s="1"/>
  <c r="AH272" i="65"/>
  <c r="AA272" i="65" s="1"/>
  <c r="Z272" i="65" s="1"/>
  <c r="AH273" i="65"/>
  <c r="AA273" i="65" s="1"/>
  <c r="Z273" i="65" s="1"/>
  <c r="AH274" i="65"/>
  <c r="AA274" i="65" s="1"/>
  <c r="Z274" i="65" s="1"/>
  <c r="AH275" i="65"/>
  <c r="AA275" i="65" s="1"/>
  <c r="Z275" i="65" s="1"/>
  <c r="AH276" i="65"/>
  <c r="AA276" i="65" s="1"/>
  <c r="Z276" i="65" s="1"/>
  <c r="AH277" i="65"/>
  <c r="AA277" i="65" s="1"/>
  <c r="Z277" i="65" s="1"/>
  <c r="AH278" i="65"/>
  <c r="AA278" i="65" s="1"/>
  <c r="Z278" i="65" s="1"/>
  <c r="AH279" i="65"/>
  <c r="AA279" i="65" s="1"/>
  <c r="Z279" i="65" s="1"/>
  <c r="AH280" i="65"/>
  <c r="AA280" i="65" s="1"/>
  <c r="Z280" i="65" s="1"/>
  <c r="AH281" i="65"/>
  <c r="AA281" i="65" s="1"/>
  <c r="Z281" i="65" s="1"/>
  <c r="AH282" i="65"/>
  <c r="AA282" i="65" s="1"/>
  <c r="Z282" i="65" s="1"/>
  <c r="AH283" i="65"/>
  <c r="AA283" i="65" s="1"/>
  <c r="Z283" i="65" s="1"/>
  <c r="AH284" i="65"/>
  <c r="AA284" i="65" s="1"/>
  <c r="Z284" i="65" s="1"/>
  <c r="AH285" i="65"/>
  <c r="AA285" i="65" s="1"/>
  <c r="Z285" i="65" s="1"/>
  <c r="AH286" i="65"/>
  <c r="AA286" i="65" s="1"/>
  <c r="Z286" i="65" s="1"/>
  <c r="AH287" i="65"/>
  <c r="AA287" i="65" s="1"/>
  <c r="Z287" i="65" s="1"/>
  <c r="AH288" i="65"/>
  <c r="AA288" i="65" s="1"/>
  <c r="Z288" i="65" s="1"/>
  <c r="AH289" i="65"/>
  <c r="AA289" i="65" s="1"/>
  <c r="Z289" i="65" s="1"/>
  <c r="AH314" i="65"/>
  <c r="AA314" i="65" s="1"/>
  <c r="Z314" i="65" s="1"/>
  <c r="AH315" i="65"/>
  <c r="AA315" i="65" s="1"/>
  <c r="Z315" i="65" s="1"/>
  <c r="AH316" i="65"/>
  <c r="AA316" i="65" s="1"/>
  <c r="Z316" i="65" s="1"/>
  <c r="AH317" i="65"/>
  <c r="AA317" i="65" s="1"/>
  <c r="Z317" i="65" s="1"/>
  <c r="AH318" i="65"/>
  <c r="AA318" i="65" s="1"/>
  <c r="Z318" i="65" s="1"/>
  <c r="AH319" i="65"/>
  <c r="AA319" i="65" s="1"/>
  <c r="Z319" i="65" s="1"/>
  <c r="AH320" i="65"/>
  <c r="AA320" i="65" s="1"/>
  <c r="Z320" i="65" s="1"/>
  <c r="AH321" i="65"/>
  <c r="AA321" i="65" s="1"/>
  <c r="Z321" i="65" s="1"/>
  <c r="AH322" i="65"/>
  <c r="AA322" i="65" s="1"/>
  <c r="Z322" i="65" s="1"/>
  <c r="AH323" i="65"/>
  <c r="AA323" i="65" s="1"/>
  <c r="Z323" i="65" s="1"/>
  <c r="AH324" i="65"/>
  <c r="AA324" i="65" s="1"/>
  <c r="Z324" i="65" s="1"/>
  <c r="AH325" i="65"/>
  <c r="AA325" i="65" s="1"/>
  <c r="Z325" i="65" s="1"/>
  <c r="AH326" i="65"/>
  <c r="AA326" i="65" s="1"/>
  <c r="Z326" i="65" s="1"/>
  <c r="AH327" i="65"/>
  <c r="AA327" i="65" s="1"/>
  <c r="Z327" i="65" s="1"/>
  <c r="AH328" i="65"/>
  <c r="AA328" i="65" s="1"/>
  <c r="Z328" i="65" s="1"/>
  <c r="AH329" i="65"/>
  <c r="AA329" i="65" s="1"/>
  <c r="Z329" i="65" s="1"/>
  <c r="AH330" i="65"/>
  <c r="AA330" i="65" s="1"/>
  <c r="Z330" i="65" s="1"/>
  <c r="AH331" i="65"/>
  <c r="AA331" i="65" s="1"/>
  <c r="Z331" i="65" s="1"/>
  <c r="AH332" i="65"/>
  <c r="AA332" i="65" s="1"/>
  <c r="Z332" i="65" s="1"/>
  <c r="AH333" i="65"/>
  <c r="AA333" i="65" s="1"/>
  <c r="Z333" i="65" s="1"/>
  <c r="AH357" i="65"/>
  <c r="AA357" i="65" s="1"/>
  <c r="Z357" i="65" s="1"/>
  <c r="AH358" i="65"/>
  <c r="AA358" i="65" s="1"/>
  <c r="Z358" i="65" s="1"/>
  <c r="AH359" i="65"/>
  <c r="AA359" i="65" s="1"/>
  <c r="Z359" i="65" s="1"/>
  <c r="AH360" i="65"/>
  <c r="AA360" i="65" s="1"/>
  <c r="Z360" i="65" s="1"/>
  <c r="AH361" i="65"/>
  <c r="AA361" i="65" s="1"/>
  <c r="Z361" i="65" s="1"/>
  <c r="AH362" i="65"/>
  <c r="AA362" i="65" s="1"/>
  <c r="Z362" i="65" s="1"/>
  <c r="AH363" i="65"/>
  <c r="AA363" i="65" s="1"/>
  <c r="Z363" i="65" s="1"/>
  <c r="AH364" i="65"/>
  <c r="AA364" i="65" s="1"/>
  <c r="Z364" i="65" s="1"/>
  <c r="AH365" i="65"/>
  <c r="AA365" i="65" s="1"/>
  <c r="Z365" i="65" s="1"/>
  <c r="AH366" i="65"/>
  <c r="AA366" i="65" s="1"/>
  <c r="Z366" i="65" s="1"/>
  <c r="AH367" i="65"/>
  <c r="AA367" i="65" s="1"/>
  <c r="Z367" i="65" s="1"/>
  <c r="AH368" i="65"/>
  <c r="AA368" i="65" s="1"/>
  <c r="Z368" i="65" s="1"/>
  <c r="AH369" i="65"/>
  <c r="AA369" i="65" s="1"/>
  <c r="Z369" i="65" s="1"/>
  <c r="AH370" i="65"/>
  <c r="AA370" i="65" s="1"/>
  <c r="Z370" i="65" s="1"/>
  <c r="AH371" i="65"/>
  <c r="AA371" i="65" s="1"/>
  <c r="Z371" i="65" s="1"/>
  <c r="AH372" i="65"/>
  <c r="AA372" i="65" s="1"/>
  <c r="Z372" i="65" s="1"/>
  <c r="AH373" i="65"/>
  <c r="AA373" i="65" s="1"/>
  <c r="Z373" i="65" s="1"/>
  <c r="AH374" i="65"/>
  <c r="AA374" i="65" s="1"/>
  <c r="Z374" i="65" s="1"/>
  <c r="AH375" i="65"/>
  <c r="AA375" i="65" s="1"/>
  <c r="Z375" i="65" s="1"/>
  <c r="AH376" i="65"/>
  <c r="AA376" i="65" s="1"/>
  <c r="Z376" i="65" s="1"/>
  <c r="AH401" i="65"/>
  <c r="AA401" i="65" s="1"/>
  <c r="Z401" i="65" s="1"/>
  <c r="AH402" i="65"/>
  <c r="AA402" i="65" s="1"/>
  <c r="Z402" i="65" s="1"/>
  <c r="AH403" i="65"/>
  <c r="AA403" i="65" s="1"/>
  <c r="Z403" i="65" s="1"/>
  <c r="AH404" i="65"/>
  <c r="AA404" i="65" s="1"/>
  <c r="Z404" i="65" s="1"/>
  <c r="AH405" i="65"/>
  <c r="AA405" i="65" s="1"/>
  <c r="Z405" i="65" s="1"/>
  <c r="AH406" i="65"/>
  <c r="AA406" i="65" s="1"/>
  <c r="Z406" i="65" s="1"/>
  <c r="AH407" i="65"/>
  <c r="AA407" i="65" s="1"/>
  <c r="Z407" i="65" s="1"/>
  <c r="AH408" i="65"/>
  <c r="AA408" i="65" s="1"/>
  <c r="Z408" i="65" s="1"/>
  <c r="AH409" i="65"/>
  <c r="AA409" i="65" s="1"/>
  <c r="Z409" i="65" s="1"/>
  <c r="AH410" i="65"/>
  <c r="AA410" i="65" s="1"/>
  <c r="Z410" i="65" s="1"/>
  <c r="AH411" i="65"/>
  <c r="AA411" i="65" s="1"/>
  <c r="Z411" i="65" s="1"/>
  <c r="AH412" i="65"/>
  <c r="AA412" i="65" s="1"/>
  <c r="Z412" i="65" s="1"/>
  <c r="AH413" i="65"/>
  <c r="AA413" i="65" s="1"/>
  <c r="Z413" i="65" s="1"/>
  <c r="AH414" i="65"/>
  <c r="AA414" i="65" s="1"/>
  <c r="Z414" i="65" s="1"/>
  <c r="AH415" i="65"/>
  <c r="AA415" i="65" s="1"/>
  <c r="Z415" i="65" s="1"/>
  <c r="AH416" i="65"/>
  <c r="AA416" i="65" s="1"/>
  <c r="Z416" i="65" s="1"/>
  <c r="AH417" i="65"/>
  <c r="AA417" i="65" s="1"/>
  <c r="Z417" i="65" s="1"/>
  <c r="AH418" i="65"/>
  <c r="AA418" i="65" s="1"/>
  <c r="Z418" i="65" s="1"/>
  <c r="AH419" i="65"/>
  <c r="AA419" i="65" s="1"/>
  <c r="Z419" i="65" s="1"/>
  <c r="AH420" i="65"/>
  <c r="AA420" i="65" s="1"/>
  <c r="Z420" i="65" s="1"/>
  <c r="AH142" i="65"/>
  <c r="AA142" i="65" s="1"/>
  <c r="Z142" i="65" s="1"/>
  <c r="AH143" i="65"/>
  <c r="AA143" i="65" s="1"/>
  <c r="Z143" i="65" s="1"/>
  <c r="AH144" i="65"/>
  <c r="AA144" i="65" s="1"/>
  <c r="Z144" i="65" s="1"/>
  <c r="AH145" i="65"/>
  <c r="AA145" i="65" s="1"/>
  <c r="Z145" i="65" s="1"/>
  <c r="AH146" i="65"/>
  <c r="AA146" i="65" s="1"/>
  <c r="Z146" i="65" s="1"/>
  <c r="AH147" i="65"/>
  <c r="AA147" i="65" s="1"/>
  <c r="Z147" i="65" s="1"/>
  <c r="AH148" i="65"/>
  <c r="AA148" i="65" s="1"/>
  <c r="Z148" i="65" s="1"/>
  <c r="AH149" i="65"/>
  <c r="AA149" i="65" s="1"/>
  <c r="Z149" i="65" s="1"/>
  <c r="AH150" i="65"/>
  <c r="AA150" i="65" s="1"/>
  <c r="Z150" i="65" s="1"/>
  <c r="AH151" i="65"/>
  <c r="AA151" i="65" s="1"/>
  <c r="Z151" i="65" s="1"/>
  <c r="AH152" i="65"/>
  <c r="AA152" i="65" s="1"/>
  <c r="Z152" i="65" s="1"/>
  <c r="AH153" i="65"/>
  <c r="AA153" i="65" s="1"/>
  <c r="Z153" i="65" s="1"/>
  <c r="AH154" i="65"/>
  <c r="AA154" i="65" s="1"/>
  <c r="Z154" i="65" s="1"/>
  <c r="AH155" i="65"/>
  <c r="AA155" i="65" s="1"/>
  <c r="Z155" i="65" s="1"/>
  <c r="AH156" i="65"/>
  <c r="AA156" i="65" s="1"/>
  <c r="Z156" i="65" s="1"/>
  <c r="AH157" i="65"/>
  <c r="AA157" i="65" s="1"/>
  <c r="Z157" i="65" s="1"/>
  <c r="AH158" i="65"/>
  <c r="AA158" i="65" s="1"/>
  <c r="Z158" i="65" s="1"/>
  <c r="AH159" i="65"/>
  <c r="AA159" i="65" s="1"/>
  <c r="Z159" i="65" s="1"/>
  <c r="AH160" i="65"/>
  <c r="AA160" i="65" s="1"/>
  <c r="Z160" i="65" s="1"/>
  <c r="AH161" i="65"/>
  <c r="AA161" i="65" s="1"/>
  <c r="Z161" i="65" s="1"/>
  <c r="AH186" i="65"/>
  <c r="AA186" i="65" s="1"/>
  <c r="Z186" i="65" s="1"/>
  <c r="AH187" i="65"/>
  <c r="AA187" i="65" s="1"/>
  <c r="Z187" i="65" s="1"/>
  <c r="AH188" i="65"/>
  <c r="AA188" i="65" s="1"/>
  <c r="Z188" i="65" s="1"/>
  <c r="AH189" i="65"/>
  <c r="AA189" i="65" s="1"/>
  <c r="Z189" i="65" s="1"/>
  <c r="AH190" i="65"/>
  <c r="AA190" i="65" s="1"/>
  <c r="Z190" i="65" s="1"/>
  <c r="AH191" i="65"/>
  <c r="AA191" i="65" s="1"/>
  <c r="Z191" i="65" s="1"/>
  <c r="AH192" i="65"/>
  <c r="AA192" i="65" s="1"/>
  <c r="Z192" i="65" s="1"/>
  <c r="AH193" i="65"/>
  <c r="AA193" i="65" s="1"/>
  <c r="Z193" i="65" s="1"/>
  <c r="AH194" i="65"/>
  <c r="AA194" i="65" s="1"/>
  <c r="Z194" i="65" s="1"/>
  <c r="AH195" i="65"/>
  <c r="AA195" i="65" s="1"/>
  <c r="Z195" i="65" s="1"/>
  <c r="AH196" i="65"/>
  <c r="AA196" i="65" s="1"/>
  <c r="Z196" i="65" s="1"/>
  <c r="AH197" i="65"/>
  <c r="AA197" i="65" s="1"/>
  <c r="Z197" i="65" s="1"/>
  <c r="AH198" i="65"/>
  <c r="AA198" i="65" s="1"/>
  <c r="Z198" i="65" s="1"/>
  <c r="AH199" i="65"/>
  <c r="AA199" i="65" s="1"/>
  <c r="Z199" i="65" s="1"/>
  <c r="AH200" i="65"/>
  <c r="AA200" i="65" s="1"/>
  <c r="Z200" i="65" s="1"/>
  <c r="AH201" i="65"/>
  <c r="AA201" i="65" s="1"/>
  <c r="Z201" i="65" s="1"/>
  <c r="AH202" i="65"/>
  <c r="AA202" i="65" s="1"/>
  <c r="Z202" i="65" s="1"/>
  <c r="AH203" i="65"/>
  <c r="AA203" i="65" s="1"/>
  <c r="Z203" i="65" s="1"/>
  <c r="AH204" i="65"/>
  <c r="AA204" i="65" s="1"/>
  <c r="Z204" i="65" s="1"/>
  <c r="AH205" i="65"/>
  <c r="AA205" i="65" s="1"/>
  <c r="Z205" i="65" s="1"/>
  <c r="AH118" i="65"/>
  <c r="AA118" i="65" s="1"/>
  <c r="Z118" i="65" s="1"/>
  <c r="AH70" i="65"/>
  <c r="AA70" i="65" s="1"/>
  <c r="Z70" i="65" s="1"/>
  <c r="AH111" i="65"/>
  <c r="AA111" i="65" s="1"/>
  <c r="Z111" i="65" s="1"/>
  <c r="AH108" i="65"/>
  <c r="AA108" i="65" s="1"/>
  <c r="Z108" i="65" s="1"/>
  <c r="AH103" i="65"/>
  <c r="AA103" i="65" s="1"/>
  <c r="Z103" i="65" s="1"/>
  <c r="AH68" i="65"/>
  <c r="AA68" i="65" s="1"/>
  <c r="Z68" i="65" s="1"/>
  <c r="AH105" i="65"/>
  <c r="AA105" i="65" s="1"/>
  <c r="Z105" i="65" s="1"/>
  <c r="AH59" i="65"/>
  <c r="AA59" i="65" s="1"/>
  <c r="Z59" i="65" s="1"/>
  <c r="AH62" i="65"/>
  <c r="AA62" i="65" s="1"/>
  <c r="Z62" i="65" s="1"/>
  <c r="AH109" i="65"/>
  <c r="AA109" i="65" s="1"/>
  <c r="Z109" i="65" s="1"/>
  <c r="AH74" i="65"/>
  <c r="AA74" i="65" s="1"/>
  <c r="Z74" i="65" s="1"/>
  <c r="AH67" i="65"/>
  <c r="AA67" i="65" s="1"/>
  <c r="Z67" i="65" s="1"/>
  <c r="AH66" i="65"/>
  <c r="AA66" i="65" s="1"/>
  <c r="Z66" i="65" s="1"/>
  <c r="AH110" i="65"/>
  <c r="AA110" i="65" s="1"/>
  <c r="Z110" i="65" s="1"/>
  <c r="AH55" i="65"/>
  <c r="AA55" i="65" s="1"/>
  <c r="Z55" i="65" s="1"/>
  <c r="AH63" i="65"/>
  <c r="AA63" i="65" s="1"/>
  <c r="Z63" i="65" s="1"/>
  <c r="AH116" i="65"/>
  <c r="AA116" i="65" s="1"/>
  <c r="Z116" i="65" s="1"/>
  <c r="AH60" i="65"/>
  <c r="AA60" i="65" s="1"/>
  <c r="Z60" i="65" s="1"/>
  <c r="AH99" i="65"/>
  <c r="AA99" i="65" s="1"/>
  <c r="Z99" i="65" s="1"/>
  <c r="AH114" i="65"/>
  <c r="AA114" i="65" s="1"/>
  <c r="Z114" i="65" s="1"/>
  <c r="AH115" i="65"/>
  <c r="AA115" i="65" s="1"/>
  <c r="Z115" i="65" s="1"/>
  <c r="AH117" i="65"/>
  <c r="AA117" i="65" s="1"/>
  <c r="Z117" i="65" s="1"/>
  <c r="AH106" i="65"/>
  <c r="AA106" i="65" s="1"/>
  <c r="Z106" i="65" s="1"/>
  <c r="AH101" i="65"/>
  <c r="AA101" i="65" s="1"/>
  <c r="Z101" i="65" s="1"/>
  <c r="AH107" i="65"/>
  <c r="AA107" i="65" s="1"/>
  <c r="Z107" i="65" s="1"/>
  <c r="AH56" i="65"/>
  <c r="AA56" i="65" s="1"/>
  <c r="Z56" i="65" s="1"/>
  <c r="AH69" i="65"/>
  <c r="AA69" i="65" s="1"/>
  <c r="Z69" i="65" s="1"/>
  <c r="AH113" i="65"/>
  <c r="AA113" i="65" s="1"/>
  <c r="Z113" i="65" s="1"/>
  <c r="AH73" i="65"/>
  <c r="AA73" i="65" s="1"/>
  <c r="Z73" i="65" s="1"/>
  <c r="AH72" i="65"/>
  <c r="AA72" i="65" s="1"/>
  <c r="Z72" i="65" s="1"/>
  <c r="AH61" i="65"/>
  <c r="AA61" i="65" s="1"/>
  <c r="Z61" i="65" s="1"/>
  <c r="AH64" i="65"/>
  <c r="AA64" i="65" s="1"/>
  <c r="Z64" i="65" s="1"/>
  <c r="AH102" i="65"/>
  <c r="AA102" i="65" s="1"/>
  <c r="Z102" i="65" s="1"/>
  <c r="AH65" i="65"/>
  <c r="AA65" i="65" s="1"/>
  <c r="Z65" i="65" s="1"/>
  <c r="AH104" i="65"/>
  <c r="AA104" i="65" s="1"/>
  <c r="Z104" i="65" s="1"/>
  <c r="AH112" i="65"/>
  <c r="AA112" i="65" s="1"/>
  <c r="Z112" i="65" s="1"/>
  <c r="AH58" i="65"/>
  <c r="AA58" i="65" s="1"/>
  <c r="Z58" i="65" s="1"/>
  <c r="AH100" i="65"/>
  <c r="AA100" i="65" s="1"/>
  <c r="Z100" i="65" s="1"/>
  <c r="AH71" i="65"/>
  <c r="AA71" i="65" s="1"/>
  <c r="Z71" i="65" s="1"/>
  <c r="AH57" i="65"/>
  <c r="AA57" i="65" s="1"/>
  <c r="Z57" i="65" s="1"/>
  <c r="E16" i="67"/>
  <c r="D18" i="67"/>
  <c r="E19" i="67"/>
  <c r="F15" i="67"/>
  <c r="E17" i="67"/>
  <c r="E18" i="67"/>
  <c r="D14" i="67"/>
  <c r="E14" i="67"/>
  <c r="E20" i="67"/>
  <c r="D15" i="67"/>
  <c r="D16" i="67"/>
  <c r="D20" i="67"/>
  <c r="D19" i="67"/>
  <c r="O271" i="65" l="1" a="1"/>
  <c r="O271" i="65" s="1"/>
  <c r="O275" i="65" a="1"/>
  <c r="O275" i="65" s="1"/>
  <c r="P272" i="65"/>
  <c r="O272" i="65" a="1"/>
  <c r="O272" i="65" s="1"/>
  <c r="P270" i="65"/>
  <c r="O274" i="65" a="1"/>
  <c r="O274" i="65" s="1"/>
  <c r="O270" i="65" a="1"/>
  <c r="O270" i="65" s="1"/>
  <c r="O273" i="65" a="1"/>
  <c r="O273" i="65" s="1"/>
  <c r="O55" i="65" a="1"/>
  <c r="O55" i="65" s="1"/>
  <c r="O57" i="65" a="1"/>
  <c r="O57" i="65" s="1"/>
  <c r="P57" i="65"/>
  <c r="P56" i="65"/>
  <c r="O56" i="65" a="1"/>
  <c r="O56" i="65" s="1"/>
  <c r="P55" i="65"/>
  <c r="O58" i="65" a="1"/>
  <c r="O58" i="65" s="1"/>
  <c r="O59" i="65" a="1"/>
  <c r="O59" i="65" s="1"/>
  <c r="O60" i="65" a="1"/>
  <c r="O60" i="65" s="1"/>
  <c r="O231" i="65" a="1"/>
  <c r="O231" i="65" s="1"/>
  <c r="P228" i="65"/>
  <c r="P227" i="65"/>
  <c r="P229" i="65"/>
  <c r="O232" i="65" a="1"/>
  <c r="O232" i="65" s="1"/>
  <c r="O230" i="65" a="1"/>
  <c r="O230" i="65" s="1"/>
  <c r="O227" i="65" a="1"/>
  <c r="O227" i="65" s="1"/>
  <c r="O229" i="65" a="1"/>
  <c r="O229" i="65" s="1"/>
  <c r="O228" i="65" a="1"/>
  <c r="O228" i="65" s="1"/>
  <c r="P100" i="65"/>
  <c r="O102" i="65" a="1"/>
  <c r="O102" i="65" s="1"/>
  <c r="P99" i="65"/>
  <c r="O101" i="65" a="1"/>
  <c r="O101" i="65" s="1"/>
  <c r="O100" i="65" a="1"/>
  <c r="O100" i="65" s="1"/>
  <c r="P101" i="65"/>
  <c r="O99" i="65" a="1"/>
  <c r="O99" i="65" s="1"/>
  <c r="O103" i="65" a="1"/>
  <c r="O103" i="65" s="1"/>
  <c r="O104" i="65" a="1"/>
  <c r="O104" i="65" s="1"/>
  <c r="O191" i="65" a="1"/>
  <c r="O191" i="65" s="1"/>
  <c r="O187" i="65" a="1"/>
  <c r="O187" i="65" s="1"/>
  <c r="O189" i="65" a="1"/>
  <c r="O189" i="65" s="1"/>
  <c r="O190" i="65" a="1"/>
  <c r="O190" i="65" s="1"/>
  <c r="O186" i="65" a="1"/>
  <c r="O186" i="65" s="1"/>
  <c r="P188" i="65"/>
  <c r="P187" i="65"/>
  <c r="O188" i="65" a="1"/>
  <c r="O188" i="65" s="1"/>
  <c r="O144" i="65" a="1"/>
  <c r="O144" i="65" s="1"/>
  <c r="O145" i="65" a="1"/>
  <c r="O145" i="65" s="1"/>
  <c r="P142" i="65"/>
  <c r="P144" i="65"/>
  <c r="O146" i="65" a="1"/>
  <c r="O146" i="65" s="1"/>
  <c r="O142" i="65" a="1"/>
  <c r="O142" i="65" s="1"/>
  <c r="O147" i="65" a="1"/>
  <c r="O147" i="65" s="1"/>
  <c r="O143" i="65" a="1"/>
  <c r="O143" i="65" s="1"/>
  <c r="P403" i="65"/>
  <c r="O404" i="65" a="1"/>
  <c r="O404" i="65" s="1"/>
  <c r="O406" i="65" a="1"/>
  <c r="O406" i="65" s="1"/>
  <c r="O405" i="65" a="1"/>
  <c r="O405" i="65" s="1"/>
  <c r="O403" i="65" a="1"/>
  <c r="O403" i="65" s="1"/>
  <c r="O402" i="65" a="1"/>
  <c r="O402" i="65" s="1"/>
  <c r="P401" i="65"/>
  <c r="O401" i="65" a="1"/>
  <c r="O401" i="65" s="1"/>
  <c r="O357" i="65" a="1"/>
  <c r="O357" i="65" s="1"/>
  <c r="O358" i="65" a="1"/>
  <c r="O358" i="65" s="1"/>
  <c r="O362" i="65" a="1"/>
  <c r="O362" i="65" s="1"/>
  <c r="P359" i="65"/>
  <c r="P358" i="65"/>
  <c r="O360" i="65" a="1"/>
  <c r="O360" i="65" s="1"/>
  <c r="O361" i="65" a="1"/>
  <c r="O361" i="65" s="1"/>
  <c r="O359" i="65" a="1"/>
  <c r="O359" i="65" s="1"/>
  <c r="O314" i="65" a="1"/>
  <c r="O314" i="65" s="1"/>
  <c r="O316" i="65" a="1"/>
  <c r="O316" i="65" s="1"/>
  <c r="P315" i="65"/>
  <c r="O319" i="65" a="1"/>
  <c r="O319" i="65" s="1"/>
  <c r="O318" i="65" a="1"/>
  <c r="O318" i="65" s="1"/>
  <c r="O317" i="65" a="1"/>
  <c r="O317" i="65" s="1"/>
  <c r="P316" i="65"/>
  <c r="O315" i="65" a="1"/>
  <c r="O315" i="65" s="1"/>
  <c r="P186" i="65"/>
  <c r="P143" i="65"/>
  <c r="P402" i="65"/>
  <c r="P357" i="65"/>
  <c r="P314" i="65"/>
  <c r="P271" i="65"/>
  <c r="AN9" i="66"/>
  <c r="BC16" i="66"/>
  <c r="BB15" i="66"/>
  <c r="BR25" i="65"/>
  <c r="AN19" i="66"/>
  <c r="BA13" i="66"/>
  <c r="BA15" i="66"/>
  <c r="BR13" i="65"/>
  <c r="BP22" i="65"/>
  <c r="BC14" i="66"/>
  <c r="BR10" i="65"/>
  <c r="BQ16" i="65"/>
  <c r="BC19" i="66"/>
  <c r="BC15" i="66"/>
  <c r="BP25" i="65"/>
  <c r="BA14" i="66"/>
  <c r="BQ18" i="65"/>
  <c r="BA18" i="66"/>
  <c r="BP14" i="65"/>
  <c r="BQ26" i="65"/>
  <c r="BR12" i="65"/>
  <c r="BQ24" i="65"/>
  <c r="BQ20" i="65"/>
  <c r="BQ17" i="65"/>
  <c r="BQ27" i="65"/>
  <c r="BC18" i="66"/>
  <c r="BR15" i="65"/>
  <c r="BP27" i="65"/>
  <c r="BP24" i="65"/>
  <c r="BB17" i="66"/>
  <c r="BB13" i="66"/>
  <c r="BQ13" i="65"/>
  <c r="BQ14" i="65"/>
  <c r="BP20" i="65"/>
  <c r="BQ15" i="65"/>
  <c r="BQ25" i="65"/>
  <c r="AN13" i="66"/>
  <c r="BA19" i="66"/>
  <c r="BR21" i="65"/>
  <c r="BR17" i="65"/>
  <c r="BR27" i="65"/>
  <c r="BB16" i="66"/>
  <c r="BB12" i="66"/>
  <c r="BB10" i="66"/>
  <c r="BP18" i="65"/>
  <c r="BA17" i="66"/>
  <c r="BR22" i="65"/>
  <c r="BP19" i="65"/>
  <c r="BQ22" i="65"/>
  <c r="BQ19" i="65"/>
  <c r="BR20" i="65"/>
  <c r="BP15" i="65"/>
  <c r="BR18" i="65"/>
  <c r="BQ12" i="65"/>
  <c r="AN15" i="66"/>
  <c r="BC17" i="66"/>
  <c r="BR26" i="65"/>
  <c r="BQ21" i="65"/>
  <c r="AN14" i="66"/>
  <c r="BP17" i="65"/>
  <c r="BP13" i="65"/>
  <c r="BB19" i="66"/>
  <c r="BP16" i="65"/>
  <c r="BB18" i="66"/>
  <c r="BR19" i="65"/>
  <c r="BC12" i="66"/>
  <c r="BQ23" i="65"/>
  <c r="BR14" i="65"/>
  <c r="BB14" i="66"/>
  <c r="BQ10" i="65"/>
  <c r="BP23" i="65"/>
  <c r="BR24" i="65"/>
  <c r="BC13" i="66"/>
  <c r="BR16" i="65"/>
  <c r="BP26" i="65"/>
  <c r="BP21" i="65"/>
  <c r="BC10" i="66"/>
  <c r="AN20" i="66"/>
  <c r="BR23" i="65"/>
  <c r="BA16" i="66"/>
  <c r="G399" i="65" l="1"/>
  <c r="G434" i="65"/>
  <c r="H399" i="65"/>
  <c r="H434" i="65"/>
  <c r="I399" i="65"/>
  <c r="I434" i="65"/>
  <c r="G355" i="65"/>
  <c r="G390" i="65"/>
  <c r="H355" i="65"/>
  <c r="H390" i="65"/>
  <c r="I355" i="65"/>
  <c r="I390" i="65"/>
  <c r="G312" i="65"/>
  <c r="G347" i="65"/>
  <c r="I312" i="65"/>
  <c r="I347" i="65"/>
  <c r="H312" i="65"/>
  <c r="H347" i="65"/>
  <c r="H268" i="65"/>
  <c r="H303" i="65"/>
  <c r="G268" i="65"/>
  <c r="G303" i="65"/>
  <c r="I268" i="65"/>
  <c r="I303" i="65"/>
  <c r="I225" i="65"/>
  <c r="I260" i="65"/>
  <c r="G225" i="65"/>
  <c r="G260" i="65"/>
  <c r="H225" i="65"/>
  <c r="H260" i="65"/>
  <c r="G184" i="65"/>
  <c r="G219" i="65"/>
  <c r="H184" i="65"/>
  <c r="H219" i="65"/>
  <c r="I184" i="65"/>
  <c r="I219" i="65"/>
  <c r="H140" i="65"/>
  <c r="H175" i="65"/>
  <c r="I140" i="65"/>
  <c r="I175" i="65"/>
  <c r="G140" i="65"/>
  <c r="G175" i="65"/>
  <c r="I97" i="65"/>
  <c r="I132" i="65"/>
  <c r="G97" i="65"/>
  <c r="G132" i="65"/>
  <c r="H97" i="65"/>
  <c r="H132" i="65"/>
  <c r="G53" i="65"/>
  <c r="G88" i="65"/>
  <c r="H53" i="65"/>
  <c r="H88" i="65"/>
  <c r="I53" i="65"/>
  <c r="I88" i="65"/>
  <c r="N357" i="65"/>
  <c r="K357" i="65"/>
  <c r="L357" i="65" s="1"/>
  <c r="K146" i="65"/>
  <c r="L146" i="65" s="1"/>
  <c r="N146" i="65"/>
  <c r="N103" i="65"/>
  <c r="K103" i="65"/>
  <c r="L103" i="65" s="1"/>
  <c r="K316" i="65"/>
  <c r="L316" i="65" s="1"/>
  <c r="N316" i="65"/>
  <c r="K402" i="65"/>
  <c r="L402" i="65" s="1"/>
  <c r="N402" i="65"/>
  <c r="K145" i="65"/>
  <c r="L145" i="65" s="1"/>
  <c r="N145" i="65"/>
  <c r="N99" i="65"/>
  <c r="K99" i="65"/>
  <c r="L99" i="65" s="1"/>
  <c r="I222" i="65"/>
  <c r="N55" i="65"/>
  <c r="K55" i="65"/>
  <c r="L55" i="65" s="1"/>
  <c r="K191" i="65"/>
  <c r="L191" i="65" s="1"/>
  <c r="N191" i="65"/>
  <c r="H50" i="65"/>
  <c r="K57" i="65"/>
  <c r="L57" i="65" s="1"/>
  <c r="N57" i="65"/>
  <c r="H265" i="65"/>
  <c r="H269" i="65" s="1"/>
  <c r="G309" i="65"/>
  <c r="N314" i="65"/>
  <c r="K314" i="65"/>
  <c r="L314" i="65" s="1"/>
  <c r="K403" i="65"/>
  <c r="L403" i="65" s="1"/>
  <c r="N403" i="65"/>
  <c r="K144" i="65"/>
  <c r="L144" i="65" s="1"/>
  <c r="N144" i="65"/>
  <c r="I94" i="65"/>
  <c r="G222" i="65"/>
  <c r="K273" i="65"/>
  <c r="L273" i="65" s="1"/>
  <c r="N273" i="65"/>
  <c r="N230" i="65"/>
  <c r="K230" i="65"/>
  <c r="L230" i="65" s="1"/>
  <c r="G396" i="65"/>
  <c r="N359" i="65"/>
  <c r="K359" i="65"/>
  <c r="L359" i="65" s="1"/>
  <c r="N405" i="65"/>
  <c r="K405" i="65"/>
  <c r="L405" i="65" s="1"/>
  <c r="N188" i="65"/>
  <c r="K188" i="65"/>
  <c r="L188" i="65" s="1"/>
  <c r="N100" i="65"/>
  <c r="K100" i="65"/>
  <c r="L100" i="65" s="1"/>
  <c r="H222" i="65"/>
  <c r="K270" i="65"/>
  <c r="L270" i="65" s="1"/>
  <c r="N270" i="65"/>
  <c r="N101" i="65"/>
  <c r="K101" i="65"/>
  <c r="L101" i="65" s="1"/>
  <c r="K231" i="65"/>
  <c r="L231" i="65" s="1"/>
  <c r="N231" i="65"/>
  <c r="N274" i="65"/>
  <c r="K274" i="65"/>
  <c r="L274" i="65" s="1"/>
  <c r="N319" i="65"/>
  <c r="K319" i="65"/>
  <c r="L319" i="65" s="1"/>
  <c r="I50" i="65"/>
  <c r="H309" i="65"/>
  <c r="G137" i="65"/>
  <c r="G352" i="65"/>
  <c r="H396" i="65"/>
  <c r="H181" i="65"/>
  <c r="H137" i="65"/>
  <c r="K360" i="65"/>
  <c r="L360" i="65" s="1"/>
  <c r="N360" i="65"/>
  <c r="N404" i="65"/>
  <c r="K404" i="65"/>
  <c r="L404" i="65" s="1"/>
  <c r="I181" i="65"/>
  <c r="G94" i="65"/>
  <c r="K60" i="65"/>
  <c r="L60" i="65" s="1"/>
  <c r="N60" i="65"/>
  <c r="G265" i="65"/>
  <c r="G269" i="65" s="1"/>
  <c r="K401" i="65"/>
  <c r="L401" i="65" s="1"/>
  <c r="N401" i="65"/>
  <c r="K406" i="65"/>
  <c r="L406" i="65" s="1"/>
  <c r="N406" i="65"/>
  <c r="G181" i="65"/>
  <c r="H352" i="65"/>
  <c r="I396" i="65"/>
  <c r="N186" i="65"/>
  <c r="K186" i="65"/>
  <c r="L186" i="65" s="1"/>
  <c r="K102" i="65"/>
  <c r="L102" i="65" s="1"/>
  <c r="N102" i="65"/>
  <c r="K59" i="65"/>
  <c r="L59" i="65" s="1"/>
  <c r="N59" i="65"/>
  <c r="N272" i="65"/>
  <c r="K272" i="65"/>
  <c r="L272" i="65" s="1"/>
  <c r="K227" i="65"/>
  <c r="L227" i="65" s="1"/>
  <c r="N227" i="65"/>
  <c r="I137" i="65"/>
  <c r="N361" i="65"/>
  <c r="K361" i="65"/>
  <c r="L361" i="65" s="1"/>
  <c r="K315" i="65"/>
  <c r="L315" i="65" s="1"/>
  <c r="N315" i="65"/>
  <c r="I352" i="65"/>
  <c r="N143" i="65"/>
  <c r="K143" i="65"/>
  <c r="L143" i="65" s="1"/>
  <c r="N190" i="65"/>
  <c r="K190" i="65"/>
  <c r="L190" i="65" s="1"/>
  <c r="H94" i="65"/>
  <c r="K58" i="65"/>
  <c r="L58" i="65" s="1"/>
  <c r="N58" i="65"/>
  <c r="I265" i="65"/>
  <c r="I269" i="65" s="1"/>
  <c r="K318" i="65"/>
  <c r="L318" i="65" s="1"/>
  <c r="N318" i="65"/>
  <c r="K232" i="65"/>
  <c r="L232" i="65" s="1"/>
  <c r="N232" i="65"/>
  <c r="I309" i="65"/>
  <c r="N362" i="65"/>
  <c r="K362" i="65"/>
  <c r="L362" i="65" s="1"/>
  <c r="K147" i="65"/>
  <c r="L147" i="65" s="1"/>
  <c r="N147" i="65"/>
  <c r="K189" i="65"/>
  <c r="L189" i="65" s="1"/>
  <c r="N189" i="65"/>
  <c r="N228" i="65"/>
  <c r="K228" i="65"/>
  <c r="L228" i="65" s="1"/>
  <c r="G50" i="65"/>
  <c r="K275" i="65"/>
  <c r="L275" i="65" s="1"/>
  <c r="N275" i="65"/>
  <c r="K104" i="65"/>
  <c r="L104" i="65" s="1"/>
  <c r="N104" i="65"/>
  <c r="K317" i="65"/>
  <c r="L317" i="65" s="1"/>
  <c r="N317" i="65"/>
  <c r="K358" i="65"/>
  <c r="L358" i="65" s="1"/>
  <c r="N358" i="65"/>
  <c r="N142" i="65"/>
  <c r="K142" i="65"/>
  <c r="L142" i="65" s="1"/>
  <c r="K187" i="65"/>
  <c r="L187" i="65" s="1"/>
  <c r="N187" i="65"/>
  <c r="N229" i="65"/>
  <c r="K229" i="65"/>
  <c r="L229" i="65" s="1"/>
  <c r="K56" i="65"/>
  <c r="L56" i="65" s="1"/>
  <c r="N56" i="65"/>
  <c r="K271" i="65"/>
  <c r="L271" i="65" s="1"/>
  <c r="N271" i="65"/>
  <c r="AC19" i="66"/>
  <c r="AC14" i="66"/>
  <c r="AC13" i="66"/>
  <c r="AC15" i="66"/>
  <c r="AC20" i="66"/>
  <c r="V22" i="65"/>
  <c r="U26" i="65"/>
  <c r="T20" i="65"/>
  <c r="U23" i="65"/>
  <c r="T24" i="65"/>
  <c r="T26" i="65"/>
  <c r="T16" i="65"/>
  <c r="V13" i="65"/>
  <c r="V16" i="65"/>
  <c r="U15" i="65"/>
  <c r="V26" i="65"/>
  <c r="T13" i="65"/>
  <c r="V20" i="65"/>
  <c r="U22" i="65"/>
  <c r="U19" i="65"/>
  <c r="U27" i="65"/>
  <c r="T17" i="65"/>
  <c r="U21" i="65"/>
  <c r="T21" i="65"/>
  <c r="V24" i="65"/>
  <c r="U13" i="65"/>
  <c r="V17" i="65"/>
  <c r="U17" i="65"/>
  <c r="T14" i="65"/>
  <c r="V25" i="65"/>
  <c r="T25" i="65"/>
  <c r="V21" i="65"/>
  <c r="T15" i="65"/>
  <c r="V15" i="65"/>
  <c r="U25" i="65"/>
  <c r="T19" i="65"/>
  <c r="V19" i="65"/>
  <c r="T22" i="65"/>
  <c r="T18" i="65"/>
  <c r="U18" i="65"/>
  <c r="T23" i="65"/>
  <c r="V23" i="65"/>
  <c r="U16" i="65"/>
  <c r="V14" i="65"/>
  <c r="T27" i="65"/>
  <c r="V27" i="65"/>
  <c r="U20" i="65"/>
  <c r="U14" i="65"/>
  <c r="V18" i="65"/>
  <c r="U24" i="65"/>
  <c r="V12" i="65"/>
  <c r="U12" i="65"/>
  <c r="AW9" i="66"/>
  <c r="AV9" i="66"/>
  <c r="AU9" i="66"/>
  <c r="AT9" i="66"/>
  <c r="AS9" i="66"/>
  <c r="AR9" i="66"/>
  <c r="AQ9" i="66"/>
  <c r="AP9" i="66"/>
  <c r="AO9" i="66"/>
  <c r="AM9" i="66"/>
  <c r="AL9" i="66"/>
  <c r="AK9" i="66"/>
  <c r="AJ9" i="66"/>
  <c r="AI9" i="66"/>
  <c r="BB9" i="65"/>
  <c r="BA9" i="65"/>
  <c r="AZ9" i="65"/>
  <c r="AX9" i="65"/>
  <c r="AW9" i="65"/>
  <c r="AV9" i="65"/>
  <c r="AU9" i="65"/>
  <c r="AT9" i="65"/>
  <c r="AS9" i="65"/>
  <c r="AR9" i="65"/>
  <c r="AQ9" i="65"/>
  <c r="AP9" i="65"/>
  <c r="AO9" i="65"/>
  <c r="AN9" i="65"/>
  <c r="BS19" i="65"/>
  <c r="BT25" i="65"/>
  <c r="AU26" i="65"/>
  <c r="AP16" i="65"/>
  <c r="AS27" i="65"/>
  <c r="BT18" i="65"/>
  <c r="AN18" i="66"/>
  <c r="AT29" i="65"/>
  <c r="BV18" i="65"/>
  <c r="AX16" i="65"/>
  <c r="BC24" i="65"/>
  <c r="BT12" i="65"/>
  <c r="BT16" i="65"/>
  <c r="AJ12" i="66"/>
  <c r="BV12" i="65"/>
  <c r="AZ17" i="66"/>
  <c r="BP12" i="65"/>
  <c r="BY21" i="65"/>
  <c r="AN12" i="66"/>
  <c r="BO23" i="65"/>
  <c r="BT21" i="65"/>
  <c r="AO13" i="66"/>
  <c r="BZ25" i="65"/>
  <c r="AS29" i="65"/>
  <c r="BB27" i="65"/>
  <c r="BH13" i="66"/>
  <c r="BV13" i="65"/>
  <c r="AW29" i="65"/>
  <c r="BS24" i="65"/>
  <c r="BV16" i="65"/>
  <c r="AZ14" i="66"/>
  <c r="BO21" i="65"/>
  <c r="BY16" i="65"/>
  <c r="BS14" i="65"/>
  <c r="BY10" i="65"/>
  <c r="AZ30" i="65"/>
  <c r="BU16" i="65"/>
  <c r="AW20" i="66"/>
  <c r="BC19" i="65"/>
  <c r="AZ26" i="65"/>
  <c r="BB26" i="65"/>
  <c r="AP30" i="65"/>
  <c r="BF10" i="66"/>
  <c r="BH16" i="66"/>
  <c r="AZ31" i="65"/>
  <c r="AO16" i="65"/>
  <c r="BI19" i="66"/>
  <c r="AS31" i="65"/>
  <c r="AO12" i="66"/>
  <c r="AT13" i="65"/>
  <c r="AP22" i="65"/>
  <c r="BU26" i="65"/>
  <c r="AN27" i="65"/>
  <c r="AO26" i="65"/>
  <c r="AU28" i="65"/>
  <c r="AO16" i="66"/>
  <c r="AV10" i="66"/>
  <c r="BB28" i="65"/>
  <c r="AJ14" i="66"/>
  <c r="AX13" i="65"/>
  <c r="AL17" i="66"/>
  <c r="AS14" i="65"/>
  <c r="BA27" i="65"/>
  <c r="AX30" i="65"/>
  <c r="BI13" i="66"/>
  <c r="AX10" i="66"/>
  <c r="AO20" i="66"/>
  <c r="BY15" i="65"/>
  <c r="AX19" i="66"/>
  <c r="BI15" i="66"/>
  <c r="BZ14" i="65"/>
  <c r="AM15" i="66"/>
  <c r="BO13" i="65"/>
  <c r="BH14" i="66"/>
  <c r="BI16" i="66"/>
  <c r="BS18" i="65"/>
  <c r="AX15" i="65"/>
  <c r="AP29" i="65"/>
  <c r="AV21" i="66"/>
  <c r="AU29" i="65"/>
  <c r="BA16" i="65"/>
  <c r="AX31" i="65"/>
  <c r="AW20" i="65"/>
  <c r="BC14" i="65"/>
  <c r="BV21" i="65"/>
  <c r="BC22" i="65"/>
  <c r="BA31" i="65"/>
  <c r="BI17" i="66"/>
  <c r="BP10" i="65"/>
  <c r="AP27" i="65"/>
  <c r="BS22" i="65"/>
  <c r="AX17" i="66"/>
  <c r="AZ27" i="65"/>
  <c r="AM17" i="66"/>
  <c r="BO24" i="65"/>
  <c r="AS18" i="65"/>
  <c r="BC23" i="65"/>
  <c r="AP14" i="65"/>
  <c r="BB16" i="65"/>
  <c r="AX16" i="66"/>
  <c r="BU20" i="65"/>
  <c r="BC27" i="65"/>
  <c r="AN31" i="65"/>
  <c r="BT15" i="65"/>
  <c r="AU20" i="65"/>
  <c r="AT21" i="66"/>
  <c r="AR26" i="65"/>
  <c r="BC18" i="65"/>
  <c r="AQ17" i="65"/>
  <c r="BA26" i="65"/>
  <c r="BH18" i="66"/>
  <c r="AL16" i="66"/>
  <c r="AR17" i="66"/>
  <c r="BO15" i="65"/>
  <c r="BV17" i="65"/>
  <c r="AY18" i="66"/>
  <c r="BU21" i="65"/>
  <c r="BG10" i="66"/>
  <c r="AM14" i="66"/>
  <c r="AN16" i="66"/>
  <c r="BI14" i="66"/>
  <c r="AS21" i="66"/>
  <c r="AZ15" i="66"/>
  <c r="AO27" i="65"/>
  <c r="BZ10" i="65"/>
  <c r="AI20" i="66"/>
  <c r="AZ18" i="66"/>
  <c r="AU20" i="66"/>
  <c r="AS20" i="66"/>
  <c r="BY19" i="65"/>
  <c r="BU19" i="65"/>
  <c r="BY17" i="65"/>
  <c r="BU10" i="65"/>
  <c r="BV15" i="65"/>
  <c r="AQ26" i="65"/>
  <c r="AQ28" i="65"/>
  <c r="BZ23" i="65"/>
  <c r="BZ19" i="65"/>
  <c r="AN30" i="65"/>
  <c r="BO20" i="65"/>
  <c r="BH17" i="66"/>
  <c r="AP26" i="65"/>
  <c r="AJ21" i="66"/>
  <c r="AZ16" i="66"/>
  <c r="BC25" i="65"/>
  <c r="AR28" i="65"/>
  <c r="BA14" i="65"/>
  <c r="AO31" i="65"/>
  <c r="BV22" i="65"/>
  <c r="BV23" i="65"/>
  <c r="AS18" i="66"/>
  <c r="AL20" i="66"/>
  <c r="AS10" i="66"/>
  <c r="BU25" i="65"/>
  <c r="BT24" i="65"/>
  <c r="BO19" i="65"/>
  <c r="BV20" i="65"/>
  <c r="BY25" i="65"/>
  <c r="BU23" i="65"/>
  <c r="AT18" i="65"/>
  <c r="AZ13" i="66"/>
  <c r="BY18" i="65"/>
  <c r="BE10" i="66"/>
  <c r="BD10" i="66"/>
  <c r="BC20" i="65"/>
  <c r="BN10" i="65"/>
  <c r="BH10" i="66"/>
  <c r="AX18" i="66"/>
  <c r="BO10" i="65"/>
  <c r="AR13" i="65"/>
  <c r="BZ24" i="65"/>
  <c r="BY12" i="65"/>
  <c r="BC12" i="65"/>
  <c r="BU17" i="65"/>
  <c r="AU10" i="66"/>
  <c r="BT13" i="65"/>
  <c r="AX14" i="66"/>
  <c r="BB13" i="65"/>
  <c r="BY24" i="65"/>
  <c r="BY20" i="65"/>
  <c r="AU19" i="65"/>
  <c r="BT14" i="65"/>
  <c r="BO12" i="65"/>
  <c r="BS26" i="65"/>
  <c r="AY26" i="65"/>
  <c r="AY15" i="66"/>
  <c r="BU12" i="65"/>
  <c r="AI10" i="66"/>
  <c r="BA30" i="65"/>
  <c r="AX23" i="65"/>
  <c r="AO30" i="65"/>
  <c r="AM21" i="66"/>
  <c r="AR27" i="65"/>
  <c r="AZ10" i="66"/>
  <c r="BZ17" i="65"/>
  <c r="BI12" i="66"/>
  <c r="BT27" i="65"/>
  <c r="AW13" i="66"/>
  <c r="BY14" i="65"/>
  <c r="AY13" i="66"/>
  <c r="BU15" i="65"/>
  <c r="AU31" i="65"/>
  <c r="BO22" i="65"/>
  <c r="AO14" i="66"/>
  <c r="AP20" i="66"/>
  <c r="BT26" i="65"/>
  <c r="BY27" i="65"/>
  <c r="BS12" i="65"/>
  <c r="BO14" i="65"/>
  <c r="BV26" i="65"/>
  <c r="BU24" i="65"/>
  <c r="AP15" i="65"/>
  <c r="AQ29" i="65"/>
  <c r="BV10" i="65"/>
  <c r="BA22" i="65"/>
  <c r="BV14" i="65"/>
  <c r="AR29" i="65"/>
  <c r="BZ22" i="65"/>
  <c r="AI21" i="66"/>
  <c r="AY12" i="66"/>
  <c r="AX18" i="65"/>
  <c r="BZ20" i="65"/>
  <c r="AT30" i="65"/>
  <c r="BV27" i="65"/>
  <c r="BO26" i="65"/>
  <c r="AU27" i="65"/>
  <c r="BZ15" i="65"/>
  <c r="AS12" i="65"/>
  <c r="AO28" i="65"/>
  <c r="AK20" i="66"/>
  <c r="AR23" i="65"/>
  <c r="BC17" i="65"/>
  <c r="BC21" i="65"/>
  <c r="AT26" i="65"/>
  <c r="BA12" i="66"/>
  <c r="AM18" i="66"/>
  <c r="AN29" i="65"/>
  <c r="AT24" i="65"/>
  <c r="AP31" i="65"/>
  <c r="BA15" i="65"/>
  <c r="BC10" i="65"/>
  <c r="AK21" i="66"/>
  <c r="AR12" i="65"/>
  <c r="AT20" i="66"/>
  <c r="AT27" i="65"/>
  <c r="AR31" i="65"/>
  <c r="BS20" i="65"/>
  <c r="BY22" i="65"/>
  <c r="BH12" i="66"/>
  <c r="AX13" i="66"/>
  <c r="AL12" i="66"/>
  <c r="BS27" i="65"/>
  <c r="BZ26" i="65"/>
  <c r="AQ31" i="65"/>
  <c r="AN28" i="65"/>
  <c r="AT28" i="65"/>
  <c r="BV25" i="65"/>
  <c r="BZ27" i="65"/>
  <c r="BU13" i="65"/>
  <c r="BA10" i="66"/>
  <c r="AQ10" i="65"/>
  <c r="AT31" i="65"/>
  <c r="BS21" i="65"/>
  <c r="BA29" i="65"/>
  <c r="AZ29" i="65"/>
  <c r="BC15" i="65"/>
  <c r="BB31" i="65"/>
  <c r="AQ21" i="66"/>
  <c r="AJ20" i="66"/>
  <c r="AZ28" i="65"/>
  <c r="BS15" i="65"/>
  <c r="BU27" i="65"/>
  <c r="AO22" i="65"/>
  <c r="BY23" i="65"/>
  <c r="BV24" i="65"/>
  <c r="AX12" i="66"/>
  <c r="AN17" i="66"/>
  <c r="BO25" i="65"/>
  <c r="AQ23" i="65"/>
  <c r="AM20" i="66"/>
  <c r="AY16" i="66"/>
  <c r="BV19" i="65"/>
  <c r="BH15" i="66"/>
  <c r="AY27" i="65"/>
  <c r="AQ12" i="65"/>
  <c r="AO21" i="66"/>
  <c r="AQ27" i="65"/>
  <c r="AX28" i="65"/>
  <c r="BU18" i="65"/>
  <c r="BT17" i="65"/>
  <c r="AM19" i="66"/>
  <c r="AW21" i="66"/>
  <c r="AS26" i="65"/>
  <c r="BI10" i="66"/>
  <c r="BO17" i="65"/>
  <c r="BT19" i="65"/>
  <c r="BT22" i="65"/>
  <c r="BH19" i="66"/>
  <c r="BT20" i="65"/>
  <c r="BZ16" i="65"/>
  <c r="AX15" i="66"/>
  <c r="BC26" i="65"/>
  <c r="BS16" i="65"/>
  <c r="AP28" i="65"/>
  <c r="BU14" i="65"/>
  <c r="AZ12" i="66"/>
  <c r="BO18" i="65"/>
  <c r="AM16" i="66"/>
  <c r="BO16" i="65"/>
  <c r="BU22" i="65"/>
  <c r="AT12" i="65"/>
  <c r="AU25" i="65"/>
  <c r="BT10" i="65"/>
  <c r="AV20" i="66"/>
  <c r="AU10" i="65"/>
  <c r="AV15" i="66"/>
  <c r="AY14" i="66"/>
  <c r="BC16" i="65"/>
  <c r="BZ13" i="65"/>
  <c r="BZ12" i="65"/>
  <c r="BA28" i="65"/>
  <c r="BS17" i="65"/>
  <c r="BS23" i="65"/>
  <c r="BS13" i="65"/>
  <c r="BI18" i="66"/>
  <c r="AX22" i="65"/>
  <c r="BZ18" i="65"/>
  <c r="BO27" i="65"/>
  <c r="BC13" i="65"/>
  <c r="AY17" i="66"/>
  <c r="AU30" i="65"/>
  <c r="AY19" i="66"/>
  <c r="BY13" i="65"/>
  <c r="BY26" i="65"/>
  <c r="BS10" i="65"/>
  <c r="AZ19" i="66"/>
  <c r="AY10" i="66"/>
  <c r="AM13" i="66"/>
  <c r="AO15" i="66"/>
  <c r="AP13" i="65"/>
  <c r="BS25" i="65"/>
  <c r="AN21" i="66"/>
  <c r="BT23" i="65"/>
  <c r="AU21" i="66"/>
  <c r="AB30" i="65" l="1"/>
  <c r="AB28" i="65"/>
  <c r="AB31" i="65"/>
  <c r="AB29" i="65"/>
  <c r="AB27" i="65"/>
  <c r="AC12" i="66"/>
  <c r="AC18" i="66"/>
  <c r="AC17" i="66"/>
  <c r="AC16" i="66"/>
  <c r="AC21" i="66"/>
  <c r="G77" i="65"/>
  <c r="G58" i="65"/>
  <c r="G76" i="65"/>
  <c r="G59" i="65"/>
  <c r="G74" i="65"/>
  <c r="G60" i="65"/>
  <c r="G57" i="65"/>
  <c r="G55" i="65"/>
  <c r="G70" i="65"/>
  <c r="G73" i="65"/>
  <c r="G75" i="65"/>
  <c r="G56" i="65"/>
  <c r="G54" i="65"/>
  <c r="G71" i="65"/>
  <c r="G78" i="65"/>
  <c r="G83" i="65"/>
  <c r="G63" i="65"/>
  <c r="G72" i="65"/>
  <c r="G80" i="65"/>
  <c r="G82" i="65"/>
  <c r="G61" i="65"/>
  <c r="G69" i="65"/>
  <c r="G66" i="65"/>
  <c r="G62" i="65"/>
  <c r="G67" i="65"/>
  <c r="G68" i="65"/>
  <c r="G84" i="65"/>
  <c r="G79" i="65"/>
  <c r="G194" i="65"/>
  <c r="G208" i="65"/>
  <c r="G197" i="65"/>
  <c r="G209" i="65"/>
  <c r="G185" i="65"/>
  <c r="G199" i="65"/>
  <c r="G214" i="65"/>
  <c r="G186" i="65"/>
  <c r="G200" i="65"/>
  <c r="G211" i="65"/>
  <c r="G187" i="65"/>
  <c r="G201" i="65"/>
  <c r="G215" i="65"/>
  <c r="G190" i="65"/>
  <c r="G191" i="65"/>
  <c r="G188" i="65"/>
  <c r="G202" i="65"/>
  <c r="G213" i="65"/>
  <c r="G205" i="65"/>
  <c r="G210" i="65"/>
  <c r="G189" i="65"/>
  <c r="G203" i="65"/>
  <c r="G204" i="65"/>
  <c r="G198" i="65"/>
  <c r="G192" i="65"/>
  <c r="G206" i="65"/>
  <c r="G193" i="65"/>
  <c r="G207" i="65"/>
  <c r="H142" i="65"/>
  <c r="H155" i="65"/>
  <c r="H171" i="65"/>
  <c r="H144" i="65"/>
  <c r="H167" i="65"/>
  <c r="H159" i="65"/>
  <c r="H141" i="65"/>
  <c r="H156" i="65"/>
  <c r="H166" i="65"/>
  <c r="H158" i="65"/>
  <c r="H148" i="65"/>
  <c r="H163" i="65"/>
  <c r="H150" i="65"/>
  <c r="H143" i="65"/>
  <c r="H157" i="65"/>
  <c r="H169" i="65"/>
  <c r="H145" i="65"/>
  <c r="H162" i="65"/>
  <c r="H164" i="65"/>
  <c r="H165" i="65"/>
  <c r="H170" i="65"/>
  <c r="H146" i="65"/>
  <c r="H160" i="65"/>
  <c r="H147" i="65"/>
  <c r="H161" i="65"/>
  <c r="H149" i="65"/>
  <c r="H153" i="65"/>
  <c r="H154" i="65"/>
  <c r="I325" i="65"/>
  <c r="I337" i="65"/>
  <c r="I313" i="65"/>
  <c r="I338" i="65"/>
  <c r="I343" i="65"/>
  <c r="I333" i="65"/>
  <c r="I335" i="65"/>
  <c r="I326" i="65"/>
  <c r="I339" i="65"/>
  <c r="I327" i="65"/>
  <c r="I315" i="65"/>
  <c r="I329" i="65"/>
  <c r="I318" i="65"/>
  <c r="I334" i="65"/>
  <c r="I321" i="65"/>
  <c r="I314" i="65"/>
  <c r="I328" i="65"/>
  <c r="I342" i="65"/>
  <c r="I332" i="65"/>
  <c r="I319" i="65"/>
  <c r="I320" i="65"/>
  <c r="I336" i="65"/>
  <c r="I316" i="65"/>
  <c r="I330" i="65"/>
  <c r="I341" i="65"/>
  <c r="I317" i="65"/>
  <c r="I331" i="65"/>
  <c r="I322" i="65"/>
  <c r="G153" i="65"/>
  <c r="G155" i="65"/>
  <c r="G157" i="65"/>
  <c r="G160" i="65"/>
  <c r="G162" i="65"/>
  <c r="G148" i="65"/>
  <c r="G166" i="65"/>
  <c r="G149" i="65"/>
  <c r="G169" i="65"/>
  <c r="G167" i="65"/>
  <c r="G158" i="65"/>
  <c r="G142" i="65"/>
  <c r="G154" i="65"/>
  <c r="G145" i="65"/>
  <c r="G163" i="65"/>
  <c r="G146" i="65"/>
  <c r="G164" i="65"/>
  <c r="G147" i="65"/>
  <c r="G171" i="65"/>
  <c r="G150" i="65"/>
  <c r="G161" i="65"/>
  <c r="G144" i="65"/>
  <c r="G159" i="65"/>
  <c r="G143" i="65"/>
  <c r="G170" i="65"/>
  <c r="G156" i="65"/>
  <c r="G141" i="65"/>
  <c r="G165" i="65"/>
  <c r="G315" i="65"/>
  <c r="G329" i="65"/>
  <c r="G341" i="65"/>
  <c r="G331" i="65"/>
  <c r="G333" i="65"/>
  <c r="G336" i="65"/>
  <c r="G325" i="65"/>
  <c r="G337" i="65"/>
  <c r="G326" i="65"/>
  <c r="G342" i="65"/>
  <c r="G313" i="65"/>
  <c r="G314" i="65"/>
  <c r="G343" i="65"/>
  <c r="G316" i="65"/>
  <c r="G330" i="65"/>
  <c r="G338" i="65"/>
  <c r="G317" i="65"/>
  <c r="G319" i="65"/>
  <c r="G322" i="65"/>
  <c r="G327" i="65"/>
  <c r="G328" i="65"/>
  <c r="G318" i="65"/>
  <c r="G332" i="65"/>
  <c r="G339" i="65"/>
  <c r="G320" i="65"/>
  <c r="G334" i="65"/>
  <c r="G321" i="65"/>
  <c r="G335" i="65"/>
  <c r="H190" i="65"/>
  <c r="H208" i="65"/>
  <c r="H214" i="65"/>
  <c r="H209" i="65"/>
  <c r="H186" i="65"/>
  <c r="H185" i="65"/>
  <c r="H202" i="65"/>
  <c r="H193" i="65"/>
  <c r="H206" i="65"/>
  <c r="H192" i="65"/>
  <c r="H203" i="65"/>
  <c r="H187" i="65"/>
  <c r="H199" i="65"/>
  <c r="H211" i="65"/>
  <c r="H189" i="65"/>
  <c r="H210" i="65"/>
  <c r="H191" i="65"/>
  <c r="H204" i="65"/>
  <c r="H194" i="65"/>
  <c r="H200" i="65"/>
  <c r="H197" i="65"/>
  <c r="H207" i="65"/>
  <c r="H198" i="65"/>
  <c r="H205" i="65"/>
  <c r="H201" i="65"/>
  <c r="H188" i="65"/>
  <c r="H213" i="65"/>
  <c r="H215" i="65"/>
  <c r="H315" i="65"/>
  <c r="H338" i="65"/>
  <c r="H321" i="65"/>
  <c r="H337" i="65"/>
  <c r="H334" i="65"/>
  <c r="H333" i="65"/>
  <c r="H320" i="65"/>
  <c r="H322" i="65"/>
  <c r="H332" i="65"/>
  <c r="H326" i="65"/>
  <c r="H318" i="65"/>
  <c r="H327" i="65"/>
  <c r="H341" i="65"/>
  <c r="H325" i="65"/>
  <c r="H330" i="65"/>
  <c r="H319" i="65"/>
  <c r="H316" i="65"/>
  <c r="H313" i="65"/>
  <c r="H342" i="65"/>
  <c r="H339" i="65"/>
  <c r="H336" i="65"/>
  <c r="H335" i="65"/>
  <c r="H343" i="65"/>
  <c r="H331" i="65"/>
  <c r="H314" i="65"/>
  <c r="H317" i="65"/>
  <c r="H328" i="65"/>
  <c r="H329" i="65"/>
  <c r="G231" i="65"/>
  <c r="G246" i="65"/>
  <c r="G245" i="65"/>
  <c r="G247" i="65"/>
  <c r="G252" i="65"/>
  <c r="G227" i="65"/>
  <c r="G232" i="65"/>
  <c r="G241" i="65"/>
  <c r="G254" i="65"/>
  <c r="G243" i="65"/>
  <c r="G250" i="65"/>
  <c r="G228" i="65"/>
  <c r="G242" i="65"/>
  <c r="G234" i="65"/>
  <c r="G251" i="65"/>
  <c r="G255" i="65"/>
  <c r="G229" i="65"/>
  <c r="G248" i="65"/>
  <c r="G249" i="65"/>
  <c r="G230" i="65"/>
  <c r="G226" i="65"/>
  <c r="G235" i="65"/>
  <c r="G233" i="65"/>
  <c r="G256" i="65"/>
  <c r="G239" i="65"/>
  <c r="G244" i="65"/>
  <c r="G240" i="65"/>
  <c r="G238" i="65"/>
  <c r="H112" i="65"/>
  <c r="H116" i="65"/>
  <c r="H99" i="65"/>
  <c r="H113" i="65"/>
  <c r="H105" i="65"/>
  <c r="H114" i="65"/>
  <c r="H115" i="65"/>
  <c r="H119" i="65"/>
  <c r="H107" i="65"/>
  <c r="H102" i="65"/>
  <c r="H111" i="65"/>
  <c r="H126" i="65"/>
  <c r="H98" i="65"/>
  <c r="H100" i="65"/>
  <c r="H103" i="65"/>
  <c r="H121" i="65"/>
  <c r="H124" i="65"/>
  <c r="H117" i="65"/>
  <c r="H101" i="65"/>
  <c r="H122" i="65"/>
  <c r="H110" i="65"/>
  <c r="H104" i="65"/>
  <c r="H118" i="65"/>
  <c r="H106" i="65"/>
  <c r="H128" i="65"/>
  <c r="H123" i="65"/>
  <c r="H120" i="65"/>
  <c r="H127" i="65"/>
  <c r="I188" i="65"/>
  <c r="I202" i="65"/>
  <c r="I215" i="65"/>
  <c r="I189" i="65"/>
  <c r="I203" i="65"/>
  <c r="I204" i="65"/>
  <c r="I191" i="65"/>
  <c r="I205" i="65"/>
  <c r="I192" i="65"/>
  <c r="I206" i="65"/>
  <c r="I190" i="65"/>
  <c r="I193" i="65"/>
  <c r="I207" i="65"/>
  <c r="I186" i="65"/>
  <c r="I194" i="65"/>
  <c r="I208" i="65"/>
  <c r="I198" i="65"/>
  <c r="I199" i="65"/>
  <c r="I197" i="65"/>
  <c r="I209" i="65"/>
  <c r="I213" i="65"/>
  <c r="I210" i="65"/>
  <c r="I185" i="65"/>
  <c r="I200" i="65"/>
  <c r="I214" i="65"/>
  <c r="I187" i="65"/>
  <c r="I201" i="65"/>
  <c r="I211" i="65"/>
  <c r="I142" i="65"/>
  <c r="I156" i="65"/>
  <c r="I171" i="65"/>
  <c r="I145" i="65"/>
  <c r="I160" i="65"/>
  <c r="I162" i="65"/>
  <c r="I143" i="65"/>
  <c r="I157" i="65"/>
  <c r="I169" i="65"/>
  <c r="I163" i="65"/>
  <c r="I164" i="65"/>
  <c r="I165" i="65"/>
  <c r="I144" i="65"/>
  <c r="I158" i="65"/>
  <c r="I166" i="65"/>
  <c r="I159" i="65"/>
  <c r="I146" i="65"/>
  <c r="I149" i="65"/>
  <c r="I153" i="65"/>
  <c r="I170" i="65"/>
  <c r="I155" i="65"/>
  <c r="I167" i="65"/>
  <c r="I147" i="65"/>
  <c r="I161" i="65"/>
  <c r="I148" i="65"/>
  <c r="I150" i="65"/>
  <c r="I154" i="65"/>
  <c r="I141" i="65"/>
  <c r="I406" i="65"/>
  <c r="I424" i="65"/>
  <c r="I428" i="65"/>
  <c r="I401" i="65"/>
  <c r="I412" i="65"/>
  <c r="I416" i="65"/>
  <c r="I423" i="65"/>
  <c r="I426" i="65"/>
  <c r="I403" i="65"/>
  <c r="I417" i="65"/>
  <c r="I405" i="65"/>
  <c r="I413" i="65"/>
  <c r="I415" i="65"/>
  <c r="I425" i="65"/>
  <c r="I430" i="65"/>
  <c r="I422" i="65"/>
  <c r="I421" i="65"/>
  <c r="I407" i="65"/>
  <c r="I408" i="65"/>
  <c r="I409" i="65"/>
  <c r="I429" i="65"/>
  <c r="I414" i="65"/>
  <c r="I419" i="65"/>
  <c r="I420" i="65"/>
  <c r="I402" i="65"/>
  <c r="I418" i="65"/>
  <c r="I404" i="65"/>
  <c r="I400" i="65"/>
  <c r="G105" i="65"/>
  <c r="G117" i="65"/>
  <c r="G98" i="65"/>
  <c r="G111" i="65"/>
  <c r="G116" i="65"/>
  <c r="G120" i="65"/>
  <c r="G119" i="65"/>
  <c r="G126" i="65"/>
  <c r="G99" i="65"/>
  <c r="G106" i="65"/>
  <c r="G123" i="65"/>
  <c r="G121" i="65"/>
  <c r="G128" i="65"/>
  <c r="G107" i="65"/>
  <c r="G124" i="65"/>
  <c r="G103" i="65"/>
  <c r="G101" i="65"/>
  <c r="G104" i="65"/>
  <c r="G127" i="65"/>
  <c r="G122" i="65"/>
  <c r="G115" i="65"/>
  <c r="G114" i="65"/>
  <c r="G100" i="65"/>
  <c r="G110" i="65"/>
  <c r="G118" i="65"/>
  <c r="G112" i="65"/>
  <c r="G113" i="65"/>
  <c r="G102" i="65"/>
  <c r="I275" i="65"/>
  <c r="I274" i="65"/>
  <c r="I299" i="65"/>
  <c r="I276" i="65"/>
  <c r="I287" i="65"/>
  <c r="I298" i="65"/>
  <c r="I292" i="65"/>
  <c r="I285" i="65"/>
  <c r="I284" i="65"/>
  <c r="I278" i="65"/>
  <c r="I271" i="65"/>
  <c r="I282" i="65"/>
  <c r="I286" i="65"/>
  <c r="I290" i="65"/>
  <c r="I270" i="65"/>
  <c r="I291" i="65"/>
  <c r="I288" i="65"/>
  <c r="I277" i="65"/>
  <c r="I293" i="65"/>
  <c r="I281" i="65"/>
  <c r="I294" i="65"/>
  <c r="I289" i="65"/>
  <c r="I283" i="65"/>
  <c r="I295" i="65"/>
  <c r="I273" i="65"/>
  <c r="I297" i="65"/>
  <c r="I272" i="65"/>
  <c r="H400" i="65"/>
  <c r="H402" i="65"/>
  <c r="H416" i="65"/>
  <c r="H429" i="65"/>
  <c r="H419" i="65"/>
  <c r="H420" i="65"/>
  <c r="H408" i="65"/>
  <c r="H423" i="65"/>
  <c r="H412" i="65"/>
  <c r="H424" i="65"/>
  <c r="H403" i="65"/>
  <c r="H417" i="65"/>
  <c r="H426" i="65"/>
  <c r="H406" i="65"/>
  <c r="H422" i="65"/>
  <c r="H428" i="65"/>
  <c r="H430" i="65"/>
  <c r="H401" i="65"/>
  <c r="H404" i="65"/>
  <c r="H418" i="65"/>
  <c r="H405" i="65"/>
  <c r="H414" i="65"/>
  <c r="H415" i="65"/>
  <c r="H425" i="65"/>
  <c r="H407" i="65"/>
  <c r="H421" i="65"/>
  <c r="H409" i="65"/>
  <c r="H413" i="65"/>
  <c r="I106" i="65"/>
  <c r="I116" i="65"/>
  <c r="I98" i="65"/>
  <c r="I115" i="65"/>
  <c r="I117" i="65"/>
  <c r="I122" i="65"/>
  <c r="I120" i="65"/>
  <c r="I110" i="65"/>
  <c r="I102" i="65"/>
  <c r="I127" i="65"/>
  <c r="I111" i="65"/>
  <c r="I105" i="65"/>
  <c r="I107" i="65"/>
  <c r="I121" i="65"/>
  <c r="I101" i="65"/>
  <c r="I113" i="65"/>
  <c r="I99" i="65"/>
  <c r="I128" i="65"/>
  <c r="I123" i="65"/>
  <c r="I104" i="65"/>
  <c r="I119" i="65"/>
  <c r="I114" i="65"/>
  <c r="I112" i="65"/>
  <c r="I118" i="65"/>
  <c r="I100" i="65"/>
  <c r="I103" i="65"/>
  <c r="I126" i="65"/>
  <c r="I124" i="65"/>
  <c r="H79" i="65"/>
  <c r="H57" i="65"/>
  <c r="H84" i="65"/>
  <c r="H60" i="65"/>
  <c r="H82" i="65"/>
  <c r="H63" i="65"/>
  <c r="H67" i="65"/>
  <c r="H78" i="65"/>
  <c r="H59" i="65"/>
  <c r="H71" i="65"/>
  <c r="H62" i="65"/>
  <c r="H74" i="65"/>
  <c r="H69" i="65"/>
  <c r="H75" i="65"/>
  <c r="H68" i="65"/>
  <c r="H56" i="65"/>
  <c r="H76" i="65"/>
  <c r="H54" i="65"/>
  <c r="H77" i="65"/>
  <c r="H83" i="65"/>
  <c r="H66" i="65"/>
  <c r="H72" i="65"/>
  <c r="H61" i="65"/>
  <c r="H55" i="65"/>
  <c r="H73" i="65"/>
  <c r="H58" i="65"/>
  <c r="H70" i="65"/>
  <c r="H80" i="65"/>
  <c r="I358" i="65"/>
  <c r="I375" i="65"/>
  <c r="I362" i="65"/>
  <c r="I373" i="65"/>
  <c r="I378" i="65"/>
  <c r="I371" i="65"/>
  <c r="I361" i="65"/>
  <c r="I360" i="65"/>
  <c r="I380" i="65"/>
  <c r="I379" i="65"/>
  <c r="I364" i="65"/>
  <c r="I376" i="65"/>
  <c r="I369" i="65"/>
  <c r="I357" i="65"/>
  <c r="I377" i="65"/>
  <c r="I368" i="65"/>
  <c r="I374" i="65"/>
  <c r="I356" i="65"/>
  <c r="I365" i="65"/>
  <c r="I359" i="65"/>
  <c r="I370" i="65"/>
  <c r="I381" i="65"/>
  <c r="I386" i="65"/>
  <c r="I382" i="65"/>
  <c r="I363" i="65"/>
  <c r="I372" i="65"/>
  <c r="I385" i="65"/>
  <c r="I384" i="65"/>
  <c r="G270" i="65"/>
  <c r="G282" i="65"/>
  <c r="G297" i="65"/>
  <c r="G277" i="65"/>
  <c r="G291" i="65"/>
  <c r="G293" i="65"/>
  <c r="G271" i="65"/>
  <c r="G285" i="65"/>
  <c r="G295" i="65"/>
  <c r="G299" i="65"/>
  <c r="G275" i="65"/>
  <c r="G290" i="65"/>
  <c r="G278" i="65"/>
  <c r="G292" i="65"/>
  <c r="G284" i="65"/>
  <c r="G294" i="65"/>
  <c r="G286" i="65"/>
  <c r="G283" i="65"/>
  <c r="G273" i="65"/>
  <c r="G288" i="65"/>
  <c r="G276" i="65"/>
  <c r="G298" i="65"/>
  <c r="G289" i="65"/>
  <c r="G287" i="65"/>
  <c r="G272" i="65"/>
  <c r="G281" i="65"/>
  <c r="G274" i="65"/>
  <c r="H270" i="65"/>
  <c r="H284" i="65"/>
  <c r="H298" i="65"/>
  <c r="H287" i="65"/>
  <c r="H276" i="65"/>
  <c r="H277" i="65"/>
  <c r="H297" i="65"/>
  <c r="H283" i="65"/>
  <c r="H271" i="65"/>
  <c r="H285" i="65"/>
  <c r="H295" i="65"/>
  <c r="H274" i="65"/>
  <c r="H272" i="65"/>
  <c r="H286" i="65"/>
  <c r="H299" i="65"/>
  <c r="H273" i="65"/>
  <c r="H288" i="65"/>
  <c r="H290" i="65"/>
  <c r="H291" i="65"/>
  <c r="H278" i="65"/>
  <c r="H292" i="65"/>
  <c r="H282" i="65"/>
  <c r="H294" i="65"/>
  <c r="H275" i="65"/>
  <c r="H289" i="65"/>
  <c r="H281" i="65"/>
  <c r="H293" i="65"/>
  <c r="I252" i="65"/>
  <c r="I250" i="65"/>
  <c r="I256" i="65"/>
  <c r="I254" i="65"/>
  <c r="I244" i="65"/>
  <c r="I239" i="65"/>
  <c r="I242" i="65"/>
  <c r="I251" i="65"/>
  <c r="I233" i="65"/>
  <c r="I243" i="65"/>
  <c r="I246" i="65"/>
  <c r="I235" i="65"/>
  <c r="I228" i="65"/>
  <c r="I247" i="65"/>
  <c r="I230" i="65"/>
  <c r="I249" i="65"/>
  <c r="I248" i="65"/>
  <c r="I229" i="65"/>
  <c r="I232" i="65"/>
  <c r="I234" i="65"/>
  <c r="I231" i="65"/>
  <c r="I227" i="65"/>
  <c r="I240" i="65"/>
  <c r="I245" i="65"/>
  <c r="I238" i="65"/>
  <c r="I255" i="65"/>
  <c r="I241" i="65"/>
  <c r="I226" i="65"/>
  <c r="I56" i="65"/>
  <c r="I75" i="65"/>
  <c r="I82" i="65"/>
  <c r="I54" i="65"/>
  <c r="I60" i="65"/>
  <c r="I66" i="65"/>
  <c r="I80" i="65"/>
  <c r="I71" i="65"/>
  <c r="I70" i="65"/>
  <c r="I74" i="65"/>
  <c r="I79" i="65"/>
  <c r="I83" i="65"/>
  <c r="I63" i="65"/>
  <c r="I59" i="65"/>
  <c r="I76" i="65"/>
  <c r="I68" i="65"/>
  <c r="I67" i="65"/>
  <c r="I55" i="65"/>
  <c r="I72" i="65"/>
  <c r="I84" i="65"/>
  <c r="I61" i="65"/>
  <c r="I77" i="65"/>
  <c r="I58" i="65"/>
  <c r="I62" i="65"/>
  <c r="I57" i="65"/>
  <c r="I78" i="65"/>
  <c r="I73" i="65"/>
  <c r="I69" i="65"/>
  <c r="H242" i="65"/>
  <c r="H248" i="65"/>
  <c r="H243" i="65"/>
  <c r="H238" i="65"/>
  <c r="H233" i="65"/>
  <c r="H230" i="65"/>
  <c r="H241" i="65"/>
  <c r="H239" i="65"/>
  <c r="H226" i="65"/>
  <c r="H254" i="65"/>
  <c r="H234" i="65"/>
  <c r="H255" i="65"/>
  <c r="H256" i="65"/>
  <c r="H245" i="65"/>
  <c r="H227" i="65"/>
  <c r="H250" i="65"/>
  <c r="H251" i="65"/>
  <c r="H228" i="65"/>
  <c r="H235" i="65"/>
  <c r="H231" i="65"/>
  <c r="H249" i="65"/>
  <c r="H229" i="65"/>
  <c r="H240" i="65"/>
  <c r="H252" i="65"/>
  <c r="H244" i="65"/>
  <c r="H232" i="65"/>
  <c r="H247" i="65"/>
  <c r="H246" i="65"/>
  <c r="H364" i="65"/>
  <c r="H378" i="65"/>
  <c r="H365" i="65"/>
  <c r="H379" i="65"/>
  <c r="H370" i="65"/>
  <c r="H362" i="65"/>
  <c r="H368" i="65"/>
  <c r="H380" i="65"/>
  <c r="H369" i="65"/>
  <c r="H384" i="65"/>
  <c r="H356" i="65"/>
  <c r="H385" i="65"/>
  <c r="H376" i="65"/>
  <c r="H377" i="65"/>
  <c r="H357" i="65"/>
  <c r="H371" i="65"/>
  <c r="H382" i="65"/>
  <c r="H363" i="65"/>
  <c r="H358" i="65"/>
  <c r="H372" i="65"/>
  <c r="H386" i="65"/>
  <c r="H374" i="65"/>
  <c r="H361" i="65"/>
  <c r="H359" i="65"/>
  <c r="H373" i="65"/>
  <c r="H381" i="65"/>
  <c r="H360" i="65"/>
  <c r="H375" i="65"/>
  <c r="G356" i="65"/>
  <c r="G370" i="65"/>
  <c r="G382" i="65"/>
  <c r="G357" i="65"/>
  <c r="G371" i="65"/>
  <c r="G386" i="65"/>
  <c r="G360" i="65"/>
  <c r="G369" i="65"/>
  <c r="G358" i="65"/>
  <c r="G372" i="65"/>
  <c r="G384" i="65"/>
  <c r="G359" i="65"/>
  <c r="G373" i="65"/>
  <c r="G385" i="65"/>
  <c r="G374" i="65"/>
  <c r="G380" i="65"/>
  <c r="G361" i="65"/>
  <c r="G375" i="65"/>
  <c r="G368" i="65"/>
  <c r="G362" i="65"/>
  <c r="G376" i="65"/>
  <c r="G365" i="65"/>
  <c r="G381" i="65"/>
  <c r="G363" i="65"/>
  <c r="G377" i="65"/>
  <c r="G364" i="65"/>
  <c r="G378" i="65"/>
  <c r="G379" i="65"/>
  <c r="G402" i="65"/>
  <c r="G425" i="65"/>
  <c r="G404" i="65"/>
  <c r="G423" i="65"/>
  <c r="G400" i="65"/>
  <c r="G428" i="65"/>
  <c r="G406" i="65"/>
  <c r="G408" i="65"/>
  <c r="G422" i="65"/>
  <c r="G412" i="65"/>
  <c r="G417" i="65"/>
  <c r="G430" i="65"/>
  <c r="G405" i="65"/>
  <c r="G418" i="65"/>
  <c r="G413" i="65"/>
  <c r="G401" i="65"/>
  <c r="G421" i="65"/>
  <c r="G403" i="65"/>
  <c r="G414" i="65"/>
  <c r="G420" i="65"/>
  <c r="G426" i="65"/>
  <c r="G416" i="65"/>
  <c r="G415" i="65"/>
  <c r="G424" i="65"/>
  <c r="G407" i="65"/>
  <c r="G409" i="65"/>
  <c r="G429" i="65"/>
  <c r="G419" i="65"/>
  <c r="AC28" i="65"/>
  <c r="AC16" i="65"/>
  <c r="AC27" i="65"/>
  <c r="AC30" i="65"/>
  <c r="AC22" i="65"/>
  <c r="AC26" i="65"/>
  <c r="AC31" i="65"/>
  <c r="Z20" i="66"/>
  <c r="Z21" i="66"/>
  <c r="X20" i="66"/>
  <c r="AE20" i="66"/>
  <c r="AE16" i="66"/>
  <c r="AE14" i="66"/>
  <c r="Y20" i="66"/>
  <c r="Y21" i="66"/>
  <c r="AE13" i="66"/>
  <c r="Y14" i="66"/>
  <c r="AE21" i="66"/>
  <c r="AE15" i="66"/>
  <c r="X21" i="66"/>
  <c r="AI27" i="65"/>
  <c r="AI20" i="65"/>
  <c r="AI31" i="65"/>
  <c r="AI30" i="65"/>
  <c r="AI26" i="65"/>
  <c r="AI29" i="65"/>
  <c r="AI19" i="65"/>
  <c r="AI28" i="65"/>
  <c r="AI25" i="65"/>
  <c r="AD13" i="65"/>
  <c r="AD22" i="65"/>
  <c r="AD26" i="65"/>
  <c r="AD28" i="65"/>
  <c r="AD16" i="65"/>
  <c r="AD29" i="65"/>
  <c r="AD31" i="65"/>
  <c r="AD30" i="65"/>
  <c r="AD15" i="65"/>
  <c r="AD14" i="65"/>
  <c r="AD27" i="65"/>
  <c r="AE17" i="65"/>
  <c r="AE29" i="65"/>
  <c r="AH31" i="65"/>
  <c r="AE26" i="65"/>
  <c r="AE28" i="65"/>
  <c r="AH30" i="65"/>
  <c r="AH24" i="65"/>
  <c r="AF13" i="65"/>
  <c r="AH29" i="65"/>
  <c r="AE31" i="65"/>
  <c r="AH13" i="65"/>
  <c r="AH27" i="65"/>
  <c r="AF23" i="65"/>
  <c r="AH26" i="65"/>
  <c r="AH28" i="65"/>
  <c r="AF26" i="65"/>
  <c r="AF27" i="65"/>
  <c r="AE27" i="65"/>
  <c r="AE23" i="65"/>
  <c r="AF29" i="65"/>
  <c r="AH18" i="65"/>
  <c r="AF28" i="65"/>
  <c r="AF31" i="65"/>
  <c r="AF12" i="65"/>
  <c r="AE12" i="65"/>
  <c r="AE10" i="65"/>
  <c r="AE12" i="66"/>
  <c r="Y12" i="66"/>
  <c r="F16" i="67"/>
  <c r="AH12" i="65"/>
  <c r="R12" i="66"/>
  <c r="AG12" i="65"/>
  <c r="Y13" i="65"/>
  <c r="X18" i="65"/>
  <c r="R25" i="65"/>
  <c r="X20" i="65"/>
  <c r="W21" i="65"/>
  <c r="S14" i="65"/>
  <c r="Y21" i="65"/>
  <c r="Y20" i="65"/>
  <c r="S13" i="65"/>
  <c r="S24" i="65"/>
  <c r="Y16" i="65"/>
  <c r="R13" i="65"/>
  <c r="R19" i="65"/>
  <c r="X17" i="65"/>
  <c r="W27" i="65"/>
  <c r="X26" i="65"/>
  <c r="X13" i="65"/>
  <c r="W14" i="65"/>
  <c r="S21" i="65"/>
  <c r="Y19" i="65"/>
  <c r="X23" i="65"/>
  <c r="Y25" i="65"/>
  <c r="X21" i="65"/>
  <c r="X27" i="65"/>
  <c r="X14" i="65"/>
  <c r="S15" i="65"/>
  <c r="X24" i="65"/>
  <c r="R14" i="65"/>
  <c r="Y22" i="65"/>
  <c r="W20" i="65"/>
  <c r="X19" i="65"/>
  <c r="Y18" i="65"/>
  <c r="S17" i="65"/>
  <c r="R24" i="65"/>
  <c r="X22" i="65"/>
  <c r="S22" i="65"/>
  <c r="S26" i="65"/>
  <c r="R23" i="65"/>
  <c r="W13" i="65"/>
  <c r="X15" i="65"/>
  <c r="W17" i="65"/>
  <c r="W26" i="65"/>
  <c r="W23" i="65"/>
  <c r="Y15" i="65"/>
  <c r="S27" i="65"/>
  <c r="R27" i="65"/>
  <c r="Y23" i="65"/>
  <c r="R21" i="65"/>
  <c r="W25" i="65"/>
  <c r="R18" i="65"/>
  <c r="W15" i="65"/>
  <c r="S25" i="65"/>
  <c r="R22" i="65"/>
  <c r="S18" i="65"/>
  <c r="W22" i="65"/>
  <c r="R16" i="65"/>
  <c r="S23" i="65"/>
  <c r="Y27" i="65"/>
  <c r="X25" i="65"/>
  <c r="W16" i="65"/>
  <c r="S16" i="65"/>
  <c r="X16" i="65"/>
  <c r="Y17" i="65"/>
  <c r="W19" i="65"/>
  <c r="S19" i="65"/>
  <c r="Y24" i="65"/>
  <c r="R26" i="65"/>
  <c r="R20" i="65"/>
  <c r="R17" i="65"/>
  <c r="Y26" i="65"/>
  <c r="W24" i="65"/>
  <c r="R15" i="65"/>
  <c r="Y14" i="65"/>
  <c r="W18" i="65"/>
  <c r="S20" i="65"/>
  <c r="Y12" i="65"/>
  <c r="X12" i="65"/>
  <c r="W12" i="65"/>
  <c r="T12" i="65"/>
  <c r="S12" i="65"/>
  <c r="X10" i="66"/>
  <c r="T15" i="66"/>
  <c r="S17" i="66"/>
  <c r="S12" i="66"/>
  <c r="R13" i="66"/>
  <c r="T14" i="66"/>
  <c r="S18" i="66"/>
  <c r="U12" i="66"/>
  <c r="U13" i="66"/>
  <c r="T16" i="66"/>
  <c r="U19" i="66"/>
  <c r="R17" i="66"/>
  <c r="T18" i="66"/>
  <c r="U18" i="66"/>
  <c r="T12" i="66"/>
  <c r="S13" i="66"/>
  <c r="R14" i="66"/>
  <c r="R15" i="66"/>
  <c r="R16" i="66"/>
  <c r="T17" i="66"/>
  <c r="T13" i="66"/>
  <c r="S14" i="66"/>
  <c r="S15" i="66"/>
  <c r="S16" i="66"/>
  <c r="U17" i="66"/>
  <c r="U14" i="66"/>
  <c r="U16" i="66"/>
  <c r="R19" i="66"/>
  <c r="S19" i="66"/>
  <c r="U15" i="66"/>
  <c r="R18" i="66"/>
  <c r="T19" i="66"/>
  <c r="AX27" i="65"/>
  <c r="AR24" i="65"/>
  <c r="AO12" i="65"/>
  <c r="AZ23" i="65"/>
  <c r="AZ15" i="65"/>
  <c r="AN10" i="66"/>
  <c r="AZ14" i="65"/>
  <c r="AV12" i="66"/>
  <c r="AR18" i="65"/>
  <c r="AN19" i="65"/>
  <c r="BB10" i="65"/>
  <c r="AO21" i="65"/>
  <c r="AU16" i="65"/>
  <c r="AV21" i="65"/>
  <c r="AX26" i="65"/>
  <c r="AR15" i="66"/>
  <c r="AW18" i="66"/>
  <c r="AQ20" i="65"/>
  <c r="AW19" i="66"/>
  <c r="AR17" i="65"/>
  <c r="AZ24" i="65"/>
  <c r="AZ16" i="65"/>
  <c r="AR15" i="65"/>
  <c r="AP18" i="66"/>
  <c r="AT12" i="66"/>
  <c r="AN16" i="65"/>
  <c r="AT15" i="65"/>
  <c r="AY21" i="65"/>
  <c r="AQ21" i="65"/>
  <c r="AP23" i="65"/>
  <c r="AQ22" i="65"/>
  <c r="AY14" i="65"/>
  <c r="AV14" i="66"/>
  <c r="AP21" i="66"/>
  <c r="AY20" i="65"/>
  <c r="AO18" i="65"/>
  <c r="AW21" i="65"/>
  <c r="BA17" i="65"/>
  <c r="AV24" i="65"/>
  <c r="AO14" i="65"/>
  <c r="AJ19" i="66"/>
  <c r="AS17" i="66"/>
  <c r="AP17" i="66"/>
  <c r="AV17" i="65"/>
  <c r="BB21" i="65"/>
  <c r="AW31" i="65"/>
  <c r="BA18" i="65"/>
  <c r="AS25" i="65"/>
  <c r="AW15" i="65"/>
  <c r="AZ12" i="65"/>
  <c r="AV22" i="65"/>
  <c r="AY15" i="65"/>
  <c r="AS30" i="65"/>
  <c r="AS21" i="65"/>
  <c r="AO10" i="65"/>
  <c r="AV14" i="65"/>
  <c r="AP25" i="65"/>
  <c r="AT18" i="66"/>
  <c r="AT17" i="65"/>
  <c r="AS20" i="65"/>
  <c r="AM10" i="66"/>
  <c r="AR19" i="65"/>
  <c r="BB29" i="65"/>
  <c r="AX14" i="65"/>
  <c r="AR14" i="65"/>
  <c r="AI18" i="66"/>
  <c r="AZ10" i="65"/>
  <c r="AQ19" i="66"/>
  <c r="AT16" i="65"/>
  <c r="AQ24" i="65"/>
  <c r="AS19" i="66"/>
  <c r="AU23" i="65"/>
  <c r="AW14" i="66"/>
  <c r="AY25" i="65"/>
  <c r="AN21" i="65"/>
  <c r="AW12" i="65"/>
  <c r="AS19" i="65"/>
  <c r="AO29" i="65"/>
  <c r="AT13" i="66"/>
  <c r="AZ19" i="65"/>
  <c r="AP12" i="66"/>
  <c r="AQ15" i="66"/>
  <c r="AR20" i="66"/>
  <c r="BA19" i="65"/>
  <c r="AO15" i="65"/>
  <c r="BA13" i="65"/>
  <c r="AQ18" i="66"/>
  <c r="AZ17" i="65"/>
  <c r="AV16" i="65"/>
  <c r="AQ13" i="66"/>
  <c r="BB22" i="65"/>
  <c r="AK10" i="66"/>
  <c r="AV17" i="66"/>
  <c r="BA10" i="65"/>
  <c r="AU12" i="65"/>
  <c r="AO18" i="66"/>
  <c r="AP12" i="65"/>
  <c r="AT16" i="66"/>
  <c r="AK12" i="66"/>
  <c r="AU17" i="65"/>
  <c r="AU13" i="65"/>
  <c r="BA21" i="65"/>
  <c r="AW30" i="65"/>
  <c r="AN13" i="65"/>
  <c r="AQ16" i="66"/>
  <c r="AS24" i="65"/>
  <c r="AP19" i="66"/>
  <c r="AU22" i="65"/>
  <c r="AV15" i="65"/>
  <c r="AV28" i="65"/>
  <c r="AU12" i="66"/>
  <c r="AX10" i="65"/>
  <c r="BB14" i="65"/>
  <c r="AU24" i="65"/>
  <c r="AV25" i="65"/>
  <c r="AR16" i="65"/>
  <c r="AS10" i="65"/>
  <c r="AU18" i="66"/>
  <c r="AW16" i="66"/>
  <c r="AV10" i="65"/>
  <c r="AS22" i="65"/>
  <c r="AW28" i="65"/>
  <c r="AN12" i="65"/>
  <c r="AQ13" i="65"/>
  <c r="AK17" i="66"/>
  <c r="AO19" i="65"/>
  <c r="BB25" i="65"/>
  <c r="AW18" i="65"/>
  <c r="AZ22" i="65"/>
  <c r="AQ10" i="66"/>
  <c r="AZ18" i="65"/>
  <c r="BB24" i="65"/>
  <c r="AS15" i="66"/>
  <c r="AV13" i="65"/>
  <c r="BZ21" i="65"/>
  <c r="AN15" i="65"/>
  <c r="AK19" i="66"/>
  <c r="AW25" i="65"/>
  <c r="AO25" i="65"/>
  <c r="AV16" i="66"/>
  <c r="AW10" i="66"/>
  <c r="AV18" i="66"/>
  <c r="AS13" i="66"/>
  <c r="AU17" i="66"/>
  <c r="AY19" i="65"/>
  <c r="AS12" i="66"/>
  <c r="AW19" i="65"/>
  <c r="AX24" i="65"/>
  <c r="AS16" i="66"/>
  <c r="AR10" i="66"/>
  <c r="AP10" i="65"/>
  <c r="AX12" i="65"/>
  <c r="AV19" i="66"/>
  <c r="AS16" i="65"/>
  <c r="AP24" i="65"/>
  <c r="AR16" i="66"/>
  <c r="AS14" i="66"/>
  <c r="AQ25" i="65"/>
  <c r="AZ20" i="65"/>
  <c r="AV12" i="65"/>
  <c r="AK13" i="66"/>
  <c r="AW17" i="66"/>
  <c r="AT23" i="65"/>
  <c r="AT25" i="65"/>
  <c r="AX19" i="65"/>
  <c r="AY10" i="65"/>
  <c r="BB20" i="65"/>
  <c r="AL14" i="66"/>
  <c r="AT14" i="66"/>
  <c r="AI17" i="66"/>
  <c r="AR18" i="66"/>
  <c r="AJ15" i="66"/>
  <c r="AJ16" i="66"/>
  <c r="AS28" i="65"/>
  <c r="AY23" i="65"/>
  <c r="AL13" i="66"/>
  <c r="AV18" i="65"/>
  <c r="AQ12" i="66"/>
  <c r="BA23" i="65"/>
  <c r="AY22" i="65"/>
  <c r="AW23" i="65"/>
  <c r="AV19" i="65"/>
  <c r="AP16" i="66"/>
  <c r="AN20" i="65"/>
  <c r="AO20" i="65"/>
  <c r="BB30" i="65"/>
  <c r="AI16" i="66"/>
  <c r="AX21" i="65"/>
  <c r="AK15" i="66"/>
  <c r="AO13" i="65"/>
  <c r="AU13" i="66"/>
  <c r="AN23" i="65"/>
  <c r="BB18" i="65"/>
  <c r="AT17" i="66"/>
  <c r="AT10" i="66"/>
  <c r="AV23" i="65"/>
  <c r="AN17" i="65"/>
  <c r="AQ19" i="65"/>
  <c r="BA25" i="65"/>
  <c r="BA20" i="65"/>
  <c r="AT15" i="66"/>
  <c r="AX29" i="65"/>
  <c r="AP15" i="66"/>
  <c r="AO17" i="66"/>
  <c r="AV20" i="65"/>
  <c r="AW27" i="65"/>
  <c r="AQ18" i="65"/>
  <c r="AJ10" i="66"/>
  <c r="AJ18" i="66"/>
  <c r="AT19" i="66"/>
  <c r="AQ30" i="65"/>
  <c r="AU15" i="66"/>
  <c r="AW17" i="65"/>
  <c r="AY13" i="65"/>
  <c r="AU16" i="66"/>
  <c r="BB17" i="65"/>
  <c r="AI12" i="66"/>
  <c r="AY16" i="65"/>
  <c r="AN25" i="65"/>
  <c r="AP21" i="65"/>
  <c r="AR14" i="66"/>
  <c r="AT10" i="65"/>
  <c r="AV26" i="65"/>
  <c r="AW12" i="66"/>
  <c r="AZ21" i="65"/>
  <c r="AW14" i="65"/>
  <c r="AY17" i="65"/>
  <c r="AJ13" i="66"/>
  <c r="AN26" i="65"/>
  <c r="AQ14" i="66"/>
  <c r="AZ25" i="65"/>
  <c r="AI14" i="66"/>
  <c r="AO24" i="65"/>
  <c r="AM12" i="66"/>
  <c r="AP13" i="66"/>
  <c r="AY18" i="65"/>
  <c r="AX17" i="65"/>
  <c r="AW22" i="65"/>
  <c r="AN22" i="65"/>
  <c r="AP18" i="65"/>
  <c r="AR19" i="66"/>
  <c r="AT22" i="65"/>
  <c r="BA12" i="65"/>
  <c r="AR13" i="66"/>
  <c r="AP17" i="65"/>
  <c r="AY12" i="65"/>
  <c r="AO19" i="66"/>
  <c r="AR22" i="65"/>
  <c r="AU15" i="65"/>
  <c r="AN24" i="65"/>
  <c r="AR25" i="65"/>
  <c r="AU14" i="65"/>
  <c r="AQ17" i="66"/>
  <c r="AL21" i="66"/>
  <c r="AS23" i="65"/>
  <c r="AS17" i="65"/>
  <c r="AR21" i="65"/>
  <c r="AV13" i="66"/>
  <c r="AN18" i="65"/>
  <c r="AU18" i="65"/>
  <c r="AR30" i="65"/>
  <c r="AQ16" i="65"/>
  <c r="AT20" i="65"/>
  <c r="AR20" i="65"/>
  <c r="AS13" i="65"/>
  <c r="AR12" i="66"/>
  <c r="BB23" i="65"/>
  <c r="AN10" i="65"/>
  <c r="AY24" i="65"/>
  <c r="AX25" i="65"/>
  <c r="AW26" i="65"/>
  <c r="AV27" i="65"/>
  <c r="AT21" i="65"/>
  <c r="AP20" i="65"/>
  <c r="AW24" i="65"/>
  <c r="AK14" i="66"/>
  <c r="AL19" i="66"/>
  <c r="AO17" i="65"/>
  <c r="AX20" i="65"/>
  <c r="BB19" i="65"/>
  <c r="AI13" i="66"/>
  <c r="AQ20" i="66"/>
  <c r="AJ17" i="66"/>
  <c r="AI19" i="66"/>
  <c r="AV29" i="65"/>
  <c r="AR10" i="65"/>
  <c r="AW15" i="66"/>
  <c r="AW16" i="65"/>
  <c r="AQ15" i="65"/>
  <c r="AO23" i="65"/>
  <c r="AW13" i="65"/>
  <c r="AR21" i="66"/>
  <c r="BB12" i="65"/>
  <c r="AQ14" i="65"/>
  <c r="AZ13" i="65"/>
  <c r="AS15" i="65"/>
  <c r="AT14" i="65"/>
  <c r="AV31" i="65"/>
  <c r="AK18" i="66"/>
  <c r="AP14" i="66"/>
  <c r="AL10" i="66"/>
  <c r="AL18" i="66"/>
  <c r="AU14" i="66"/>
  <c r="AU21" i="65"/>
  <c r="BB15" i="65"/>
  <c r="AN14" i="65"/>
  <c r="AO10" i="66"/>
  <c r="AV30" i="65"/>
  <c r="AK16" i="66"/>
  <c r="AI15" i="66"/>
  <c r="AW10" i="65"/>
  <c r="AP10" i="66"/>
  <c r="AU19" i="66"/>
  <c r="BA24" i="65"/>
  <c r="AT19" i="65"/>
  <c r="W20" i="66" l="1"/>
  <c r="V20" i="66" s="1"/>
  <c r="Q12" i="65"/>
  <c r="AB13" i="65"/>
  <c r="AB12" i="65"/>
  <c r="AB21" i="65"/>
  <c r="AF30" i="65"/>
  <c r="AE18" i="66"/>
  <c r="AF17" i="65"/>
  <c r="AB22" i="65"/>
  <c r="AB18" i="65"/>
  <c r="AB25" i="65"/>
  <c r="AB19" i="65"/>
  <c r="AB14" i="65"/>
  <c r="AB20" i="65"/>
  <c r="AB26" i="65"/>
  <c r="AA26" i="65" s="1"/>
  <c r="Z26" i="65" s="1"/>
  <c r="AB15" i="65"/>
  <c r="AB17" i="65"/>
  <c r="AB23" i="65"/>
  <c r="AB24" i="65"/>
  <c r="AB16" i="65"/>
  <c r="AI10" i="65"/>
  <c r="AE30" i="65"/>
  <c r="AC29" i="65"/>
  <c r="AA29" i="65" s="1"/>
  <c r="Z29" i="65" s="1"/>
  <c r="W21" i="66"/>
  <c r="AC13" i="65"/>
  <c r="AC15" i="65"/>
  <c r="AG10" i="65"/>
  <c r="AE13" i="65"/>
  <c r="AC14" i="65"/>
  <c r="AC25" i="65"/>
  <c r="AC20" i="65"/>
  <c r="AC24" i="65"/>
  <c r="AC21" i="65"/>
  <c r="AC17" i="65"/>
  <c r="AC23" i="65"/>
  <c r="AC12" i="65"/>
  <c r="AC18" i="65"/>
  <c r="AC19" i="65"/>
  <c r="Z16" i="66"/>
  <c r="Z17" i="66"/>
  <c r="Z19" i="66"/>
  <c r="Z14" i="66"/>
  <c r="Z18" i="66"/>
  <c r="Z15" i="66"/>
  <c r="Z13" i="66"/>
  <c r="X13" i="66"/>
  <c r="Y19" i="66"/>
  <c r="Y17" i="66"/>
  <c r="Y16" i="66"/>
  <c r="AE19" i="66"/>
  <c r="X19" i="66"/>
  <c r="Y13" i="66"/>
  <c r="X15" i="66"/>
  <c r="X14" i="66"/>
  <c r="X17" i="66"/>
  <c r="X16" i="66"/>
  <c r="Y18" i="66"/>
  <c r="Y15" i="66"/>
  <c r="X18" i="66"/>
  <c r="AE17" i="66"/>
  <c r="X12" i="66"/>
  <c r="AI14" i="65"/>
  <c r="AI17" i="65"/>
  <c r="AI18" i="65"/>
  <c r="AI21" i="65"/>
  <c r="AI23" i="65"/>
  <c r="AI24" i="65"/>
  <c r="AI22" i="65"/>
  <c r="AI15" i="65"/>
  <c r="AI16" i="65"/>
  <c r="AI13" i="65"/>
  <c r="AD12" i="65"/>
  <c r="AD17" i="65"/>
  <c r="AD18" i="65"/>
  <c r="AD23" i="65"/>
  <c r="AD25" i="65"/>
  <c r="AD21" i="65"/>
  <c r="AD24" i="65"/>
  <c r="AD20" i="65"/>
  <c r="AH25" i="65"/>
  <c r="AF14" i="65"/>
  <c r="AH15" i="65"/>
  <c r="AH22" i="65"/>
  <c r="AE19" i="65"/>
  <c r="AF22" i="65"/>
  <c r="AF20" i="65"/>
  <c r="AH16" i="65"/>
  <c r="AE15" i="65"/>
  <c r="AF18" i="65"/>
  <c r="AH20" i="65"/>
  <c r="AE22" i="65"/>
  <c r="AH21" i="65"/>
  <c r="AH19" i="65"/>
  <c r="AF16" i="65"/>
  <c r="AF25" i="65"/>
  <c r="AE20" i="65"/>
  <c r="AE24" i="65"/>
  <c r="AF15" i="65"/>
  <c r="AH17" i="65"/>
  <c r="AE21" i="65"/>
  <c r="AE18" i="65"/>
  <c r="AE14" i="65"/>
  <c r="AH23" i="65"/>
  <c r="AE16" i="65"/>
  <c r="AE25" i="65"/>
  <c r="AF21" i="65"/>
  <c r="AF19" i="65"/>
  <c r="AF24" i="65"/>
  <c r="AH14" i="65"/>
  <c r="AA31" i="65"/>
  <c r="Z31" i="65" s="1"/>
  <c r="AA28" i="65"/>
  <c r="Z28" i="65" s="1"/>
  <c r="AA27" i="65"/>
  <c r="Z27" i="65" s="1"/>
  <c r="AF10" i="65"/>
  <c r="AI12" i="65"/>
  <c r="AC10" i="66"/>
  <c r="AB10" i="66"/>
  <c r="Z12" i="66"/>
  <c r="Q21" i="65"/>
  <c r="Q24" i="65"/>
  <c r="Q20" i="65"/>
  <c r="Q18" i="65"/>
  <c r="Q26" i="65"/>
  <c r="Q19" i="65"/>
  <c r="Q13" i="65"/>
  <c r="Q27" i="65"/>
  <c r="Q23" i="65"/>
  <c r="Q15" i="65"/>
  <c r="Q16" i="65"/>
  <c r="Q14" i="65"/>
  <c r="Q25" i="65"/>
  <c r="Q17" i="65"/>
  <c r="Q22" i="65"/>
  <c r="AA10" i="66"/>
  <c r="Y10" i="66"/>
  <c r="Z10" i="66"/>
  <c r="AE10" i="66"/>
  <c r="Q13" i="66"/>
  <c r="Q17" i="66"/>
  <c r="Q18" i="66"/>
  <c r="Q12" i="66"/>
  <c r="Q19" i="66"/>
  <c r="Q16" i="66"/>
  <c r="Q15" i="66"/>
  <c r="Q14" i="66"/>
  <c r="AC10" i="65"/>
  <c r="AB10" i="65"/>
  <c r="AD10" i="65"/>
  <c r="AH10" i="65"/>
  <c r="AL15" i="66"/>
  <c r="AP19" i="65"/>
  <c r="W14" i="66" l="1"/>
  <c r="W12" i="66"/>
  <c r="W15" i="66"/>
  <c r="V15" i="66" s="1"/>
  <c r="W17" i="66"/>
  <c r="V17" i="66" s="1"/>
  <c r="W19" i="66"/>
  <c r="V19" i="66" s="1"/>
  <c r="W16" i="66"/>
  <c r="V16" i="66" s="1"/>
  <c r="W18" i="66"/>
  <c r="V18" i="66" s="1"/>
  <c r="W13" i="66"/>
  <c r="V13" i="66" s="1"/>
  <c r="V21" i="66"/>
  <c r="AA30" i="65"/>
  <c r="Z30" i="65" s="1"/>
  <c r="AA13" i="65"/>
  <c r="Z13" i="65" s="1"/>
  <c r="AD19" i="65"/>
  <c r="AA20" i="65"/>
  <c r="Z20" i="65" s="1"/>
  <c r="AA23" i="65"/>
  <c r="Z23" i="65" s="1"/>
  <c r="AA14" i="65"/>
  <c r="Z14" i="65" s="1"/>
  <c r="AA24" i="65"/>
  <c r="Z24" i="65" s="1"/>
  <c r="AA22" i="65"/>
  <c r="Z22" i="65" s="1"/>
  <c r="AA15" i="65"/>
  <c r="Z15" i="65" s="1"/>
  <c r="AA16" i="65"/>
  <c r="Z16" i="65" s="1"/>
  <c r="AA17" i="65"/>
  <c r="Z17" i="65" s="1"/>
  <c r="AA18" i="65"/>
  <c r="Z18" i="65" s="1"/>
  <c r="AA25" i="65"/>
  <c r="Z25" i="65" s="1"/>
  <c r="AA21" i="65"/>
  <c r="Z21" i="65" s="1"/>
  <c r="AA12" i="65"/>
  <c r="Z12" i="65" s="1"/>
  <c r="V14" i="66"/>
  <c r="W10" i="66"/>
  <c r="AA10" i="65"/>
  <c r="AA19" i="65" l="1"/>
  <c r="Z19" i="65" s="1"/>
  <c r="V12" i="66"/>
  <c r="P13" i="66" l="1"/>
  <c r="P14" i="66"/>
  <c r="O17" i="66" a="1"/>
  <c r="O17" i="66" s="1"/>
  <c r="N17" i="66" s="1"/>
  <c r="P12" i="66"/>
  <c r="O13" i="66" a="1"/>
  <c r="O13" i="66" s="1"/>
  <c r="N13" i="66" s="1"/>
  <c r="O15" i="66" a="1"/>
  <c r="O15" i="66" s="1"/>
  <c r="N15" i="66" s="1"/>
  <c r="O16" i="66" a="1"/>
  <c r="O16" i="66" s="1"/>
  <c r="N16" i="66" s="1"/>
  <c r="O14" i="66" a="1"/>
  <c r="O14" i="66" s="1"/>
  <c r="N14" i="66" s="1"/>
  <c r="O12" i="65" a="1"/>
  <c r="O12" i="65" s="1"/>
  <c r="O15" i="65" a="1"/>
  <c r="O15" i="65" s="1"/>
  <c r="N15" i="65" s="1"/>
  <c r="P12" i="65"/>
  <c r="P14" i="65"/>
  <c r="O16" i="65" a="1"/>
  <c r="O16" i="65" s="1"/>
  <c r="O14" i="65" a="1"/>
  <c r="O14" i="65" s="1"/>
  <c r="N14" i="65" s="1"/>
  <c r="P13" i="65"/>
  <c r="O17" i="65" a="1"/>
  <c r="O17" i="65" s="1"/>
  <c r="N17" i="65" s="1"/>
  <c r="O13" i="65" a="1"/>
  <c r="O13" i="65" s="1"/>
  <c r="N13" i="65" s="1"/>
  <c r="O12" i="66" a="1"/>
  <c r="O12" i="66" s="1"/>
  <c r="N12" i="66" s="1"/>
  <c r="I10" i="66" l="1"/>
  <c r="I34" i="66"/>
  <c r="H10" i="66"/>
  <c r="H34" i="66"/>
  <c r="G10" i="66"/>
  <c r="G34" i="66"/>
  <c r="I10" i="65"/>
  <c r="I45" i="65"/>
  <c r="H10" i="65"/>
  <c r="H45" i="65"/>
  <c r="G10" i="65"/>
  <c r="G45" i="65"/>
  <c r="K16" i="65"/>
  <c r="L16" i="65" s="1"/>
  <c r="N16" i="65"/>
  <c r="K12" i="65"/>
  <c r="L12" i="65" s="1"/>
  <c r="N12" i="65"/>
  <c r="I7" i="65"/>
  <c r="I32" i="65" s="1"/>
  <c r="K17" i="66"/>
  <c r="L17" i="66" s="1"/>
  <c r="G7" i="65"/>
  <c r="H7" i="65"/>
  <c r="H27" i="65" s="1"/>
  <c r="K13" i="65"/>
  <c r="L13" i="65" s="1"/>
  <c r="K15" i="65"/>
  <c r="O4" i="65" s="1"/>
  <c r="K17" i="65"/>
  <c r="K14" i="65"/>
  <c r="L14" i="65" s="1"/>
  <c r="K12" i="66"/>
  <c r="L12" i="66" s="1"/>
  <c r="K16" i="66"/>
  <c r="K15" i="66"/>
  <c r="L15" i="66" s="1"/>
  <c r="K13" i="66"/>
  <c r="O2" i="66" s="1"/>
  <c r="H7" i="66"/>
  <c r="K14" i="66"/>
  <c r="L14" i="66" s="1"/>
  <c r="G7" i="66"/>
  <c r="I7" i="66"/>
  <c r="I24" i="66" s="1"/>
  <c r="G34" i="65" l="1"/>
  <c r="G13" i="65"/>
  <c r="O5" i="65"/>
  <c r="O1" i="65"/>
  <c r="I34" i="65"/>
  <c r="I39" i="65"/>
  <c r="I12" i="65"/>
  <c r="I27" i="65"/>
  <c r="I26" i="65"/>
  <c r="I20" i="65"/>
  <c r="I29" i="65"/>
  <c r="I13" i="65"/>
  <c r="I24" i="65"/>
  <c r="I37" i="65"/>
  <c r="I40" i="65"/>
  <c r="I17" i="65"/>
  <c r="I11" i="65"/>
  <c r="I33" i="65"/>
  <c r="I23" i="65"/>
  <c r="I30" i="65"/>
  <c r="I16" i="65"/>
  <c r="I41" i="65"/>
  <c r="I19" i="65"/>
  <c r="I36" i="65"/>
  <c r="I15" i="65"/>
  <c r="I25" i="65"/>
  <c r="I18" i="65"/>
  <c r="I28" i="65"/>
  <c r="I14" i="65"/>
  <c r="I35" i="65"/>
  <c r="I31" i="65"/>
  <c r="L15" i="65"/>
  <c r="O6" i="65"/>
  <c r="L17" i="65"/>
  <c r="O2" i="65"/>
  <c r="L16" i="66"/>
  <c r="O6" i="66"/>
  <c r="G18" i="65"/>
  <c r="G12" i="65"/>
  <c r="G15" i="65"/>
  <c r="O3" i="65"/>
  <c r="G25" i="65"/>
  <c r="G27" i="65"/>
  <c r="G24" i="65"/>
  <c r="G33" i="65"/>
  <c r="G37" i="65"/>
  <c r="G19" i="65"/>
  <c r="H17" i="65"/>
  <c r="G16" i="65"/>
  <c r="H36" i="65"/>
  <c r="G23" i="65"/>
  <c r="G14" i="65"/>
  <c r="H28" i="65"/>
  <c r="G26" i="65"/>
  <c r="H24" i="65"/>
  <c r="G20" i="65"/>
  <c r="G32" i="65"/>
  <c r="G39" i="65"/>
  <c r="G11" i="65"/>
  <c r="G35" i="65"/>
  <c r="G41" i="65"/>
  <c r="H20" i="65"/>
  <c r="G30" i="65"/>
  <c r="H15" i="65"/>
  <c r="G29" i="65"/>
  <c r="G17" i="65"/>
  <c r="G31" i="65"/>
  <c r="H32" i="65"/>
  <c r="G36" i="65"/>
  <c r="G40" i="65"/>
  <c r="H30" i="65"/>
  <c r="H40" i="65"/>
  <c r="H29" i="65"/>
  <c r="H19" i="65"/>
  <c r="H33" i="65"/>
  <c r="G28" i="65"/>
  <c r="H12" i="65"/>
  <c r="H13" i="65"/>
  <c r="H34" i="65"/>
  <c r="H25" i="65"/>
  <c r="H39" i="65"/>
  <c r="H18" i="65"/>
  <c r="H31" i="65"/>
  <c r="H41" i="65"/>
  <c r="H23" i="65"/>
  <c r="H37" i="65"/>
  <c r="H16" i="65"/>
  <c r="H14" i="65"/>
  <c r="H11" i="65"/>
  <c r="H26" i="65"/>
  <c r="H35" i="65"/>
  <c r="H29" i="66"/>
  <c r="H30" i="66"/>
  <c r="H28" i="66"/>
  <c r="I29" i="66"/>
  <c r="I30" i="66"/>
  <c r="I28" i="66"/>
  <c r="G30" i="66"/>
  <c r="G29" i="66"/>
  <c r="G28" i="66"/>
  <c r="L13" i="66"/>
  <c r="H26" i="66"/>
  <c r="H25" i="66"/>
  <c r="H24" i="66"/>
  <c r="G26" i="66"/>
  <c r="G24" i="66"/>
  <c r="G25" i="66"/>
  <c r="O1" i="66"/>
  <c r="O5" i="66"/>
  <c r="O4" i="66"/>
  <c r="I11" i="66"/>
  <c r="I25" i="66"/>
  <c r="I26" i="66"/>
  <c r="G11" i="66"/>
  <c r="H11" i="66"/>
  <c r="H20" i="66"/>
  <c r="H12" i="66"/>
  <c r="H14" i="66"/>
  <c r="H13" i="66"/>
  <c r="H21" i="66"/>
  <c r="H19" i="66"/>
  <c r="H15" i="66"/>
  <c r="H17" i="66"/>
  <c r="H16" i="66"/>
  <c r="H18" i="66"/>
  <c r="O3" i="66"/>
  <c r="G13" i="66"/>
  <c r="G15" i="66"/>
  <c r="G19" i="66"/>
  <c r="G18" i="66"/>
  <c r="G20" i="66"/>
  <c r="G16" i="66"/>
  <c r="G17" i="66"/>
  <c r="G21" i="66"/>
  <c r="G14" i="66"/>
  <c r="I14" i="66"/>
  <c r="I18" i="66"/>
  <c r="I21" i="66"/>
  <c r="I15" i="66"/>
  <c r="I19" i="66"/>
  <c r="I17" i="66"/>
  <c r="I16" i="66"/>
  <c r="I20" i="66"/>
  <c r="I13" i="66"/>
  <c r="I12" i="66"/>
  <c r="G12" i="66"/>
  <c r="BD9" i="64"/>
  <c r="BC9" i="64"/>
  <c r="BB9" i="64"/>
  <c r="BA9" i="64"/>
  <c r="AZ9" i="64"/>
  <c r="AY9" i="64"/>
  <c r="AX9" i="64"/>
  <c r="AW9" i="64"/>
  <c r="AV9" i="64"/>
  <c r="AU9" i="64"/>
  <c r="AT9" i="64"/>
  <c r="AS9" i="64"/>
  <c r="AR9" i="64"/>
  <c r="AQ9" i="64"/>
  <c r="AP9" i="64"/>
  <c r="BH9" i="30"/>
  <c r="BW17" i="64"/>
  <c r="BL14" i="64"/>
  <c r="BI17" i="64"/>
  <c r="AU19" i="64"/>
  <c r="BL12" i="64"/>
  <c r="BH12" i="64"/>
  <c r="BL17" i="64"/>
  <c r="AV20" i="64"/>
  <c r="AR13" i="64"/>
  <c r="BH18" i="64"/>
  <c r="AX19" i="64"/>
  <c r="BJ13" i="64"/>
  <c r="BH13" i="64"/>
  <c r="BE15" i="64"/>
  <c r="BL16" i="64"/>
  <c r="AY18" i="64"/>
  <c r="BI13" i="64"/>
  <c r="BE12" i="64"/>
  <c r="AR18" i="64"/>
  <c r="BI18" i="64"/>
  <c r="BE17" i="64"/>
  <c r="BA20" i="64"/>
  <c r="AS17" i="64"/>
  <c r="BI15" i="64"/>
  <c r="AT20" i="64"/>
  <c r="BA21" i="64"/>
  <c r="BW13" i="64"/>
  <c r="BJ17" i="64"/>
  <c r="BW18" i="64"/>
  <c r="BC21" i="64"/>
  <c r="AU20" i="64"/>
  <c r="BH15" i="64"/>
  <c r="BD13" i="64"/>
  <c r="BK16" i="64"/>
  <c r="BE14" i="64"/>
  <c r="BF14" i="64"/>
  <c r="AY15" i="64"/>
  <c r="BE18" i="64"/>
  <c r="AP19" i="64"/>
  <c r="BF13" i="64"/>
  <c r="BF16" i="64"/>
  <c r="AT12" i="64"/>
  <c r="BX15" i="64"/>
  <c r="AY21" i="64"/>
  <c r="BK12" i="64"/>
  <c r="BL13" i="64"/>
  <c r="BL18" i="64"/>
  <c r="AR14" i="64"/>
  <c r="BW12" i="64"/>
  <c r="BK13" i="64"/>
  <c r="BI14" i="64"/>
  <c r="BG13" i="64"/>
  <c r="BD12" i="64"/>
  <c r="BI12" i="64"/>
  <c r="BD21" i="64"/>
  <c r="BK18" i="64"/>
  <c r="BX12" i="64"/>
  <c r="AQ19" i="64"/>
  <c r="BH14" i="64"/>
  <c r="BJ14" i="64"/>
  <c r="AZ20" i="64"/>
  <c r="AX21" i="64"/>
  <c r="BK14" i="64"/>
  <c r="AZ21" i="64"/>
  <c r="BK17" i="64"/>
  <c r="BK15" i="64"/>
  <c r="BX17" i="64"/>
  <c r="BF12" i="64"/>
  <c r="BJ18" i="64"/>
  <c r="BG14" i="64"/>
  <c r="BX16" i="64"/>
  <c r="BG16" i="64"/>
  <c r="AY13" i="64"/>
  <c r="BL15" i="64"/>
  <c r="BX18" i="64"/>
  <c r="BG15" i="64"/>
  <c r="BI16" i="64"/>
  <c r="BB19" i="64"/>
  <c r="BG17" i="64"/>
  <c r="BF15" i="64"/>
  <c r="BE13" i="64"/>
  <c r="AX20" i="64"/>
  <c r="BF18" i="64"/>
  <c r="BJ16" i="64"/>
  <c r="BA14" i="64"/>
  <c r="BF17" i="64"/>
  <c r="BX13" i="64"/>
  <c r="BG12" i="64"/>
  <c r="BW15" i="64"/>
  <c r="AV12" i="64"/>
  <c r="AT21" i="64"/>
  <c r="AX12" i="64"/>
  <c r="AT19" i="64"/>
  <c r="BW16" i="64"/>
  <c r="AY20" i="64"/>
  <c r="BX14" i="64"/>
  <c r="BD18" i="64"/>
  <c r="BH16" i="64"/>
  <c r="AW21" i="64"/>
  <c r="BW14" i="64"/>
  <c r="BB21" i="64"/>
  <c r="AV21" i="64"/>
  <c r="BE16" i="64"/>
  <c r="BJ12" i="64"/>
  <c r="BH17" i="64"/>
  <c r="BG18" i="64"/>
  <c r="AW20" i="64"/>
  <c r="AV19" i="64"/>
  <c r="AP21" i="64"/>
  <c r="AH20" i="64" l="1"/>
  <c r="AH21" i="64"/>
  <c r="AH19" i="64"/>
  <c r="AB19" i="64"/>
  <c r="P3" i="65"/>
  <c r="I22" i="58" s="1"/>
  <c r="P1" i="65"/>
  <c r="P2" i="65"/>
  <c r="I20" i="58" s="1"/>
  <c r="P5" i="65"/>
  <c r="I24" i="58" s="1"/>
  <c r="P6" i="65"/>
  <c r="I21" i="58" s="1"/>
  <c r="P5" i="66"/>
  <c r="J24" i="58" s="1"/>
  <c r="P6" i="66"/>
  <c r="J21" i="58" s="1"/>
  <c r="AA21" i="64"/>
  <c r="AA19" i="64"/>
  <c r="P4" i="65"/>
  <c r="I23" i="58" s="1"/>
  <c r="AF20" i="64"/>
  <c r="AF19" i="64"/>
  <c r="AG20" i="64"/>
  <c r="AG19" i="64"/>
  <c r="AG21" i="64"/>
  <c r="AI21" i="64"/>
  <c r="AI20" i="64"/>
  <c r="AE21" i="64"/>
  <c r="AE20" i="64"/>
  <c r="AE19" i="64"/>
  <c r="P3" i="66"/>
  <c r="J22" i="58" s="1"/>
  <c r="P4" i="66"/>
  <c r="J23" i="58" s="1"/>
  <c r="P1" i="66"/>
  <c r="P2" i="66"/>
  <c r="J20" i="58" s="1"/>
  <c r="W15" i="64"/>
  <c r="W17" i="64"/>
  <c r="W16" i="64"/>
  <c r="W18" i="64"/>
  <c r="W14" i="64"/>
  <c r="W13" i="64"/>
  <c r="W12" i="64"/>
  <c r="AE12" i="64"/>
  <c r="AI18" i="64"/>
  <c r="AI15" i="64"/>
  <c r="AI13" i="64"/>
  <c r="AH12" i="64"/>
  <c r="U15" i="64"/>
  <c r="R12" i="64"/>
  <c r="T12" i="64"/>
  <c r="AC18" i="64"/>
  <c r="U12" i="64"/>
  <c r="AD17" i="64"/>
  <c r="V12" i="64"/>
  <c r="AC13" i="64"/>
  <c r="R16" i="64"/>
  <c r="R17" i="64"/>
  <c r="S16" i="64"/>
  <c r="AG12" i="64"/>
  <c r="X14" i="64"/>
  <c r="AC14" i="64"/>
  <c r="V14" i="64"/>
  <c r="T15" i="64"/>
  <c r="R13" i="64"/>
  <c r="T16" i="64"/>
  <c r="S17" i="64"/>
  <c r="R18" i="64"/>
  <c r="X12" i="64"/>
  <c r="S13" i="64"/>
  <c r="T17" i="64"/>
  <c r="S18" i="64"/>
  <c r="T13" i="64"/>
  <c r="X15" i="64"/>
  <c r="U16" i="64"/>
  <c r="T18" i="64"/>
  <c r="V16" i="64"/>
  <c r="U17" i="64"/>
  <c r="U13" i="64"/>
  <c r="R14" i="64"/>
  <c r="V17" i="64"/>
  <c r="U18" i="64"/>
  <c r="V13" i="64"/>
  <c r="S14" i="64"/>
  <c r="X16" i="64"/>
  <c r="V18" i="64"/>
  <c r="T14" i="64"/>
  <c r="X17" i="64"/>
  <c r="S12" i="64"/>
  <c r="X13" i="64"/>
  <c r="R15" i="64"/>
  <c r="X18" i="64"/>
  <c r="U14" i="64"/>
  <c r="S15" i="64"/>
  <c r="AQ16" i="64"/>
  <c r="AP20" i="64"/>
  <c r="AR20" i="64"/>
  <c r="AW15" i="64"/>
  <c r="AQ21" i="64"/>
  <c r="AR19" i="64"/>
  <c r="AS18" i="64"/>
  <c r="BC18" i="64"/>
  <c r="AS19" i="64"/>
  <c r="AU16" i="64"/>
  <c r="AS20" i="64"/>
  <c r="BC20" i="64"/>
  <c r="AR21" i="64"/>
  <c r="BD19" i="64"/>
  <c r="AZ19" i="64"/>
  <c r="BJ15" i="64"/>
  <c r="AU21" i="64"/>
  <c r="AS13" i="64"/>
  <c r="BC19" i="64"/>
  <c r="BC16" i="64"/>
  <c r="AR12" i="64"/>
  <c r="BB20" i="64"/>
  <c r="AS12" i="64"/>
  <c r="AQ20" i="64"/>
  <c r="AW19" i="64"/>
  <c r="AS21" i="64"/>
  <c r="AY12" i="64"/>
  <c r="AY19" i="64"/>
  <c r="BD20" i="64"/>
  <c r="BA19" i="64"/>
  <c r="AA20" i="64" l="1"/>
  <c r="AB20" i="64"/>
  <c r="AB16" i="64"/>
  <c r="AB21" i="64"/>
  <c r="AI19" i="64"/>
  <c r="AI12" i="64"/>
  <c r="C236" i="66"/>
  <c r="C268" i="66"/>
  <c r="C202" i="66"/>
  <c r="C74" i="66"/>
  <c r="C171" i="66"/>
  <c r="C137" i="66"/>
  <c r="C183" i="65"/>
  <c r="C267" i="65"/>
  <c r="C224" i="65"/>
  <c r="C311" i="65"/>
  <c r="C398" i="65"/>
  <c r="C354" i="65"/>
  <c r="C96" i="65"/>
  <c r="C139" i="65"/>
  <c r="AD12" i="64"/>
  <c r="AD13" i="64"/>
  <c r="AD19" i="64"/>
  <c r="AD20" i="64"/>
  <c r="AD18" i="64"/>
  <c r="AD21" i="64"/>
  <c r="AF21" i="64"/>
  <c r="AC19" i="64"/>
  <c r="AC20" i="64"/>
  <c r="AF16" i="64"/>
  <c r="AC12" i="64"/>
  <c r="AC21" i="64"/>
  <c r="I19" i="58"/>
  <c r="J19" i="58"/>
  <c r="V15" i="64"/>
  <c r="AS14" i="64"/>
  <c r="AZ15" i="64"/>
  <c r="AZ14" i="64"/>
  <c r="BB12" i="64"/>
  <c r="AU15" i="64"/>
  <c r="AZ12" i="64"/>
  <c r="BC13" i="64"/>
  <c r="AV14" i="64"/>
  <c r="AP18" i="64"/>
  <c r="AT13" i="64"/>
  <c r="AV16" i="64"/>
  <c r="BA18" i="64"/>
  <c r="AT14" i="64"/>
  <c r="AY14" i="64"/>
  <c r="BB15" i="64"/>
  <c r="BB13" i="64"/>
  <c r="AR17" i="64"/>
  <c r="AX18" i="64"/>
  <c r="AT16" i="64"/>
  <c r="BC12" i="64"/>
  <c r="AU12" i="64"/>
  <c r="AP17" i="64"/>
  <c r="AP16" i="64"/>
  <c r="AV13" i="64"/>
  <c r="AX15" i="64"/>
  <c r="AW13" i="64"/>
  <c r="AP13" i="64"/>
  <c r="AZ16" i="64"/>
  <c r="AR15" i="64"/>
  <c r="AQ12" i="64"/>
  <c r="AX14" i="64"/>
  <c r="AU18" i="64"/>
  <c r="BA13" i="64"/>
  <c r="AV17" i="64"/>
  <c r="AS16" i="64"/>
  <c r="AX16" i="64"/>
  <c r="AP12" i="64"/>
  <c r="AW18" i="64"/>
  <c r="AQ15" i="64"/>
  <c r="AX17" i="64"/>
  <c r="AZ18" i="64"/>
  <c r="BD14" i="64"/>
  <c r="AS15" i="64"/>
  <c r="AW16" i="64"/>
  <c r="AW14" i="64"/>
  <c r="BA12" i="64"/>
  <c r="AV15" i="64"/>
  <c r="BC15" i="64"/>
  <c r="AT17" i="64"/>
  <c r="BB16" i="64"/>
  <c r="AU14" i="64"/>
  <c r="BD16" i="64"/>
  <c r="AU13" i="64"/>
  <c r="AW12" i="64"/>
  <c r="AZ17" i="64"/>
  <c r="BD15" i="64"/>
  <c r="AZ13" i="64"/>
  <c r="AT18" i="64"/>
  <c r="AQ14" i="64"/>
  <c r="AP14" i="64"/>
  <c r="AY16" i="64"/>
  <c r="BB18" i="64"/>
  <c r="BC14" i="64"/>
  <c r="AX13" i="64"/>
  <c r="BA15" i="64"/>
  <c r="BA16" i="64"/>
  <c r="BB17" i="64"/>
  <c r="AV18" i="64"/>
  <c r="AW17" i="64"/>
  <c r="AP15" i="64"/>
  <c r="AY17" i="64"/>
  <c r="AQ13" i="64"/>
  <c r="BA17" i="64"/>
  <c r="AT15" i="64"/>
  <c r="AR16" i="64"/>
  <c r="BB14" i="64"/>
  <c r="BC17" i="64"/>
  <c r="AQ18" i="64"/>
  <c r="AQ17" i="64"/>
  <c r="AU17" i="64"/>
  <c r="BD17" i="64"/>
  <c r="Z20" i="64" l="1"/>
  <c r="Y20" i="64" s="1"/>
  <c r="Z19" i="64"/>
  <c r="Y19" i="64" s="1"/>
  <c r="Z21" i="64"/>
  <c r="Y21" i="64" s="1"/>
  <c r="AE18" i="64"/>
  <c r="AE14" i="64"/>
  <c r="AE17" i="64"/>
  <c r="AE13" i="64"/>
  <c r="AE15" i="64"/>
  <c r="AE16" i="64"/>
  <c r="AI16" i="64"/>
  <c r="AI17" i="64"/>
  <c r="AI14" i="64"/>
  <c r="AA18" i="64"/>
  <c r="AA16" i="64"/>
  <c r="AA17" i="64"/>
  <c r="AA14" i="64"/>
  <c r="AA13" i="64"/>
  <c r="AA15" i="64"/>
  <c r="AA12" i="64"/>
  <c r="AB14" i="64"/>
  <c r="AB17" i="64"/>
  <c r="AB12" i="64"/>
  <c r="AB15" i="64"/>
  <c r="AB18" i="64"/>
  <c r="AB13" i="64"/>
  <c r="AH17" i="64"/>
  <c r="AH13" i="64"/>
  <c r="AH15" i="64"/>
  <c r="AH18" i="64"/>
  <c r="AH16" i="64"/>
  <c r="AH14" i="64"/>
  <c r="Q16" i="64"/>
  <c r="Q15" i="64"/>
  <c r="AF17" i="64"/>
  <c r="AF14" i="64"/>
  <c r="AC16" i="64"/>
  <c r="AD16" i="64"/>
  <c r="AG18" i="64"/>
  <c r="AF13" i="64"/>
  <c r="AG17" i="64"/>
  <c r="AF12" i="64"/>
  <c r="AG16" i="64"/>
  <c r="AF15" i="64"/>
  <c r="AC15" i="64"/>
  <c r="AC17" i="64"/>
  <c r="AG13" i="64"/>
  <c r="AD15" i="64"/>
  <c r="AD14" i="64"/>
  <c r="AG14" i="64"/>
  <c r="AF18" i="64"/>
  <c r="AG15" i="64"/>
  <c r="Q13" i="64"/>
  <c r="Q14" i="64"/>
  <c r="Q17" i="64"/>
  <c r="Q18" i="64"/>
  <c r="Q12" i="64"/>
  <c r="Z18" i="64" l="1"/>
  <c r="Y18" i="64" s="1"/>
  <c r="Z12" i="64"/>
  <c r="Z16" i="64"/>
  <c r="Y16" i="64" s="1"/>
  <c r="Z17" i="64"/>
  <c r="Y17" i="64" s="1"/>
  <c r="Z14" i="64"/>
  <c r="Y14" i="64" s="1"/>
  <c r="Z15" i="64"/>
  <c r="Y15" i="64" s="1"/>
  <c r="Z13" i="64"/>
  <c r="Y13" i="64" s="1"/>
  <c r="Y12" i="64" l="1"/>
  <c r="O17" i="64" s="1" a="1"/>
  <c r="O17" i="64" s="1"/>
  <c r="BF9" i="35"/>
  <c r="BF31" i="35"/>
  <c r="N17" i="64" l="1"/>
  <c r="O12" i="64" a="1"/>
  <c r="O12" i="64" s="1"/>
  <c r="O13" i="64" a="1"/>
  <c r="O13" i="64" s="1"/>
  <c r="K13" i="64" s="1"/>
  <c r="O14" i="64" a="1"/>
  <c r="O14" i="64" s="1"/>
  <c r="N14" i="64" s="1"/>
  <c r="O16" i="64" a="1"/>
  <c r="O16" i="64" s="1"/>
  <c r="N16" i="64" s="1"/>
  <c r="O15" i="64" a="1"/>
  <c r="O15" i="64" s="1"/>
  <c r="K15" i="64" s="1"/>
  <c r="L15" i="64" s="1"/>
  <c r="P13" i="64"/>
  <c r="P12" i="64"/>
  <c r="P14" i="64"/>
  <c r="BF30" i="35"/>
  <c r="I10" i="64" l="1"/>
  <c r="I45" i="64"/>
  <c r="H10" i="64"/>
  <c r="H45" i="64"/>
  <c r="G10" i="64"/>
  <c r="G45" i="64"/>
  <c r="K17" i="64"/>
  <c r="N15" i="64"/>
  <c r="K16" i="64"/>
  <c r="L16" i="64" s="1"/>
  <c r="K14" i="64"/>
  <c r="L14" i="64" s="1"/>
  <c r="I7" i="64"/>
  <c r="N12" i="64"/>
  <c r="L13" i="64"/>
  <c r="N13" i="64"/>
  <c r="O4" i="64"/>
  <c r="K12" i="64"/>
  <c r="L12" i="64" s="1"/>
  <c r="H7" i="64"/>
  <c r="G7" i="64"/>
  <c r="G36" i="64" l="1"/>
  <c r="G39" i="64"/>
  <c r="O6" i="64"/>
  <c r="L17" i="64"/>
  <c r="P6" i="64" s="1"/>
  <c r="H21" i="58" s="1"/>
  <c r="G38" i="64"/>
  <c r="G41" i="64"/>
  <c r="G40" i="64"/>
  <c r="I41" i="64"/>
  <c r="I38" i="64"/>
  <c r="I40" i="64"/>
  <c r="I39" i="64"/>
  <c r="H40" i="64"/>
  <c r="H39" i="64"/>
  <c r="H41" i="64"/>
  <c r="H38" i="64"/>
  <c r="G28" i="64"/>
  <c r="G34" i="64"/>
  <c r="G33" i="64"/>
  <c r="G30" i="64"/>
  <c r="G35" i="64"/>
  <c r="G32" i="64"/>
  <c r="G29" i="64"/>
  <c r="G31" i="64"/>
  <c r="H30" i="64"/>
  <c r="H35" i="64"/>
  <c r="H32" i="64"/>
  <c r="H29" i="64"/>
  <c r="H36" i="64"/>
  <c r="H33" i="64"/>
  <c r="H34" i="64"/>
  <c r="H31" i="64"/>
  <c r="H28" i="64"/>
  <c r="I35" i="64"/>
  <c r="I32" i="64"/>
  <c r="I29" i="64"/>
  <c r="I34" i="64"/>
  <c r="I33" i="64"/>
  <c r="I31" i="64"/>
  <c r="I28" i="64"/>
  <c r="I36" i="64"/>
  <c r="I30" i="64"/>
  <c r="O3" i="64"/>
  <c r="O5" i="64"/>
  <c r="H11" i="64"/>
  <c r="G11" i="64"/>
  <c r="I19" i="64"/>
  <c r="I11" i="64"/>
  <c r="I24" i="64"/>
  <c r="I16" i="64"/>
  <c r="I23" i="64"/>
  <c r="I25" i="64"/>
  <c r="I13" i="64"/>
  <c r="I21" i="64"/>
  <c r="I14" i="64"/>
  <c r="I17" i="64"/>
  <c r="I22" i="64"/>
  <c r="I15" i="64"/>
  <c r="I20" i="64"/>
  <c r="I18" i="64"/>
  <c r="O2" i="64"/>
  <c r="O1" i="64"/>
  <c r="H13" i="64"/>
  <c r="H15" i="64"/>
  <c r="H19" i="64"/>
  <c r="H23" i="64"/>
  <c r="H21" i="64"/>
  <c r="H14" i="64"/>
  <c r="H20" i="64"/>
  <c r="H17" i="64"/>
  <c r="H22" i="64"/>
  <c r="H24" i="64"/>
  <c r="H25" i="64"/>
  <c r="H16" i="64"/>
  <c r="H18" i="64"/>
  <c r="G13" i="64"/>
  <c r="G15" i="64"/>
  <c r="G19" i="64"/>
  <c r="G23" i="64"/>
  <c r="G25" i="64"/>
  <c r="G22" i="64"/>
  <c r="G24" i="64"/>
  <c r="G16" i="64"/>
  <c r="G20" i="64"/>
  <c r="G17" i="64"/>
  <c r="G18" i="64"/>
  <c r="G21" i="64"/>
  <c r="G14" i="64"/>
  <c r="H12" i="64"/>
  <c r="I12" i="64"/>
  <c r="G12" i="64"/>
  <c r="P4" i="64" l="1"/>
  <c r="H23" i="58" s="1"/>
  <c r="P2" i="64"/>
  <c r="H20" i="58" s="1"/>
  <c r="P3" i="64"/>
  <c r="H22" i="58" s="1"/>
  <c r="P5" i="64"/>
  <c r="H24" i="58" s="1"/>
  <c r="P1" i="64"/>
  <c r="H19" i="58" l="1"/>
  <c r="AW9" i="35"/>
  <c r="AV9" i="35"/>
  <c r="AU9" i="35"/>
  <c r="AT9" i="35"/>
  <c r="BE9" i="35"/>
  <c r="AS9" i="35"/>
  <c r="BD9" i="35"/>
  <c r="BB9" i="35"/>
  <c r="BA9" i="35"/>
  <c r="BC9" i="35"/>
  <c r="AY9" i="35"/>
  <c r="AX9" i="35"/>
  <c r="AZ9" i="35"/>
  <c r="AU30" i="35"/>
  <c r="AZ30" i="35"/>
  <c r="AV31" i="35"/>
  <c r="AZ10" i="64"/>
  <c r="AW30" i="35"/>
  <c r="AV30" i="35"/>
  <c r="AX31" i="35"/>
  <c r="BG10" i="64"/>
  <c r="AT30" i="35"/>
  <c r="AY30" i="35"/>
  <c r="BA30" i="35"/>
  <c r="BD10" i="64"/>
  <c r="BC10" i="64"/>
  <c r="AS10" i="64"/>
  <c r="AW10" i="64"/>
  <c r="AY31" i="35"/>
  <c r="AS31" i="35"/>
  <c r="BE30" i="35"/>
  <c r="BC31" i="35"/>
  <c r="BI10" i="64"/>
  <c r="AS30" i="35"/>
  <c r="AV12" i="35"/>
  <c r="BH10" i="64"/>
  <c r="BX10" i="64"/>
  <c r="AP10" i="64"/>
  <c r="BD30" i="35"/>
  <c r="AT10" i="64"/>
  <c r="BJ10" i="64"/>
  <c r="AX30" i="35"/>
  <c r="BE10" i="64"/>
  <c r="AT31" i="35"/>
  <c r="AV10" i="64"/>
  <c r="BB31" i="35"/>
  <c r="BW10" i="64"/>
  <c r="BA10" i="64"/>
  <c r="BB30" i="35"/>
  <c r="AT13" i="35"/>
  <c r="AR10" i="64"/>
  <c r="AM31" i="35" l="1"/>
  <c r="AM30" i="35"/>
  <c r="AC30" i="35"/>
  <c r="AC31" i="35"/>
  <c r="AJ30" i="35"/>
  <c r="AJ31" i="35"/>
  <c r="AD30" i="35"/>
  <c r="AD31" i="35"/>
  <c r="AG31" i="35"/>
  <c r="AG30" i="35"/>
  <c r="AH30" i="35"/>
  <c r="AH31" i="35"/>
  <c r="AF30" i="35"/>
  <c r="AF31" i="35"/>
  <c r="AI30" i="35"/>
  <c r="AI31" i="35"/>
  <c r="AK30" i="35"/>
  <c r="AE30" i="35"/>
  <c r="AE31" i="35"/>
  <c r="AF12" i="35"/>
  <c r="AR9" i="35"/>
  <c r="BN13" i="35"/>
  <c r="BJ26" i="35"/>
  <c r="BH28" i="35"/>
  <c r="BF12" i="35"/>
  <c r="BL20" i="35"/>
  <c r="BE18" i="35"/>
  <c r="BD31" i="35"/>
  <c r="BI21" i="35"/>
  <c r="BM20" i="35"/>
  <c r="BO23" i="35"/>
  <c r="BF26" i="35"/>
  <c r="BJ14" i="35"/>
  <c r="BH20" i="35"/>
  <c r="BF10" i="35"/>
  <c r="BK21" i="35"/>
  <c r="BZ23" i="35"/>
  <c r="BE20" i="35"/>
  <c r="BI22" i="35"/>
  <c r="BI10" i="35"/>
  <c r="BM18" i="35"/>
  <c r="BL21" i="35"/>
  <c r="BM16" i="35"/>
  <c r="BY25" i="35"/>
  <c r="AY10" i="64"/>
  <c r="BJ10" i="35"/>
  <c r="BF19" i="35"/>
  <c r="BG22" i="35"/>
  <c r="BE13" i="35"/>
  <c r="BK25" i="35"/>
  <c r="BL23" i="35"/>
  <c r="BI17" i="35"/>
  <c r="BM29" i="35"/>
  <c r="BJ13" i="35"/>
  <c r="BE29" i="35"/>
  <c r="BH16" i="35"/>
  <c r="BM19" i="35"/>
  <c r="BF15" i="35"/>
  <c r="BN27" i="35"/>
  <c r="BE26" i="35"/>
  <c r="BY23" i="35"/>
  <c r="BM14" i="35"/>
  <c r="BI23" i="35"/>
  <c r="AU19" i="35"/>
  <c r="BN17" i="35"/>
  <c r="BL16" i="35"/>
  <c r="BJ18" i="35"/>
  <c r="BF29" i="35"/>
  <c r="BL19" i="35"/>
  <c r="BZ26" i="35"/>
  <c r="BY21" i="35"/>
  <c r="BE24" i="35"/>
  <c r="BN20" i="35"/>
  <c r="BY19" i="35"/>
  <c r="BM21" i="35"/>
  <c r="BJ27" i="35"/>
  <c r="BO20" i="35"/>
  <c r="BJ22" i="35"/>
  <c r="BO18" i="35"/>
  <c r="BF23" i="35"/>
  <c r="BF20" i="35"/>
  <c r="BG16" i="35"/>
  <c r="BF16" i="35"/>
  <c r="BZ28" i="35"/>
  <c r="BK26" i="35"/>
  <c r="BZ10" i="35"/>
  <c r="BK28" i="35"/>
  <c r="BY28" i="35"/>
  <c r="BL10" i="35"/>
  <c r="BH22" i="35"/>
  <c r="BG23" i="35"/>
  <c r="BN26" i="35"/>
  <c r="AX10" i="64"/>
  <c r="BH18" i="35"/>
  <c r="BO26" i="35"/>
  <c r="BM25" i="35"/>
  <c r="BZ16" i="35"/>
  <c r="BJ19" i="35"/>
  <c r="BM23" i="35"/>
  <c r="BJ20" i="35"/>
  <c r="BG25" i="35"/>
  <c r="BA31" i="35"/>
  <c r="BF14" i="35"/>
  <c r="BK10" i="35"/>
  <c r="BG21" i="35"/>
  <c r="BO24" i="35"/>
  <c r="BJ16" i="35"/>
  <c r="AU10" i="64"/>
  <c r="BI16" i="35"/>
  <c r="BM22" i="35"/>
  <c r="BO16" i="35"/>
  <c r="BO17" i="35"/>
  <c r="BY17" i="35"/>
  <c r="BK17" i="35"/>
  <c r="BN28" i="35"/>
  <c r="BN29" i="35"/>
  <c r="BG24" i="35"/>
  <c r="BY14" i="35"/>
  <c r="BF28" i="35"/>
  <c r="BG20" i="35"/>
  <c r="BK18" i="35"/>
  <c r="BF17" i="35"/>
  <c r="BO13" i="35"/>
  <c r="AQ10" i="64"/>
  <c r="BE17" i="35"/>
  <c r="BL15" i="35"/>
  <c r="BI29" i="35"/>
  <c r="BK13" i="35"/>
  <c r="BG28" i="35"/>
  <c r="BY13" i="35"/>
  <c r="BI12" i="35"/>
  <c r="BK12" i="35"/>
  <c r="BK15" i="35"/>
  <c r="BG29" i="35"/>
  <c r="BE25" i="35"/>
  <c r="BM15" i="35"/>
  <c r="BL25" i="35"/>
  <c r="BM26" i="35"/>
  <c r="BF22" i="35"/>
  <c r="BJ21" i="35"/>
  <c r="BC12" i="35"/>
  <c r="BN14" i="35"/>
  <c r="BM27" i="35"/>
  <c r="BG15" i="35"/>
  <c r="BE23" i="35"/>
  <c r="BY16" i="35"/>
  <c r="BN16" i="35"/>
  <c r="BE27" i="35"/>
  <c r="BN21" i="35"/>
  <c r="BH13" i="35"/>
  <c r="BF24" i="35"/>
  <c r="AR12" i="35"/>
  <c r="BZ21" i="35"/>
  <c r="BO29" i="35"/>
  <c r="BK23" i="35"/>
  <c r="BN19" i="35"/>
  <c r="BJ25" i="35"/>
  <c r="BL22" i="35"/>
  <c r="BC30" i="35"/>
  <c r="BY24" i="35"/>
  <c r="BJ23" i="35"/>
  <c r="BK10" i="64"/>
  <c r="BH27" i="35"/>
  <c r="BZ29" i="35"/>
  <c r="BK20" i="35"/>
  <c r="BM10" i="35"/>
  <c r="BK16" i="35"/>
  <c r="BH21" i="35"/>
  <c r="BZ27" i="35"/>
  <c r="BH10" i="35"/>
  <c r="BY26" i="35"/>
  <c r="BG14" i="35"/>
  <c r="BY22" i="35"/>
  <c r="BZ13" i="35"/>
  <c r="BZ15" i="35"/>
  <c r="BH19" i="35"/>
  <c r="BI14" i="35"/>
  <c r="BF25" i="35"/>
  <c r="BH17" i="35"/>
  <c r="BJ24" i="35"/>
  <c r="BZ12" i="35"/>
  <c r="BI19" i="35"/>
  <c r="BN24" i="35"/>
  <c r="BN18" i="35"/>
  <c r="BJ15" i="35"/>
  <c r="BK19" i="35"/>
  <c r="BK29" i="35"/>
  <c r="BO28" i="35"/>
  <c r="BJ28" i="35"/>
  <c r="BL26" i="35"/>
  <c r="BE28" i="35"/>
  <c r="BZ19" i="35"/>
  <c r="BL17" i="35"/>
  <c r="BO21" i="35"/>
  <c r="BY18" i="35"/>
  <c r="BK27" i="35"/>
  <c r="BK14" i="35"/>
  <c r="BG18" i="35"/>
  <c r="BH12" i="35"/>
  <c r="BM28" i="35"/>
  <c r="BL13" i="35"/>
  <c r="BG26" i="35"/>
  <c r="BI20" i="35"/>
  <c r="BO12" i="35"/>
  <c r="BM17" i="35"/>
  <c r="BI28" i="35"/>
  <c r="BH23" i="35"/>
  <c r="BE15" i="35"/>
  <c r="BZ14" i="35"/>
  <c r="BH24" i="35"/>
  <c r="AZ31" i="35"/>
  <c r="BE16" i="35"/>
  <c r="BZ20" i="35"/>
  <c r="BG12" i="35"/>
  <c r="BG17" i="35"/>
  <c r="BI18" i="35"/>
  <c r="BK24" i="35"/>
  <c r="BH25" i="35"/>
  <c r="BL14" i="35"/>
  <c r="BO19" i="35"/>
  <c r="BO25" i="35"/>
  <c r="BM24" i="35"/>
  <c r="BH15" i="35"/>
  <c r="BE31" i="35"/>
  <c r="BF13" i="35"/>
  <c r="BY15" i="35"/>
  <c r="BE21" i="35"/>
  <c r="BN22" i="35"/>
  <c r="AU31" i="35"/>
  <c r="BN23" i="35"/>
  <c r="BG19" i="35"/>
  <c r="AU13" i="35"/>
  <c r="BI25" i="35"/>
  <c r="AU18" i="35"/>
  <c r="BL29" i="35"/>
  <c r="AW31" i="35"/>
  <c r="BN12" i="35"/>
  <c r="BZ18" i="35"/>
  <c r="BH14" i="35"/>
  <c r="BF21" i="35"/>
  <c r="BF18" i="35"/>
  <c r="BN25" i="35"/>
  <c r="BI24" i="35"/>
  <c r="BY12" i="35"/>
  <c r="BZ17" i="35"/>
  <c r="BF10" i="64"/>
  <c r="AU17" i="35"/>
  <c r="BJ17" i="35"/>
  <c r="BO27" i="35"/>
  <c r="BL10" i="64"/>
  <c r="BI27" i="35"/>
  <c r="BH29" i="35"/>
  <c r="AU16" i="35"/>
  <c r="BI13" i="35"/>
  <c r="BK22" i="35"/>
  <c r="BO15" i="35"/>
  <c r="BO10" i="35"/>
  <c r="BL18" i="35"/>
  <c r="BI26" i="35"/>
  <c r="BN15" i="35"/>
  <c r="BG13" i="35"/>
  <c r="BY29" i="35"/>
  <c r="BM12" i="35"/>
  <c r="BL28" i="35"/>
  <c r="BE14" i="35"/>
  <c r="BJ29" i="35"/>
  <c r="BH26" i="35"/>
  <c r="BE19" i="35"/>
  <c r="BN10" i="35"/>
  <c r="BB10" i="64"/>
  <c r="BE22" i="35"/>
  <c r="BM13" i="35"/>
  <c r="BG27" i="35"/>
  <c r="BG10" i="35"/>
  <c r="BL12" i="35"/>
  <c r="BF27" i="35"/>
  <c r="BI15" i="35"/>
  <c r="BZ22" i="35"/>
  <c r="BY10" i="35"/>
  <c r="BL24" i="35"/>
  <c r="BZ24" i="35"/>
  <c r="BZ25" i="35"/>
  <c r="BJ12" i="35"/>
  <c r="BY20" i="35"/>
  <c r="BO14" i="35"/>
  <c r="BO22" i="35"/>
  <c r="AK31" i="35" l="1"/>
  <c r="AA30" i="35"/>
  <c r="Z30" i="35" s="1"/>
  <c r="AA31" i="35"/>
  <c r="Z31" i="35" s="1"/>
  <c r="X24" i="35"/>
  <c r="X21" i="35"/>
  <c r="X23" i="35"/>
  <c r="X29" i="35"/>
  <c r="X28" i="35"/>
  <c r="X22" i="35"/>
  <c r="X19" i="35"/>
  <c r="X18" i="35"/>
  <c r="X12" i="35"/>
  <c r="X26" i="35"/>
  <c r="X13" i="35"/>
  <c r="X14" i="35"/>
  <c r="X15" i="35"/>
  <c r="X17" i="35"/>
  <c r="X20" i="35"/>
  <c r="X25" i="35"/>
  <c r="X16" i="35"/>
  <c r="X27" i="35"/>
  <c r="Z10" i="64"/>
  <c r="Y18" i="35"/>
  <c r="Y16" i="35"/>
  <c r="Y28" i="35"/>
  <c r="Y24" i="35"/>
  <c r="Y20" i="35"/>
  <c r="Y23" i="35"/>
  <c r="Y17" i="35"/>
  <c r="Y19" i="35"/>
  <c r="Y13" i="35"/>
  <c r="Y22" i="35"/>
  <c r="Y27" i="35"/>
  <c r="Y12" i="35"/>
  <c r="Y29" i="35"/>
  <c r="Y15" i="35"/>
  <c r="Y26" i="35"/>
  <c r="Y25" i="35"/>
  <c r="Y14" i="35"/>
  <c r="Y21" i="35"/>
  <c r="W21" i="35"/>
  <c r="W24" i="35"/>
  <c r="W19" i="35"/>
  <c r="W14" i="35"/>
  <c r="W29" i="35"/>
  <c r="W15" i="35"/>
  <c r="W17" i="35"/>
  <c r="W26" i="35"/>
  <c r="W16" i="35"/>
  <c r="W20" i="35"/>
  <c r="W27" i="35"/>
  <c r="W22" i="35"/>
  <c r="W18" i="35"/>
  <c r="W23" i="35"/>
  <c r="W13" i="35"/>
  <c r="W25" i="35"/>
  <c r="W28" i="35"/>
  <c r="W12" i="35"/>
  <c r="R21" i="35"/>
  <c r="R24" i="35"/>
  <c r="R18" i="35"/>
  <c r="R16" i="35"/>
  <c r="R27" i="35"/>
  <c r="R14" i="35"/>
  <c r="R23" i="35"/>
  <c r="R20" i="35"/>
  <c r="R25" i="35"/>
  <c r="R13" i="35"/>
  <c r="R15" i="35"/>
  <c r="R17" i="35"/>
  <c r="R29" i="35"/>
  <c r="R28" i="35"/>
  <c r="R12" i="35"/>
  <c r="R19" i="35"/>
  <c r="R26" i="35"/>
  <c r="R22" i="35"/>
  <c r="V18" i="35"/>
  <c r="V28" i="35"/>
  <c r="AE18" i="35"/>
  <c r="AE17" i="35"/>
  <c r="U16" i="35"/>
  <c r="T23" i="35"/>
  <c r="S26" i="35"/>
  <c r="U23" i="35"/>
  <c r="S21" i="35"/>
  <c r="T20" i="35"/>
  <c r="T22" i="35"/>
  <c r="T21" i="35"/>
  <c r="V26" i="35"/>
  <c r="T18" i="35"/>
  <c r="S13" i="35"/>
  <c r="S25" i="35"/>
  <c r="AE19" i="35"/>
  <c r="V19" i="35"/>
  <c r="T29" i="35"/>
  <c r="V23" i="35"/>
  <c r="T19" i="35"/>
  <c r="S15" i="35"/>
  <c r="U19" i="35"/>
  <c r="T17" i="35"/>
  <c r="AE13" i="35"/>
  <c r="S22" i="35"/>
  <c r="S18" i="35"/>
  <c r="S19" i="35"/>
  <c r="U17" i="35"/>
  <c r="T27" i="35"/>
  <c r="V24" i="35"/>
  <c r="T16" i="35"/>
  <c r="S23" i="35"/>
  <c r="U21" i="35"/>
  <c r="V21" i="35"/>
  <c r="S17" i="35"/>
  <c r="S12" i="35"/>
  <c r="S29" i="35"/>
  <c r="V22" i="35"/>
  <c r="AE16" i="35"/>
  <c r="V29" i="35"/>
  <c r="U24" i="35"/>
  <c r="U12" i="35"/>
  <c r="V15" i="35"/>
  <c r="U26" i="35"/>
  <c r="U28" i="35"/>
  <c r="S14" i="35"/>
  <c r="U29" i="35"/>
  <c r="U18" i="35"/>
  <c r="S16" i="35"/>
  <c r="S27" i="35"/>
  <c r="U20" i="35"/>
  <c r="T24" i="35"/>
  <c r="U27" i="35"/>
  <c r="T14" i="35"/>
  <c r="U13" i="35"/>
  <c r="T25" i="35"/>
  <c r="V12" i="35"/>
  <c r="U14" i="35"/>
  <c r="S28" i="35"/>
  <c r="S24" i="35"/>
  <c r="T28" i="35"/>
  <c r="T12" i="35"/>
  <c r="V25" i="35"/>
  <c r="U25" i="35"/>
  <c r="V20" i="35"/>
  <c r="V14" i="35"/>
  <c r="T26" i="35"/>
  <c r="V13" i="35"/>
  <c r="S20" i="35"/>
  <c r="T15" i="35"/>
  <c r="T13" i="35"/>
  <c r="U22" i="35"/>
  <c r="U15" i="35"/>
  <c r="V17" i="35"/>
  <c r="V16" i="35"/>
  <c r="BL27" i="35"/>
  <c r="AR31" i="35"/>
  <c r="BY27" i="35"/>
  <c r="AR30" i="35"/>
  <c r="V27" i="35" l="1"/>
  <c r="Q27" i="35" s="1"/>
  <c r="Q18" i="35"/>
  <c r="Q23" i="35"/>
  <c r="Q12" i="35"/>
  <c r="Q19" i="35"/>
  <c r="Q17" i="35"/>
  <c r="Q16" i="35"/>
  <c r="Q13" i="35"/>
  <c r="Q24" i="35"/>
  <c r="Q21" i="35"/>
  <c r="Q22" i="35"/>
  <c r="Q28" i="35"/>
  <c r="Q26" i="35"/>
  <c r="Q29" i="35"/>
  <c r="Q14" i="35"/>
  <c r="Q25" i="35"/>
  <c r="Q15" i="35"/>
  <c r="Q20" i="35"/>
  <c r="K63" i="35" l="1"/>
  <c r="L63" i="35" s="1"/>
  <c r="N63" i="35"/>
  <c r="K64" i="35"/>
  <c r="L64" i="35" s="1"/>
  <c r="N64" i="35"/>
  <c r="I9" i="30"/>
  <c r="AX29" i="35"/>
  <c r="AV19" i="35"/>
  <c r="AX26" i="35"/>
  <c r="BB27" i="35"/>
  <c r="AZ20" i="35"/>
  <c r="AY26" i="35"/>
  <c r="AW28" i="35"/>
  <c r="BB17" i="35"/>
  <c r="BE10" i="35"/>
  <c r="AT25" i="35"/>
  <c r="AR21" i="35"/>
  <c r="AR14" i="35"/>
  <c r="BC24" i="35"/>
  <c r="BB13" i="35"/>
  <c r="BA13" i="35"/>
  <c r="BD16" i="35"/>
  <c r="AW23" i="35"/>
  <c r="AS10" i="35"/>
  <c r="BC14" i="35"/>
  <c r="AR23" i="35"/>
  <c r="AZ18" i="35"/>
  <c r="AV27" i="35"/>
  <c r="AU29" i="35"/>
  <c r="BC23" i="35"/>
  <c r="BC20" i="35"/>
  <c r="AW10" i="35"/>
  <c r="AS29" i="35"/>
  <c r="BD28" i="35"/>
  <c r="AS26" i="35"/>
  <c r="BB22" i="35"/>
  <c r="BA16" i="35"/>
  <c r="AY21" i="35"/>
  <c r="BD18" i="35"/>
  <c r="BD17" i="35"/>
  <c r="BC17" i="35"/>
  <c r="BB23" i="35"/>
  <c r="AT26" i="35"/>
  <c r="BA14" i="35"/>
  <c r="AV10" i="35"/>
  <c r="AW27" i="35"/>
  <c r="AT29" i="35"/>
  <c r="AV29" i="35"/>
  <c r="AV13" i="35"/>
  <c r="BD22" i="35"/>
  <c r="AR26" i="35"/>
  <c r="BD10" i="35"/>
  <c r="AY10" i="35"/>
  <c r="AZ12" i="35"/>
  <c r="BD20" i="35"/>
  <c r="AX18" i="35"/>
  <c r="AV21" i="35"/>
  <c r="AR15" i="35"/>
  <c r="BC21" i="35"/>
  <c r="AU24" i="35"/>
  <c r="BB10" i="35"/>
  <c r="AY15" i="35"/>
  <c r="AV20" i="35"/>
  <c r="BC25" i="35"/>
  <c r="AW18" i="35"/>
  <c r="AX16" i="35"/>
  <c r="AV14" i="35"/>
  <c r="AW12" i="35"/>
  <c r="BA26" i="35"/>
  <c r="AW20" i="35"/>
  <c r="AU23" i="35"/>
  <c r="AR13" i="35"/>
  <c r="AZ16" i="35"/>
  <c r="AT20" i="35"/>
  <c r="BD26" i="35"/>
  <c r="AS15" i="35"/>
  <c r="AZ14" i="35"/>
  <c r="AV25" i="35"/>
  <c r="AR22" i="35"/>
  <c r="AZ15" i="35"/>
  <c r="AX28" i="35"/>
  <c r="AX17" i="35"/>
  <c r="BD15" i="35"/>
  <c r="AZ22" i="35"/>
  <c r="AT14" i="35"/>
  <c r="AZ26" i="35"/>
  <c r="AV16" i="35"/>
  <c r="BA19" i="35"/>
  <c r="AU10" i="35"/>
  <c r="AY19" i="35"/>
  <c r="AY16" i="35"/>
  <c r="AW26" i="35"/>
  <c r="BB15" i="35"/>
  <c r="BD19" i="35"/>
  <c r="AX12" i="35"/>
  <c r="AY17" i="35"/>
  <c r="BB28" i="35"/>
  <c r="BD14" i="35"/>
  <c r="BA28" i="35"/>
  <c r="AS27" i="35"/>
  <c r="AT17" i="35"/>
  <c r="AT23" i="35"/>
  <c r="AY12" i="35"/>
  <c r="AZ29" i="35"/>
  <c r="AS28" i="35"/>
  <c r="AT27" i="35"/>
  <c r="BD29" i="35"/>
  <c r="AX21" i="35"/>
  <c r="AS12" i="35"/>
  <c r="AR10" i="35"/>
  <c r="AX23" i="35"/>
  <c r="BC22" i="35"/>
  <c r="AS18" i="35"/>
  <c r="AV24" i="35"/>
  <c r="AY20" i="35"/>
  <c r="AY29" i="35"/>
  <c r="BC26" i="35"/>
  <c r="AS25" i="35"/>
  <c r="AT10" i="35"/>
  <c r="AR17" i="35"/>
  <c r="AX15" i="35"/>
  <c r="AW24" i="35"/>
  <c r="BB18" i="35"/>
  <c r="BD21" i="35"/>
  <c r="BD23" i="35"/>
  <c r="AR27" i="35"/>
  <c r="BA10" i="35"/>
  <c r="AU15" i="35"/>
  <c r="AX13" i="35"/>
  <c r="AS20" i="35"/>
  <c r="BC10" i="35"/>
  <c r="AV17" i="35"/>
  <c r="AU12" i="35"/>
  <c r="AS22" i="35"/>
  <c r="AU14" i="35"/>
  <c r="AY13" i="35"/>
  <c r="BD25" i="35"/>
  <c r="AZ19" i="35"/>
  <c r="BA22" i="35"/>
  <c r="BA25" i="35"/>
  <c r="AV28" i="35"/>
  <c r="AZ17" i="35"/>
  <c r="AW15" i="35"/>
  <c r="AR18" i="35"/>
  <c r="AZ10" i="35"/>
  <c r="AX22" i="35"/>
  <c r="AY25" i="35"/>
  <c r="AX24" i="35"/>
  <c r="AS24" i="35"/>
  <c r="AW21" i="35"/>
  <c r="AY23" i="35"/>
  <c r="AT28" i="35"/>
  <c r="AZ25" i="35"/>
  <c r="BC15" i="35"/>
  <c r="AU27" i="35"/>
  <c r="AW25" i="35"/>
  <c r="AM23" i="35" l="1"/>
  <c r="AM15" i="35"/>
  <c r="AM27" i="35"/>
  <c r="AM17" i="35"/>
  <c r="AM28" i="35"/>
  <c r="AM13" i="35"/>
  <c r="AM22" i="35"/>
  <c r="AM18" i="35"/>
  <c r="AC12" i="35"/>
  <c r="AC18" i="35"/>
  <c r="AC26" i="35"/>
  <c r="AC15" i="35"/>
  <c r="AC29" i="35"/>
  <c r="AC27" i="35"/>
  <c r="AC20" i="35"/>
  <c r="AC24" i="35"/>
  <c r="AC28" i="35"/>
  <c r="AC22" i="35"/>
  <c r="AC25" i="35"/>
  <c r="AF17" i="35"/>
  <c r="AF28" i="35"/>
  <c r="AF19" i="35"/>
  <c r="AF21" i="35"/>
  <c r="AF16" i="35"/>
  <c r="AF29" i="35"/>
  <c r="AF25" i="35"/>
  <c r="AF20" i="35"/>
  <c r="AF24" i="35"/>
  <c r="AF14" i="35"/>
  <c r="AF27" i="35"/>
  <c r="AF13" i="35"/>
  <c r="AK13" i="35"/>
  <c r="AJ20" i="35"/>
  <c r="AJ12" i="35"/>
  <c r="AJ29" i="35"/>
  <c r="AJ14" i="35"/>
  <c r="AJ26" i="35"/>
  <c r="AJ22" i="35"/>
  <c r="AJ15" i="35"/>
  <c r="AJ18" i="35"/>
  <c r="AJ17" i="35"/>
  <c r="AJ25" i="35"/>
  <c r="AJ16" i="35"/>
  <c r="AJ19" i="35"/>
  <c r="AI13" i="35"/>
  <c r="AH12" i="35"/>
  <c r="AG12" i="35"/>
  <c r="AE12" i="35"/>
  <c r="AH26" i="35"/>
  <c r="AH17" i="35"/>
  <c r="AH29" i="35"/>
  <c r="AH23" i="35"/>
  <c r="AH22" i="35"/>
  <c r="AH16" i="35"/>
  <c r="AH18" i="35"/>
  <c r="AH15" i="35"/>
  <c r="AJ10" i="35"/>
  <c r="AH21" i="35"/>
  <c r="AH28" i="35"/>
  <c r="AH24" i="35"/>
  <c r="AH13" i="35"/>
  <c r="AG27" i="35"/>
  <c r="AG21" i="35"/>
  <c r="AG18" i="35"/>
  <c r="AG25" i="35"/>
  <c r="AI10" i="35"/>
  <c r="AG28" i="35"/>
  <c r="AG20" i="35"/>
  <c r="AG23" i="35"/>
  <c r="AG15" i="35"/>
  <c r="AG26" i="35"/>
  <c r="AG24" i="35"/>
  <c r="AK19" i="35"/>
  <c r="AK16" i="35"/>
  <c r="AK26" i="35"/>
  <c r="AK14" i="35"/>
  <c r="AK22" i="35"/>
  <c r="AK25" i="35"/>
  <c r="AK28" i="35"/>
  <c r="AE14" i="35"/>
  <c r="AE24" i="35"/>
  <c r="AE15" i="35"/>
  <c r="AG10" i="35"/>
  <c r="AE23" i="35"/>
  <c r="AE27" i="35"/>
  <c r="AE29" i="35"/>
  <c r="AD27" i="35"/>
  <c r="AD26" i="35"/>
  <c r="AD28" i="35"/>
  <c r="AD13" i="35"/>
  <c r="AD29" i="35"/>
  <c r="AD23" i="35"/>
  <c r="AD14" i="35"/>
  <c r="AD25" i="35"/>
  <c r="AD17" i="35"/>
  <c r="AD20" i="35"/>
  <c r="AF10" i="35"/>
  <c r="AE10" i="35"/>
  <c r="AI12" i="35"/>
  <c r="AI15" i="35"/>
  <c r="AI25" i="35"/>
  <c r="AB10" i="35"/>
  <c r="AI21" i="35"/>
  <c r="AK10" i="35"/>
  <c r="AI17" i="35"/>
  <c r="AI19" i="35"/>
  <c r="AI20" i="35"/>
  <c r="AI16" i="35"/>
  <c r="AD10" i="35"/>
  <c r="AI29" i="35"/>
  <c r="AI23" i="35"/>
  <c r="AC10" i="35"/>
  <c r="AI26" i="35"/>
  <c r="AS14" i="35"/>
  <c r="BC27" i="35"/>
  <c r="AT15" i="35"/>
  <c r="AV15" i="35"/>
  <c r="AX10" i="35"/>
  <c r="AZ23" i="35"/>
  <c r="AW17" i="35"/>
  <c r="AR25" i="35"/>
  <c r="AW29" i="35"/>
  <c r="AT24" i="35"/>
  <c r="AX25" i="35"/>
  <c r="AU20" i="35"/>
  <c r="AW19" i="35"/>
  <c r="BA12" i="35"/>
  <c r="AY18" i="35"/>
  <c r="AS21" i="35"/>
  <c r="AR16" i="35"/>
  <c r="AX20" i="35"/>
  <c r="AZ27" i="35"/>
  <c r="BB16" i="35"/>
  <c r="BB29" i="35"/>
  <c r="AY27" i="35"/>
  <c r="AY24" i="35"/>
  <c r="AW22" i="35"/>
  <c r="BB24" i="35"/>
  <c r="AY22" i="35"/>
  <c r="AT21" i="35"/>
  <c r="BC28" i="35"/>
  <c r="AU26" i="35"/>
  <c r="AV26" i="35"/>
  <c r="BD27" i="35"/>
  <c r="AR24" i="35"/>
  <c r="AW13" i="35"/>
  <c r="BC13" i="35"/>
  <c r="AS23" i="35"/>
  <c r="BA24" i="35"/>
  <c r="AT22" i="35"/>
  <c r="AU25" i="35"/>
  <c r="AS16" i="35"/>
  <c r="BA17" i="35"/>
  <c r="AY28" i="35"/>
  <c r="AU21" i="35"/>
  <c r="BA20" i="35"/>
  <c r="AV22" i="35"/>
  <c r="BA18" i="35"/>
  <c r="BC16" i="35"/>
  <c r="BB26" i="35"/>
  <c r="BB12" i="35"/>
  <c r="AR28" i="35"/>
  <c r="AV23" i="35"/>
  <c r="BC18" i="35"/>
  <c r="BD13" i="35"/>
  <c r="AT18" i="35"/>
  <c r="BB20" i="35"/>
  <c r="BD24" i="35"/>
  <c r="AR29" i="35"/>
  <c r="AX27" i="35"/>
  <c r="AS19" i="35"/>
  <c r="BA23" i="35"/>
  <c r="AZ24" i="35"/>
  <c r="AV18" i="35"/>
  <c r="AT19" i="35"/>
  <c r="BA21" i="35"/>
  <c r="AW16" i="35"/>
  <c r="AW14" i="35"/>
  <c r="BA15" i="35"/>
  <c r="AX14" i="35"/>
  <c r="AY14" i="35"/>
  <c r="AX19" i="35"/>
  <c r="AZ28" i="35"/>
  <c r="BD12" i="35"/>
  <c r="BA27" i="35"/>
  <c r="BB14" i="35"/>
  <c r="BC19" i="35"/>
  <c r="BB25" i="35"/>
  <c r="AU28" i="35"/>
  <c r="AR20" i="35"/>
  <c r="BB21" i="35"/>
  <c r="AZ13" i="35"/>
  <c r="BB19" i="35"/>
  <c r="AU22" i="35"/>
  <c r="AT12" i="35"/>
  <c r="AT16" i="35"/>
  <c r="BE12" i="35"/>
  <c r="AR19" i="35"/>
  <c r="BC29" i="35"/>
  <c r="AS17" i="35"/>
  <c r="AZ21" i="35"/>
  <c r="BA29" i="35"/>
  <c r="AS13" i="35"/>
  <c r="AM19" i="35" l="1"/>
  <c r="AM26" i="35"/>
  <c r="AM21" i="35"/>
  <c r="AM20" i="35"/>
  <c r="AM25" i="35"/>
  <c r="AM29" i="35"/>
  <c r="AM14" i="35"/>
  <c r="AM12" i="35"/>
  <c r="AM24" i="35"/>
  <c r="AM16" i="35"/>
  <c r="AC16" i="35"/>
  <c r="AC14" i="35"/>
  <c r="AC23" i="35"/>
  <c r="AC19" i="35"/>
  <c r="AC13" i="35"/>
  <c r="AC17" i="35"/>
  <c r="AC21" i="35"/>
  <c r="AF15" i="35"/>
  <c r="AF26" i="35"/>
  <c r="AF18" i="35"/>
  <c r="AF23" i="35"/>
  <c r="AF22" i="35"/>
  <c r="AK24" i="35"/>
  <c r="AK15" i="35"/>
  <c r="AK17" i="35"/>
  <c r="AK27" i="35"/>
  <c r="AK23" i="35"/>
  <c r="AK20" i="35"/>
  <c r="AK12" i="35"/>
  <c r="AK29" i="35"/>
  <c r="AK21" i="35"/>
  <c r="AJ24" i="35"/>
  <c r="AJ23" i="35"/>
  <c r="AJ13" i="35"/>
  <c r="AJ21" i="35"/>
  <c r="AJ27" i="35"/>
  <c r="AJ28" i="35"/>
  <c r="AI27" i="35"/>
  <c r="AG29" i="35"/>
  <c r="AI28" i="35"/>
  <c r="AD21" i="35"/>
  <c r="AH14" i="35"/>
  <c r="AD18" i="35"/>
  <c r="AH19" i="35"/>
  <c r="AG19" i="35"/>
  <c r="AE21" i="35"/>
  <c r="AD22" i="35"/>
  <c r="AE28" i="35"/>
  <c r="AH25" i="35"/>
  <c r="AD19" i="35"/>
  <c r="AI14" i="35"/>
  <c r="AE26" i="35"/>
  <c r="AD12" i="35"/>
  <c r="AD16" i="35"/>
  <c r="AH20" i="35"/>
  <c r="AD15" i="35"/>
  <c r="AG22" i="35"/>
  <c r="AG17" i="35"/>
  <c r="AI22" i="35"/>
  <c r="AH10" i="35"/>
  <c r="AA10" i="35" s="1"/>
  <c r="AG16" i="35"/>
  <c r="AG14" i="35"/>
  <c r="AE25" i="35"/>
  <c r="AE20" i="35"/>
  <c r="AI24" i="35"/>
  <c r="AK18" i="35"/>
  <c r="AD24" i="35"/>
  <c r="AE22" i="35"/>
  <c r="AH27" i="35"/>
  <c r="AG13" i="35"/>
  <c r="AI18" i="35"/>
  <c r="AA14" i="35" l="1"/>
  <c r="Z14" i="35" s="1"/>
  <c r="AA13" i="35"/>
  <c r="Z13" i="35" s="1"/>
  <c r="AA21" i="35"/>
  <c r="Z21" i="35" s="1"/>
  <c r="AA29" i="35"/>
  <c r="Z29" i="35" s="1"/>
  <c r="AA28" i="35"/>
  <c r="Z28" i="35" s="1"/>
  <c r="AA15" i="35"/>
  <c r="Z15" i="35" s="1"/>
  <c r="AA22" i="35"/>
  <c r="Z22" i="35" s="1"/>
  <c r="AA24" i="35"/>
  <c r="Z24" i="35" s="1"/>
  <c r="AA20" i="35"/>
  <c r="Z20" i="35" s="1"/>
  <c r="AA18" i="35"/>
  <c r="Z18" i="35" s="1"/>
  <c r="AA25" i="35"/>
  <c r="Z25" i="35" s="1"/>
  <c r="AA12" i="35"/>
  <c r="AA26" i="35"/>
  <c r="Z26" i="35" s="1"/>
  <c r="AA27" i="35"/>
  <c r="Z27" i="35" s="1"/>
  <c r="AA19" i="35"/>
  <c r="Z19" i="35" s="1"/>
  <c r="AA23" i="35"/>
  <c r="Z23" i="35" s="1"/>
  <c r="AA16" i="35"/>
  <c r="Z16" i="35" s="1"/>
  <c r="AA17" i="35"/>
  <c r="Z17" i="35" s="1"/>
  <c r="Z12" i="35" l="1"/>
  <c r="P14" i="35" l="1"/>
  <c r="O16" i="35" a="1"/>
  <c r="O16" i="35" s="1"/>
  <c r="K16" i="35" s="1"/>
  <c r="O17" i="35" a="1"/>
  <c r="O17" i="35" s="1"/>
  <c r="K17" i="35" s="1"/>
  <c r="O6" i="35" s="1"/>
  <c r="G4" i="58" s="1"/>
  <c r="O12" i="35" a="1"/>
  <c r="O12" i="35" s="1"/>
  <c r="N12" i="35" s="1"/>
  <c r="P12" i="35"/>
  <c r="O13" i="35" a="1"/>
  <c r="O13" i="35" s="1"/>
  <c r="N13" i="35" s="1"/>
  <c r="O14" i="35" a="1"/>
  <c r="O14" i="35" s="1"/>
  <c r="N14" i="35" s="1"/>
  <c r="O15" i="35" a="1"/>
  <c r="O15" i="35" s="1"/>
  <c r="N15" i="35" s="1"/>
  <c r="P13" i="35"/>
  <c r="I10" i="35" l="1"/>
  <c r="I49" i="35"/>
  <c r="H10" i="35"/>
  <c r="H49" i="35"/>
  <c r="G10" i="35"/>
  <c r="G49" i="35"/>
  <c r="N17" i="35"/>
  <c r="N16" i="35"/>
  <c r="G7" i="35"/>
  <c r="H7" i="35"/>
  <c r="H44" i="35" s="1"/>
  <c r="K12" i="35"/>
  <c r="K13" i="35"/>
  <c r="L13" i="35" s="1"/>
  <c r="K14" i="35"/>
  <c r="L14" i="35" s="1"/>
  <c r="I7" i="35"/>
  <c r="G45" i="35" l="1"/>
  <c r="G29" i="35"/>
  <c r="O1" i="35"/>
  <c r="G5" i="58" s="1"/>
  <c r="L12" i="35"/>
  <c r="G43" i="35"/>
  <c r="G44" i="35"/>
  <c r="G42" i="35"/>
  <c r="H37" i="35"/>
  <c r="H18" i="35"/>
  <c r="H21" i="35"/>
  <c r="H14" i="35"/>
  <c r="H25" i="35"/>
  <c r="H38" i="35"/>
  <c r="G34" i="35"/>
  <c r="H17" i="35"/>
  <c r="H24" i="35"/>
  <c r="G17" i="35"/>
  <c r="H40" i="35"/>
  <c r="G18" i="35"/>
  <c r="H34" i="35"/>
  <c r="G15" i="35"/>
  <c r="G13" i="35"/>
  <c r="H11" i="35"/>
  <c r="H31" i="35"/>
  <c r="H23" i="35"/>
  <c r="H20" i="35"/>
  <c r="H35" i="35"/>
  <c r="H32" i="35"/>
  <c r="H26" i="35"/>
  <c r="H16" i="35"/>
  <c r="H39" i="35"/>
  <c r="H13" i="35"/>
  <c r="H12" i="35"/>
  <c r="H30" i="35"/>
  <c r="H36" i="35"/>
  <c r="H19" i="35"/>
  <c r="H42" i="35"/>
  <c r="H33" i="35"/>
  <c r="H15" i="35"/>
  <c r="H45" i="35"/>
  <c r="H22" i="35"/>
  <c r="H43" i="35"/>
  <c r="H29" i="35"/>
  <c r="G25" i="35"/>
  <c r="G26" i="35"/>
  <c r="G12" i="35"/>
  <c r="G11" i="35"/>
  <c r="G32" i="35"/>
  <c r="G22" i="35"/>
  <c r="G40" i="35"/>
  <c r="G33" i="35"/>
  <c r="G30" i="35"/>
  <c r="G14" i="35"/>
  <c r="G36" i="35"/>
  <c r="G16" i="35"/>
  <c r="G37" i="35"/>
  <c r="G20" i="35"/>
  <c r="G19" i="35"/>
  <c r="G21" i="35"/>
  <c r="G38" i="35"/>
  <c r="G31" i="35"/>
  <c r="G35" i="35"/>
  <c r="G23" i="35"/>
  <c r="G24" i="35"/>
  <c r="G39" i="35"/>
  <c r="O5" i="35"/>
  <c r="I16" i="35"/>
  <c r="I29" i="35"/>
  <c r="I32" i="35"/>
  <c r="I35" i="35"/>
  <c r="I38" i="35"/>
  <c r="I37" i="35"/>
  <c r="I30" i="35"/>
  <c r="I36" i="35"/>
  <c r="I34" i="35"/>
  <c r="I33" i="35"/>
  <c r="I39" i="35"/>
  <c r="I31" i="35"/>
  <c r="I40" i="35"/>
  <c r="O2" i="35"/>
  <c r="G2" i="58" s="1"/>
  <c r="O3" i="35"/>
  <c r="G6" i="58" s="1"/>
  <c r="K15" i="35"/>
  <c r="I12" i="35"/>
  <c r="I18" i="35"/>
  <c r="I15" i="35"/>
  <c r="I26" i="35"/>
  <c r="I42" i="35"/>
  <c r="I19" i="35"/>
  <c r="I24" i="35"/>
  <c r="I44" i="35"/>
  <c r="I17" i="35"/>
  <c r="I11" i="35"/>
  <c r="I25" i="35"/>
  <c r="I43" i="35"/>
  <c r="I13" i="35"/>
  <c r="I14" i="35"/>
  <c r="I23" i="35"/>
  <c r="I22" i="35"/>
  <c r="I20" i="35"/>
  <c r="I21" i="35"/>
  <c r="I45" i="35"/>
  <c r="G3" i="58" l="1"/>
  <c r="L15" i="35"/>
  <c r="P6" i="35" s="1"/>
  <c r="G21" i="58" s="1"/>
  <c r="K21" i="58" s="1"/>
  <c r="O4" i="35"/>
  <c r="G7" i="58" s="1"/>
  <c r="H4" i="58" l="1"/>
  <c r="L21" i="58"/>
  <c r="P5" i="35"/>
  <c r="G24" i="58" s="1"/>
  <c r="P1" i="35"/>
  <c r="G19" i="58" s="1"/>
  <c r="P3" i="35"/>
  <c r="P2" i="35"/>
  <c r="G20" i="58" s="1"/>
  <c r="P4" i="35"/>
  <c r="G23" i="58" s="1"/>
  <c r="C244" i="35" l="1"/>
  <c r="C338" i="35"/>
  <c r="C386" i="35"/>
  <c r="C291" i="35"/>
  <c r="G22" i="58"/>
  <c r="K22" i="58" s="1"/>
  <c r="H6" i="58" s="1"/>
  <c r="I6" i="58" s="1"/>
  <c r="J6" i="58" s="1"/>
  <c r="K23" i="58"/>
  <c r="K20" i="58"/>
  <c r="H2" i="58" s="1"/>
  <c r="K24" i="58"/>
  <c r="K19" i="58"/>
  <c r="L23" i="58" l="1"/>
  <c r="H7" i="58"/>
  <c r="H5" i="58"/>
  <c r="I5" i="58" s="1"/>
  <c r="J5" i="58" s="1"/>
  <c r="I4" i="58"/>
  <c r="J4" i="58" s="1"/>
  <c r="H3" i="58"/>
  <c r="I3" i="58" s="1"/>
  <c r="J3" i="58" s="1"/>
  <c r="L22" i="58"/>
  <c r="L20" i="58"/>
  <c r="L24" i="58"/>
  <c r="L19" i="58"/>
  <c r="I7" i="58" l="1"/>
  <c r="J7" i="58" s="1"/>
  <c r="F271" i="66" l="1"/>
  <c r="F270" i="66"/>
  <c r="F272" i="66"/>
  <c r="F273" i="66"/>
  <c r="F274" i="66"/>
  <c r="F275" i="66"/>
  <c r="F276" i="66"/>
  <c r="F277" i="66"/>
  <c r="F278" i="66"/>
  <c r="F279" i="66"/>
  <c r="F280" i="66"/>
  <c r="F283" i="66"/>
  <c r="F287" i="66"/>
  <c r="F285" i="66"/>
  <c r="F289" i="66"/>
  <c r="F284" i="66"/>
  <c r="F288" i="66"/>
  <c r="F239" i="66"/>
  <c r="F238" i="66"/>
  <c r="F240" i="66"/>
  <c r="F241" i="66"/>
  <c r="F242" i="66"/>
  <c r="F243" i="66"/>
  <c r="F244" i="66"/>
  <c r="F245" i="66"/>
  <c r="F246" i="66"/>
  <c r="F247" i="66"/>
  <c r="F248" i="66"/>
  <c r="F255" i="66"/>
  <c r="F257" i="66"/>
  <c r="F252" i="66"/>
  <c r="F256" i="66"/>
  <c r="F253" i="66"/>
  <c r="F251" i="66"/>
  <c r="F205" i="66"/>
  <c r="F204" i="66"/>
  <c r="F206" i="66"/>
  <c r="F207" i="66"/>
  <c r="F208" i="66"/>
  <c r="F209" i="66"/>
  <c r="F210" i="66"/>
  <c r="F211" i="66"/>
  <c r="F212" i="66"/>
  <c r="F213" i="66"/>
  <c r="F214" i="66"/>
  <c r="F221" i="66"/>
  <c r="F223" i="66"/>
  <c r="F218" i="66"/>
  <c r="F222" i="66"/>
  <c r="F219" i="66"/>
  <c r="F217" i="66"/>
  <c r="F140" i="66"/>
  <c r="F139" i="66"/>
  <c r="F141" i="66"/>
  <c r="F142" i="66"/>
  <c r="F143" i="66"/>
  <c r="F144" i="66"/>
  <c r="F145" i="66"/>
  <c r="F146" i="66"/>
  <c r="F147" i="66"/>
  <c r="F148" i="66"/>
  <c r="F149" i="66"/>
  <c r="F153" i="66"/>
  <c r="F154" i="66"/>
  <c r="F158" i="66"/>
  <c r="F152" i="66"/>
  <c r="F156" i="66"/>
  <c r="F157" i="66"/>
  <c r="F174" i="66"/>
  <c r="F173" i="66"/>
  <c r="F175" i="66"/>
  <c r="F176" i="66"/>
  <c r="F177" i="66"/>
  <c r="F178" i="66"/>
  <c r="F179" i="66"/>
  <c r="F180" i="66"/>
  <c r="F181" i="66"/>
  <c r="F182" i="66"/>
  <c r="F183" i="66"/>
  <c r="F187" i="66"/>
  <c r="F191" i="66"/>
  <c r="F188" i="66"/>
  <c r="F192" i="66"/>
  <c r="F186" i="66"/>
  <c r="F190" i="66"/>
  <c r="F78" i="66"/>
  <c r="F85" i="66"/>
  <c r="F82" i="66"/>
  <c r="F90" i="66"/>
  <c r="F76" i="66"/>
  <c r="F84" i="66"/>
  <c r="F94" i="66"/>
  <c r="F79" i="66"/>
  <c r="F83" i="66"/>
  <c r="F91" i="66"/>
  <c r="F95" i="66"/>
  <c r="F77" i="66"/>
  <c r="F80" i="66"/>
  <c r="F89" i="66"/>
  <c r="F81" i="66"/>
  <c r="F86" i="66"/>
  <c r="F93" i="66"/>
  <c r="F227" i="65"/>
  <c r="F229" i="65"/>
  <c r="F232" i="65"/>
  <c r="F228" i="65"/>
  <c r="F230" i="65"/>
  <c r="F245" i="65"/>
  <c r="F226" i="65"/>
  <c r="F233" i="65"/>
  <c r="F231" i="65"/>
  <c r="F255" i="65"/>
  <c r="F238" i="65"/>
  <c r="F252" i="65"/>
  <c r="F247" i="65"/>
  <c r="F244" i="65"/>
  <c r="F241" i="65"/>
  <c r="F234" i="65"/>
  <c r="F235" i="65"/>
  <c r="F239" i="65"/>
  <c r="F251" i="65"/>
  <c r="F242" i="65"/>
  <c r="F240" i="65"/>
  <c r="F256" i="65"/>
  <c r="F243" i="65"/>
  <c r="F248" i="65"/>
  <c r="F246" i="65"/>
  <c r="F249" i="65"/>
  <c r="F250" i="65"/>
  <c r="F254" i="65"/>
  <c r="F270" i="65"/>
  <c r="F269" i="65"/>
  <c r="F271" i="65"/>
  <c r="F272" i="65"/>
  <c r="F273" i="65"/>
  <c r="F274" i="65"/>
  <c r="F275" i="65"/>
  <c r="F276" i="65"/>
  <c r="F277" i="65"/>
  <c r="F278" i="65"/>
  <c r="F281" i="65"/>
  <c r="F282" i="65"/>
  <c r="F283" i="65"/>
  <c r="F284" i="65"/>
  <c r="F285" i="65"/>
  <c r="F286" i="65"/>
  <c r="F287" i="65"/>
  <c r="F288" i="65"/>
  <c r="F289" i="65"/>
  <c r="F290" i="65"/>
  <c r="F291" i="65"/>
  <c r="F292" i="65"/>
  <c r="F293" i="65"/>
  <c r="F294" i="65"/>
  <c r="F298" i="65"/>
  <c r="F295" i="65"/>
  <c r="F299" i="65"/>
  <c r="F297" i="65"/>
  <c r="F314" i="65"/>
  <c r="F313" i="65"/>
  <c r="F315" i="65"/>
  <c r="F316" i="65"/>
  <c r="F317" i="65"/>
  <c r="F318" i="65"/>
  <c r="F319" i="65"/>
  <c r="F320" i="65"/>
  <c r="F321" i="65"/>
  <c r="F322" i="65"/>
  <c r="F325" i="65"/>
  <c r="F326" i="65"/>
  <c r="F327" i="65"/>
  <c r="F328" i="65"/>
  <c r="F329" i="65"/>
  <c r="F330" i="65"/>
  <c r="F331" i="65"/>
  <c r="F332" i="65"/>
  <c r="F333" i="65"/>
  <c r="F334" i="65"/>
  <c r="F335" i="65"/>
  <c r="F336" i="65"/>
  <c r="F337" i="65"/>
  <c r="F339" i="65"/>
  <c r="F343" i="65"/>
  <c r="F341" i="65"/>
  <c r="F338" i="65"/>
  <c r="F342" i="65"/>
  <c r="F400" i="65"/>
  <c r="F401" i="65"/>
  <c r="F402" i="65"/>
  <c r="F403" i="65"/>
  <c r="F404" i="65"/>
  <c r="F405" i="65"/>
  <c r="F406" i="65"/>
  <c r="F407" i="65"/>
  <c r="F408" i="65"/>
  <c r="F409" i="65"/>
  <c r="F412" i="65"/>
  <c r="F413" i="65"/>
  <c r="F414" i="65"/>
  <c r="F415" i="65"/>
  <c r="F416" i="65"/>
  <c r="F417" i="65"/>
  <c r="F418" i="65"/>
  <c r="F419" i="65"/>
  <c r="F420" i="65"/>
  <c r="F421" i="65"/>
  <c r="F422" i="65"/>
  <c r="F423" i="65"/>
  <c r="F424" i="65"/>
  <c r="F429" i="65"/>
  <c r="F428" i="65"/>
  <c r="F425" i="65"/>
  <c r="F426" i="65"/>
  <c r="F430" i="65"/>
  <c r="F356" i="65"/>
  <c r="F357" i="65"/>
  <c r="F358" i="65"/>
  <c r="F359" i="65"/>
  <c r="F360" i="65"/>
  <c r="F361" i="65"/>
  <c r="F362" i="65"/>
  <c r="F363" i="65"/>
  <c r="F364" i="65"/>
  <c r="F365" i="65"/>
  <c r="F368" i="65"/>
  <c r="F369" i="65"/>
  <c r="F370" i="65"/>
  <c r="F371" i="65"/>
  <c r="F372" i="65"/>
  <c r="F373" i="65"/>
  <c r="F374" i="65"/>
  <c r="F375" i="65"/>
  <c r="F376" i="65"/>
  <c r="F377" i="65"/>
  <c r="F378" i="65"/>
  <c r="F379" i="65"/>
  <c r="F380" i="65"/>
  <c r="F382" i="65"/>
  <c r="F386" i="65"/>
  <c r="F384" i="65"/>
  <c r="F381" i="65"/>
  <c r="F385" i="65"/>
  <c r="F142" i="65"/>
  <c r="F141" i="65"/>
  <c r="F143" i="65"/>
  <c r="F144" i="65"/>
  <c r="F145" i="65"/>
  <c r="F146" i="65"/>
  <c r="F147" i="65"/>
  <c r="F148" i="65"/>
  <c r="F149" i="65"/>
  <c r="F150" i="65"/>
  <c r="F153" i="65"/>
  <c r="F154" i="65"/>
  <c r="F155" i="65"/>
  <c r="F156" i="65"/>
  <c r="F157" i="65"/>
  <c r="F158" i="65"/>
  <c r="F159" i="65"/>
  <c r="F160" i="65"/>
  <c r="F161" i="65"/>
  <c r="F162" i="65"/>
  <c r="F163" i="65"/>
  <c r="F164" i="65"/>
  <c r="F165" i="65"/>
  <c r="F166" i="65"/>
  <c r="F167" i="65"/>
  <c r="F171" i="65"/>
  <c r="F169" i="65"/>
  <c r="F170" i="65"/>
  <c r="F185" i="65"/>
  <c r="F186" i="65"/>
  <c r="F187" i="65"/>
  <c r="F188" i="65"/>
  <c r="F189" i="65"/>
  <c r="F190" i="65"/>
  <c r="F191" i="65"/>
  <c r="F192" i="65"/>
  <c r="F193" i="65"/>
  <c r="F194" i="65"/>
  <c r="F197" i="65"/>
  <c r="F198" i="65"/>
  <c r="F199" i="65"/>
  <c r="F200" i="65"/>
  <c r="F201" i="65"/>
  <c r="F202" i="65"/>
  <c r="F203" i="65"/>
  <c r="F204" i="65"/>
  <c r="F205" i="65"/>
  <c r="F206" i="65"/>
  <c r="F207" i="65"/>
  <c r="F208" i="65"/>
  <c r="F209" i="65"/>
  <c r="F210" i="65"/>
  <c r="F215" i="65"/>
  <c r="F214" i="65"/>
  <c r="F211" i="65"/>
  <c r="F213" i="65"/>
  <c r="F99" i="65"/>
  <c r="F101" i="65"/>
  <c r="F110" i="65"/>
  <c r="F111" i="65"/>
  <c r="F112" i="65"/>
  <c r="F113" i="65"/>
  <c r="F124" i="65"/>
  <c r="F128" i="65"/>
  <c r="F104" i="65"/>
  <c r="F114" i="65"/>
  <c r="F115" i="65"/>
  <c r="F116" i="65"/>
  <c r="F100" i="65"/>
  <c r="F102" i="65"/>
  <c r="F117" i="65"/>
  <c r="F98" i="65"/>
  <c r="F118" i="65"/>
  <c r="F119" i="65"/>
  <c r="F120" i="65"/>
  <c r="F105" i="65"/>
  <c r="F106" i="65"/>
  <c r="F107" i="65"/>
  <c r="F103" i="65"/>
  <c r="F122" i="65"/>
  <c r="F123" i="65"/>
  <c r="F127" i="65"/>
  <c r="F121" i="65"/>
  <c r="F126" i="65"/>
  <c r="F389" i="35"/>
  <c r="F388" i="35"/>
  <c r="F390" i="35"/>
  <c r="F391" i="35"/>
  <c r="F392" i="35"/>
  <c r="F393" i="35"/>
  <c r="F394" i="35"/>
  <c r="F395" i="35"/>
  <c r="F396" i="35"/>
  <c r="F397" i="35"/>
  <c r="F398" i="35"/>
  <c r="F399" i="35"/>
  <c r="F400" i="35"/>
  <c r="F401" i="35"/>
  <c r="F402" i="35"/>
  <c r="F403" i="35"/>
  <c r="F406" i="35"/>
  <c r="F407" i="35"/>
  <c r="F408" i="35"/>
  <c r="F409" i="35"/>
  <c r="F410" i="35"/>
  <c r="F411" i="35"/>
  <c r="F412" i="35"/>
  <c r="F416" i="35"/>
  <c r="F420" i="35"/>
  <c r="F417" i="35"/>
  <c r="F421" i="35"/>
  <c r="F415" i="35"/>
  <c r="F414" i="35"/>
  <c r="F419" i="35"/>
  <c r="F422" i="35"/>
  <c r="F413" i="35"/>
  <c r="F293" i="35"/>
  <c r="F294" i="35"/>
  <c r="F295" i="35"/>
  <c r="F296" i="35"/>
  <c r="F297" i="35"/>
  <c r="F298" i="35"/>
  <c r="F299" i="35"/>
  <c r="F300" i="35"/>
  <c r="F301" i="35"/>
  <c r="F302" i="35"/>
  <c r="F303" i="35"/>
  <c r="F304" i="35"/>
  <c r="F305" i="35"/>
  <c r="F306" i="35"/>
  <c r="F307" i="35"/>
  <c r="F308" i="35"/>
  <c r="F311" i="35"/>
  <c r="F312" i="35"/>
  <c r="F313" i="35"/>
  <c r="F314" i="35"/>
  <c r="F315" i="35"/>
  <c r="F316" i="35"/>
  <c r="F317" i="35"/>
  <c r="F321" i="35"/>
  <c r="F325" i="35"/>
  <c r="F319" i="35"/>
  <c r="F318" i="35"/>
  <c r="F320" i="35"/>
  <c r="F324" i="35"/>
  <c r="F327" i="35"/>
  <c r="F322" i="35"/>
  <c r="F326" i="35"/>
  <c r="F247" i="35"/>
  <c r="F246" i="35"/>
  <c r="F248" i="35"/>
  <c r="F249" i="35"/>
  <c r="F250" i="35"/>
  <c r="F251" i="35"/>
  <c r="F252" i="35"/>
  <c r="F253" i="35"/>
  <c r="F254" i="35"/>
  <c r="F255" i="35"/>
  <c r="F256" i="35"/>
  <c r="F257" i="35"/>
  <c r="F258" i="35"/>
  <c r="F259" i="35"/>
  <c r="F260" i="35"/>
  <c r="F261" i="35"/>
  <c r="F264" i="35"/>
  <c r="F265" i="35"/>
  <c r="F266" i="35"/>
  <c r="F267" i="35"/>
  <c r="F268" i="35"/>
  <c r="F269" i="35"/>
  <c r="F270" i="35"/>
  <c r="F274" i="35"/>
  <c r="F278" i="35"/>
  <c r="F271" i="35"/>
  <c r="F272" i="35"/>
  <c r="F275" i="35"/>
  <c r="F279" i="35"/>
  <c r="F273" i="35"/>
  <c r="F277" i="35"/>
  <c r="F280" i="35"/>
  <c r="F341" i="35"/>
  <c r="F340" i="35"/>
  <c r="F342" i="35"/>
  <c r="F343" i="35"/>
  <c r="F344" i="35"/>
  <c r="F345" i="35"/>
  <c r="F346" i="35"/>
  <c r="F347" i="35"/>
  <c r="F348" i="35"/>
  <c r="F349" i="35"/>
  <c r="F350" i="35"/>
  <c r="F351" i="35"/>
  <c r="F352" i="35"/>
  <c r="F353" i="35"/>
  <c r="F354" i="35"/>
  <c r="F355" i="35"/>
  <c r="F358" i="35"/>
  <c r="F359" i="35"/>
  <c r="F360" i="35"/>
  <c r="F361" i="35"/>
  <c r="F362" i="35"/>
  <c r="F363" i="35"/>
  <c r="F364" i="35"/>
  <c r="F368" i="35"/>
  <c r="F372" i="35"/>
  <c r="F369" i="35"/>
  <c r="F373" i="35"/>
  <c r="F367" i="35"/>
  <c r="F371" i="35"/>
  <c r="F374" i="35"/>
  <c r="F365" i="35"/>
  <c r="F366" i="35"/>
  <c r="BL9" i="30" l="1"/>
  <c r="B78" i="68" l="1" a="1"/>
  <c r="B78" i="68" s="1"/>
  <c r="I2" i="58"/>
  <c r="K3" i="58" s="1"/>
  <c r="L3" i="58" s="1"/>
  <c r="J2" i="58" l="1"/>
  <c r="N6" i="58" s="1"/>
  <c r="K5" i="58"/>
  <c r="L5" i="58" s="1"/>
  <c r="K7" i="58"/>
  <c r="L7" i="58" s="1"/>
  <c r="K2" i="58"/>
  <c r="K4" i="58"/>
  <c r="L4" i="58" s="1"/>
  <c r="K6" i="58"/>
  <c r="L6" i="58" s="1"/>
  <c r="L2" i="58" l="1"/>
  <c r="N11" i="66" s="1"/>
  <c r="F7" i="66" s="1"/>
  <c r="N2" i="58"/>
  <c r="O2" i="58" s="1"/>
  <c r="E11" i="58" s="1"/>
  <c r="N7" i="58"/>
  <c r="N3" i="58"/>
  <c r="N5" i="58"/>
  <c r="P6" i="58" s="1"/>
  <c r="N4" i="58"/>
  <c r="F10" i="66" l="1"/>
  <c r="C9" i="66" s="1"/>
  <c r="F34" i="66"/>
  <c r="N400" i="65"/>
  <c r="F396" i="65" s="1"/>
  <c r="F434" i="65" s="1"/>
  <c r="N204" i="66"/>
  <c r="F200" i="66" s="1"/>
  <c r="F227" i="66" s="1"/>
  <c r="N53" i="64"/>
  <c r="F49" i="64" s="1"/>
  <c r="F87" i="64" s="1"/>
  <c r="N152" i="35"/>
  <c r="F148" i="35" s="1"/>
  <c r="F190" i="35" s="1"/>
  <c r="N308" i="64"/>
  <c r="F304" i="64" s="1"/>
  <c r="F342" i="64" s="1"/>
  <c r="N340" i="35"/>
  <c r="F336" i="35" s="1"/>
  <c r="F378" i="35" s="1"/>
  <c r="N11" i="35"/>
  <c r="F7" i="35" s="1"/>
  <c r="N226" i="65"/>
  <c r="F222" i="65" s="1"/>
  <c r="F260" i="65" s="1"/>
  <c r="N313" i="65"/>
  <c r="F309" i="65" s="1"/>
  <c r="F347" i="65" s="1"/>
  <c r="N141" i="65"/>
  <c r="F137" i="65" s="1"/>
  <c r="F175" i="65" s="1"/>
  <c r="N76" i="66"/>
  <c r="F72" i="66" s="1"/>
  <c r="F99" i="66" s="1"/>
  <c r="N11" i="65"/>
  <c r="F7" i="65" s="1"/>
  <c r="F45" i="65" s="1"/>
  <c r="N270" i="66"/>
  <c r="F266" i="66" s="1"/>
  <c r="F293" i="66" s="1"/>
  <c r="N11" i="64"/>
  <c r="F7" i="64" s="1"/>
  <c r="F45" i="64" s="1"/>
  <c r="N350" i="64"/>
  <c r="F346" i="64" s="1"/>
  <c r="F384" i="64" s="1"/>
  <c r="N223" i="64"/>
  <c r="F219" i="64" s="1"/>
  <c r="F257" i="64" s="1"/>
  <c r="N108" i="66"/>
  <c r="F104" i="66" s="1"/>
  <c r="N185" i="65"/>
  <c r="F181" i="65" s="1"/>
  <c r="F219" i="65" s="1"/>
  <c r="N42" i="66"/>
  <c r="F38" i="66" s="1"/>
  <c r="N199" i="35"/>
  <c r="F195" i="35" s="1"/>
  <c r="F237" i="35" s="1"/>
  <c r="N180" i="64"/>
  <c r="F176" i="64" s="1"/>
  <c r="F214" i="64" s="1"/>
  <c r="N293" i="35"/>
  <c r="F289" i="35" s="1"/>
  <c r="F331" i="35" s="1"/>
  <c r="N301" i="66"/>
  <c r="F297" i="66" s="1"/>
  <c r="F324" i="66" s="1"/>
  <c r="N139" i="66"/>
  <c r="F135" i="66" s="1"/>
  <c r="F162" i="66" s="1"/>
  <c r="N356" i="65"/>
  <c r="F352" i="65" s="1"/>
  <c r="F390" i="65" s="1"/>
  <c r="N137" i="64"/>
  <c r="F133" i="64" s="1"/>
  <c r="F171" i="64" s="1"/>
  <c r="N246" i="35"/>
  <c r="F242" i="35" s="1"/>
  <c r="F284" i="35" s="1"/>
  <c r="E1" i="33"/>
  <c r="E19" i="33" s="1"/>
  <c r="F19" i="33" s="1"/>
  <c r="E266" i="68" s="1"/>
  <c r="N238" i="66"/>
  <c r="F234" i="66" s="1"/>
  <c r="F261" i="66" s="1"/>
  <c r="N105" i="35"/>
  <c r="F101" i="35" s="1"/>
  <c r="F143" i="35" s="1"/>
  <c r="N98" i="65"/>
  <c r="F94" i="65" s="1"/>
  <c r="F132" i="65" s="1"/>
  <c r="N388" i="35"/>
  <c r="F384" i="35" s="1"/>
  <c r="F426" i="35" s="1"/>
  <c r="N58" i="35"/>
  <c r="F54" i="35" s="1"/>
  <c r="F96" i="35" s="1"/>
  <c r="N173" i="66"/>
  <c r="F169" i="66" s="1"/>
  <c r="F196" i="66" s="1"/>
  <c r="N269" i="65"/>
  <c r="F265" i="65" s="1"/>
  <c r="F303" i="65" s="1"/>
  <c r="N95" i="64"/>
  <c r="F91" i="64" s="1"/>
  <c r="F129" i="64" s="1"/>
  <c r="N435" i="35"/>
  <c r="F431" i="35" s="1"/>
  <c r="F473" i="35" s="1"/>
  <c r="N265" i="64"/>
  <c r="F261" i="64" s="1"/>
  <c r="F299" i="64" s="1"/>
  <c r="N393" i="64"/>
  <c r="F389" i="64" s="1"/>
  <c r="F427" i="64" s="1"/>
  <c r="N54" i="65"/>
  <c r="F50" i="65" s="1"/>
  <c r="F88" i="65" s="1"/>
  <c r="C299" i="66"/>
  <c r="B5" i="68" a="1"/>
  <c r="B5" i="68" s="1"/>
  <c r="O6" i="58"/>
  <c r="E15" i="58" s="1"/>
  <c r="P2" i="58"/>
  <c r="O5" i="58"/>
  <c r="E14" i="58" s="1"/>
  <c r="O4" i="58"/>
  <c r="E13" i="58" s="1"/>
  <c r="O7" i="58"/>
  <c r="E16" i="58" s="1"/>
  <c r="O3" i="58"/>
  <c r="E12" i="58" s="1"/>
  <c r="P4" i="58"/>
  <c r="P3" i="58"/>
  <c r="P7" i="58"/>
  <c r="P5" i="58"/>
  <c r="F131" i="66" l="1"/>
  <c r="F107" i="66"/>
  <c r="C40" i="66"/>
  <c r="F65" i="66"/>
  <c r="F57" i="35" a="1"/>
  <c r="F57" i="35" s="1"/>
  <c r="F92" i="35" s="1"/>
  <c r="F10" i="35" a="1"/>
  <c r="F10" i="35" s="1"/>
  <c r="C9" i="35" s="1"/>
  <c r="F49" i="35"/>
  <c r="F10" i="65"/>
  <c r="C9" i="65" s="1"/>
  <c r="F10" i="64"/>
  <c r="C9" i="64" s="1"/>
  <c r="F434" i="35" a="1"/>
  <c r="F434" i="35" s="1"/>
  <c r="E15" i="33"/>
  <c r="F15" i="33" s="1"/>
  <c r="E262" i="68" s="1"/>
  <c r="E20" i="33"/>
  <c r="F20" i="33" s="1"/>
  <c r="E267" i="68" s="1"/>
  <c r="E12" i="33"/>
  <c r="D259" i="68" s="1"/>
  <c r="E16" i="33"/>
  <c r="F16" i="33" s="1"/>
  <c r="E263" i="68" s="1"/>
  <c r="E18" i="33"/>
  <c r="F18" i="33" s="1"/>
  <c r="E265" i="68" s="1"/>
  <c r="E26" i="33"/>
  <c r="D273" i="68" s="1"/>
  <c r="E23" i="33"/>
  <c r="F23" i="33" s="1"/>
  <c r="E270" i="68" s="1"/>
  <c r="E21" i="33"/>
  <c r="D268" i="68" s="1"/>
  <c r="E24" i="33"/>
  <c r="D271" i="68" s="1"/>
  <c r="E17" i="33"/>
  <c r="F17" i="33" s="1"/>
  <c r="E264" i="68" s="1"/>
  <c r="E11" i="33"/>
  <c r="F11" i="33" s="1"/>
  <c r="E258" i="68" s="1"/>
  <c r="E14" i="33"/>
  <c r="F14" i="33" s="1"/>
  <c r="E261" i="68" s="1"/>
  <c r="E22" i="33"/>
  <c r="D269" i="68" s="1"/>
  <c r="E13" i="33"/>
  <c r="D260" i="68" s="1"/>
  <c r="E25" i="33"/>
  <c r="F25" i="33" s="1"/>
  <c r="E272" i="68" s="1"/>
  <c r="C52" i="65"/>
  <c r="F84" i="65"/>
  <c r="F72" i="65"/>
  <c r="F76" i="65"/>
  <c r="F83" i="65"/>
  <c r="F67" i="65"/>
  <c r="F56" i="65"/>
  <c r="F79" i="65"/>
  <c r="F60" i="65"/>
  <c r="F77" i="65"/>
  <c r="F70" i="65"/>
  <c r="F66" i="65"/>
  <c r="F59" i="65"/>
  <c r="F80" i="65"/>
  <c r="F58" i="65"/>
  <c r="F61" i="65"/>
  <c r="F75" i="65"/>
  <c r="F71" i="65"/>
  <c r="F68" i="65"/>
  <c r="F73" i="65"/>
  <c r="F62" i="65"/>
  <c r="F54" i="65"/>
  <c r="F63" i="65"/>
  <c r="F55" i="65"/>
  <c r="F74" i="65"/>
  <c r="F57" i="65"/>
  <c r="F78" i="65"/>
  <c r="F82" i="65"/>
  <c r="F69" i="65"/>
  <c r="F82" i="35"/>
  <c r="F83" i="35"/>
  <c r="F86" i="35"/>
  <c r="F62" i="35"/>
  <c r="F91" i="35"/>
  <c r="C150" i="35"/>
  <c r="F153" i="35"/>
  <c r="F157" i="35"/>
  <c r="F161" i="35"/>
  <c r="F165" i="35"/>
  <c r="F171" i="35"/>
  <c r="F175" i="35"/>
  <c r="F181" i="35"/>
  <c r="F177" i="35"/>
  <c r="F154" i="35"/>
  <c r="F158" i="35"/>
  <c r="F162" i="35"/>
  <c r="F166" i="35"/>
  <c r="F172" i="35"/>
  <c r="F176" i="35"/>
  <c r="F185" i="35"/>
  <c r="F180" i="35"/>
  <c r="F152" i="35"/>
  <c r="F170" i="35"/>
  <c r="F179" i="35"/>
  <c r="F155" i="35"/>
  <c r="F159" i="35"/>
  <c r="F163" i="35"/>
  <c r="F167" i="35"/>
  <c r="F173" i="35"/>
  <c r="F178" i="35"/>
  <c r="F183" i="35"/>
  <c r="F184" i="35"/>
  <c r="F156" i="35"/>
  <c r="F160" i="35"/>
  <c r="F164" i="35"/>
  <c r="F174" i="35"/>
  <c r="F186" i="35"/>
  <c r="C103" i="35"/>
  <c r="F113" i="35"/>
  <c r="F117" i="35"/>
  <c r="F110" i="35"/>
  <c r="F125" i="35"/>
  <c r="F109" i="35"/>
  <c r="F129" i="35"/>
  <c r="F133" i="35"/>
  <c r="F105" i="35"/>
  <c r="F138" i="35"/>
  <c r="F114" i="35"/>
  <c r="F118" i="35"/>
  <c r="F106" i="35"/>
  <c r="F126" i="35"/>
  <c r="F128" i="35"/>
  <c r="F132" i="35"/>
  <c r="F137" i="35"/>
  <c r="F131" i="35"/>
  <c r="F112" i="35"/>
  <c r="F120" i="35"/>
  <c r="F107" i="35"/>
  <c r="F139" i="35"/>
  <c r="F115" i="35"/>
  <c r="F119" i="35"/>
  <c r="F108" i="35"/>
  <c r="F111" i="35"/>
  <c r="F123" i="35"/>
  <c r="F136" i="35"/>
  <c r="F130" i="35"/>
  <c r="F127" i="35"/>
  <c r="F116" i="35"/>
  <c r="F124" i="35"/>
  <c r="F134" i="35"/>
  <c r="C197" i="35"/>
  <c r="F207" i="35"/>
  <c r="F211" i="35"/>
  <c r="F204" i="35"/>
  <c r="F220" i="35"/>
  <c r="F203" i="35"/>
  <c r="F228" i="35"/>
  <c r="F218" i="35"/>
  <c r="F223" i="35"/>
  <c r="F208" i="35"/>
  <c r="F212" i="35"/>
  <c r="F200" i="35"/>
  <c r="F226" i="35"/>
  <c r="F199" i="35"/>
  <c r="F221" i="35"/>
  <c r="F222" i="35"/>
  <c r="F227" i="35"/>
  <c r="F210" i="35"/>
  <c r="F214" i="35"/>
  <c r="F201" i="35"/>
  <c r="F230" i="35"/>
  <c r="F209" i="35"/>
  <c r="F213" i="35"/>
  <c r="F202" i="35"/>
  <c r="F205" i="35"/>
  <c r="F225" i="35"/>
  <c r="F233" i="35"/>
  <c r="F217" i="35"/>
  <c r="F231" i="35"/>
  <c r="F206" i="35"/>
  <c r="F219" i="35"/>
  <c r="F232" i="35"/>
  <c r="F224" i="35"/>
  <c r="F301" i="66"/>
  <c r="F319" i="66"/>
  <c r="F302" i="66"/>
  <c r="F316" i="66"/>
  <c r="F303" i="66"/>
  <c r="F320" i="66"/>
  <c r="F304" i="66"/>
  <c r="F318" i="66"/>
  <c r="F311" i="66"/>
  <c r="F305" i="66"/>
  <c r="F314" i="66"/>
  <c r="F306" i="66"/>
  <c r="F307" i="66"/>
  <c r="F308" i="66"/>
  <c r="F310" i="66"/>
  <c r="F309" i="66"/>
  <c r="F315" i="66"/>
  <c r="F28" i="66"/>
  <c r="F16" i="66"/>
  <c r="F29" i="66"/>
  <c r="F12" i="66"/>
  <c r="F24" i="66"/>
  <c r="F15" i="66"/>
  <c r="F17" i="66"/>
  <c r="F21" i="66"/>
  <c r="F11" i="66"/>
  <c r="F14" i="66"/>
  <c r="F26" i="66"/>
  <c r="F19" i="66"/>
  <c r="F18" i="66"/>
  <c r="F13" i="66"/>
  <c r="F20" i="66"/>
  <c r="F25" i="66"/>
  <c r="F30" i="66"/>
  <c r="B31" i="68"/>
  <c r="B42" i="68"/>
  <c r="B53" i="68"/>
  <c r="B39" i="68"/>
  <c r="B22" i="68"/>
  <c r="B35" i="68"/>
  <c r="B55" i="68"/>
  <c r="B49" i="68"/>
  <c r="B28" i="68"/>
  <c r="B37" i="68"/>
  <c r="B45" i="68"/>
  <c r="B43" i="68"/>
  <c r="B52" i="68"/>
  <c r="B29" i="68"/>
  <c r="B51" i="68"/>
  <c r="B30" i="68"/>
  <c r="B38" i="68"/>
  <c r="B27" i="68"/>
  <c r="B54" i="68"/>
  <c r="B26" i="68"/>
  <c r="B21" i="68"/>
  <c r="B40" i="68"/>
  <c r="B50" i="68"/>
  <c r="B41" i="68"/>
  <c r="B36" i="68"/>
  <c r="B32" i="68"/>
  <c r="B24" i="68"/>
  <c r="B47" i="68"/>
  <c r="B25" i="68"/>
  <c r="B34" i="68"/>
  <c r="B46" i="68"/>
  <c r="B23" i="68"/>
  <c r="B57" i="68"/>
  <c r="B44" i="68"/>
  <c r="B48" i="68"/>
  <c r="B33" i="68"/>
  <c r="F26" i="35"/>
  <c r="F21" i="35"/>
  <c r="D266" i="68"/>
  <c r="F46" i="66"/>
  <c r="F59" i="66"/>
  <c r="F43" i="66"/>
  <c r="F42" i="66"/>
  <c r="F47" i="66"/>
  <c r="F52" i="66"/>
  <c r="F61" i="66"/>
  <c r="F56" i="66"/>
  <c r="F57" i="66"/>
  <c r="F45" i="66"/>
  <c r="F60" i="66"/>
  <c r="F44" i="66"/>
  <c r="F50" i="66"/>
  <c r="F48" i="66"/>
  <c r="F51" i="66"/>
  <c r="F55" i="66"/>
  <c r="F49" i="66"/>
  <c r="F58" i="35" l="1"/>
  <c r="C106" i="66"/>
  <c r="F109" i="66"/>
  <c r="F121" i="66"/>
  <c r="F117" i="66"/>
  <c r="F118" i="66"/>
  <c r="F108" i="66"/>
  <c r="F125" i="66"/>
  <c r="F116" i="66"/>
  <c r="F111" i="66"/>
  <c r="F115" i="66"/>
  <c r="F123" i="66"/>
  <c r="F126" i="66"/>
  <c r="F127" i="66"/>
  <c r="F110" i="66"/>
  <c r="F112" i="66"/>
  <c r="F114" i="66"/>
  <c r="F122" i="66"/>
  <c r="F113" i="66"/>
  <c r="F25" i="35"/>
  <c r="F20" i="65"/>
  <c r="F29" i="65"/>
  <c r="F25" i="65"/>
  <c r="F30" i="65"/>
  <c r="F26" i="65"/>
  <c r="F41" i="65"/>
  <c r="F32" i="65"/>
  <c r="F19" i="65"/>
  <c r="F24" i="65"/>
  <c r="F14" i="65"/>
  <c r="F40" i="65"/>
  <c r="F20" i="64"/>
  <c r="F36" i="64"/>
  <c r="F31" i="64"/>
  <c r="F23" i="64"/>
  <c r="F38" i="64"/>
  <c r="F41" i="64"/>
  <c r="F29" i="64"/>
  <c r="F35" i="64"/>
  <c r="F39" i="64"/>
  <c r="F30" i="64"/>
  <c r="F22" i="64"/>
  <c r="F24" i="64"/>
  <c r="F11" i="64"/>
  <c r="F25" i="64"/>
  <c r="F28" i="64"/>
  <c r="F34" i="64"/>
  <c r="F14" i="64"/>
  <c r="F40" i="64"/>
  <c r="F33" i="64"/>
  <c r="F32" i="64"/>
  <c r="F15" i="64"/>
  <c r="F18" i="64"/>
  <c r="F13" i="64"/>
  <c r="F21" i="64"/>
  <c r="F19" i="64"/>
  <c r="F17" i="64"/>
  <c r="F16" i="64"/>
  <c r="F12" i="64"/>
  <c r="F33" i="65"/>
  <c r="F16" i="65"/>
  <c r="F17" i="65"/>
  <c r="F23" i="65"/>
  <c r="F37" i="65"/>
  <c r="F31" i="65"/>
  <c r="F27" i="65"/>
  <c r="F18" i="65"/>
  <c r="F442" i="35"/>
  <c r="F437" i="35"/>
  <c r="F462" i="35"/>
  <c r="F455" i="35"/>
  <c r="C433" i="35"/>
  <c r="F461" i="35"/>
  <c r="F466" i="35"/>
  <c r="F445" i="35"/>
  <c r="F440" i="35"/>
  <c r="F436" i="35"/>
  <c r="F438" i="35"/>
  <c r="F459" i="35"/>
  <c r="F454" i="35"/>
  <c r="F448" i="35"/>
  <c r="F443" i="35"/>
  <c r="F446" i="35"/>
  <c r="F468" i="35"/>
  <c r="F458" i="35"/>
  <c r="F453" i="35"/>
  <c r="F456" i="35"/>
  <c r="F463" i="35"/>
  <c r="F464" i="35"/>
  <c r="F469" i="35"/>
  <c r="F441" i="35"/>
  <c r="F435" i="35"/>
  <c r="F439" i="35"/>
  <c r="F457" i="35"/>
  <c r="F467" i="35"/>
  <c r="F460" i="35"/>
  <c r="F449" i="35"/>
  <c r="F444" i="35"/>
  <c r="F447" i="35"/>
  <c r="F450" i="35"/>
  <c r="F35" i="65"/>
  <c r="F34" i="65"/>
  <c r="F39" i="65"/>
  <c r="F36" i="65"/>
  <c r="F13" i="65"/>
  <c r="F12" i="65"/>
  <c r="F28" i="65"/>
  <c r="F11" i="65"/>
  <c r="F15" i="65"/>
  <c r="C263" i="64"/>
  <c r="F270" i="64"/>
  <c r="F288" i="64"/>
  <c r="F292" i="64"/>
  <c r="F295" i="64"/>
  <c r="F283" i="64"/>
  <c r="F273" i="64"/>
  <c r="F274" i="64"/>
  <c r="F286" i="64"/>
  <c r="F275" i="64"/>
  <c r="F279" i="64"/>
  <c r="F276" i="64"/>
  <c r="F289" i="64"/>
  <c r="F285" i="64"/>
  <c r="F287" i="64"/>
  <c r="F267" i="64"/>
  <c r="F284" i="64"/>
  <c r="F293" i="64"/>
  <c r="F265" i="64"/>
  <c r="F277" i="64"/>
  <c r="F282" i="64"/>
  <c r="F290" i="64"/>
  <c r="F268" i="64"/>
  <c r="F266" i="64"/>
  <c r="F294" i="64"/>
  <c r="F269" i="64"/>
  <c r="F278" i="64"/>
  <c r="F271" i="64"/>
  <c r="F272" i="64"/>
  <c r="C221" i="64"/>
  <c r="F227" i="64"/>
  <c r="F243" i="64"/>
  <c r="F248" i="64"/>
  <c r="F241" i="64"/>
  <c r="F237" i="64"/>
  <c r="F229" i="64"/>
  <c r="F240" i="64"/>
  <c r="F225" i="64"/>
  <c r="F245" i="64"/>
  <c r="F230" i="64"/>
  <c r="F250" i="64"/>
  <c r="F253" i="64"/>
  <c r="F244" i="64"/>
  <c r="F252" i="64"/>
  <c r="F223" i="64"/>
  <c r="F233" i="64"/>
  <c r="F234" i="64"/>
  <c r="F232" i="64"/>
  <c r="F247" i="64"/>
  <c r="F226" i="64"/>
  <c r="F235" i="64"/>
  <c r="F242" i="64"/>
  <c r="F251" i="64"/>
  <c r="F228" i="64"/>
  <c r="F236" i="64"/>
  <c r="F224" i="64"/>
  <c r="F246" i="64"/>
  <c r="F231" i="64"/>
  <c r="C178" i="64"/>
  <c r="F181" i="64"/>
  <c r="F205" i="64"/>
  <c r="F183" i="64"/>
  <c r="F207" i="64"/>
  <c r="F184" i="64"/>
  <c r="F185" i="64"/>
  <c r="F193" i="64"/>
  <c r="F197" i="64"/>
  <c r="F186" i="64"/>
  <c r="F203" i="64"/>
  <c r="F187" i="64"/>
  <c r="F198" i="64"/>
  <c r="F188" i="64"/>
  <c r="F194" i="64"/>
  <c r="F204" i="64"/>
  <c r="F190" i="64"/>
  <c r="F199" i="64"/>
  <c r="F189" i="64"/>
  <c r="F191" i="64"/>
  <c r="F180" i="64"/>
  <c r="F192" i="64"/>
  <c r="F202" i="64"/>
  <c r="F200" i="64"/>
  <c r="F201" i="64"/>
  <c r="F182" i="64"/>
  <c r="F208" i="64"/>
  <c r="F209" i="64"/>
  <c r="F210" i="64"/>
  <c r="C135" i="64"/>
  <c r="F143" i="64"/>
  <c r="F145" i="64"/>
  <c r="F161" i="64"/>
  <c r="F151" i="64"/>
  <c r="F146" i="64"/>
  <c r="F154" i="64"/>
  <c r="F147" i="64"/>
  <c r="F159" i="64"/>
  <c r="F157" i="64"/>
  <c r="F148" i="64"/>
  <c r="F162" i="64"/>
  <c r="F137" i="64"/>
  <c r="F166" i="64"/>
  <c r="F150" i="64"/>
  <c r="F156" i="64"/>
  <c r="F139" i="64"/>
  <c r="F149" i="64"/>
  <c r="F138" i="64"/>
  <c r="F165" i="64"/>
  <c r="F140" i="64"/>
  <c r="F155" i="64"/>
  <c r="F160" i="64"/>
  <c r="F141" i="64"/>
  <c r="F164" i="64"/>
  <c r="F142" i="64"/>
  <c r="F167" i="64"/>
  <c r="F158" i="64"/>
  <c r="F144" i="64"/>
  <c r="C93" i="64"/>
  <c r="F119" i="64"/>
  <c r="F98" i="64"/>
  <c r="F114" i="64"/>
  <c r="F116" i="64"/>
  <c r="F107" i="64"/>
  <c r="F95" i="64"/>
  <c r="F115" i="64"/>
  <c r="F123" i="64"/>
  <c r="F99" i="64"/>
  <c r="F120" i="64"/>
  <c r="F112" i="64"/>
  <c r="F100" i="64"/>
  <c r="F124" i="64"/>
  <c r="F117" i="64"/>
  <c r="F96" i="64"/>
  <c r="F103" i="64"/>
  <c r="F118" i="64"/>
  <c r="F113" i="64"/>
  <c r="F97" i="64"/>
  <c r="F108" i="64"/>
  <c r="F101" i="64"/>
  <c r="F122" i="64"/>
  <c r="F102" i="64"/>
  <c r="F125" i="64"/>
  <c r="F105" i="64"/>
  <c r="F109" i="64"/>
  <c r="F104" i="64"/>
  <c r="F106" i="64"/>
  <c r="C51" i="64"/>
  <c r="F72" i="64"/>
  <c r="F83" i="64"/>
  <c r="F53" i="64"/>
  <c r="F71" i="64"/>
  <c r="F73" i="64"/>
  <c r="F77" i="64"/>
  <c r="F67" i="64"/>
  <c r="F78" i="64"/>
  <c r="F62" i="64"/>
  <c r="F76" i="64"/>
  <c r="F54" i="64"/>
  <c r="F66" i="64"/>
  <c r="F82" i="64"/>
  <c r="F81" i="64"/>
  <c r="F60" i="64"/>
  <c r="F64" i="64"/>
  <c r="F58" i="64"/>
  <c r="F55" i="64"/>
  <c r="F63" i="64"/>
  <c r="F75" i="64"/>
  <c r="F74" i="64"/>
  <c r="F56" i="64"/>
  <c r="F70" i="64"/>
  <c r="F59" i="64"/>
  <c r="F57" i="64"/>
  <c r="F61" i="64"/>
  <c r="F65" i="64"/>
  <c r="F80" i="64"/>
  <c r="C391" i="64"/>
  <c r="F402" i="64"/>
  <c r="F406" i="64"/>
  <c r="F403" i="64"/>
  <c r="F423" i="64"/>
  <c r="F394" i="64"/>
  <c r="F413" i="64"/>
  <c r="F393" i="64"/>
  <c r="F405" i="64"/>
  <c r="F414" i="64"/>
  <c r="F395" i="64"/>
  <c r="F410" i="64"/>
  <c r="F418" i="64"/>
  <c r="F396" i="64"/>
  <c r="F415" i="64"/>
  <c r="F422" i="64"/>
  <c r="F417" i="64"/>
  <c r="F400" i="64"/>
  <c r="F397" i="64"/>
  <c r="F416" i="64"/>
  <c r="F399" i="64"/>
  <c r="F412" i="64"/>
  <c r="F407" i="64"/>
  <c r="F398" i="64"/>
  <c r="F411" i="64"/>
  <c r="F401" i="64"/>
  <c r="F421" i="64"/>
  <c r="F420" i="64"/>
  <c r="F404" i="64"/>
  <c r="C348" i="64"/>
  <c r="F351" i="64"/>
  <c r="F370" i="64"/>
  <c r="F377" i="64"/>
  <c r="F375" i="64"/>
  <c r="F371" i="64"/>
  <c r="F353" i="64"/>
  <c r="F380" i="64"/>
  <c r="F354" i="64"/>
  <c r="F363" i="64"/>
  <c r="F356" i="64"/>
  <c r="F368" i="64"/>
  <c r="F357" i="64"/>
  <c r="F364" i="64"/>
  <c r="F361" i="64"/>
  <c r="F358" i="64"/>
  <c r="F374" i="64"/>
  <c r="F360" i="64"/>
  <c r="F367" i="64"/>
  <c r="F359" i="64"/>
  <c r="F369" i="64"/>
  <c r="F378" i="64"/>
  <c r="F373" i="64"/>
  <c r="F350" i="64"/>
  <c r="F362" i="64"/>
  <c r="F372" i="64"/>
  <c r="F352" i="64"/>
  <c r="F379" i="64"/>
  <c r="F355" i="64"/>
  <c r="C306" i="64"/>
  <c r="F313" i="64"/>
  <c r="F331" i="64"/>
  <c r="F326" i="64"/>
  <c r="F315" i="64"/>
  <c r="F314" i="64"/>
  <c r="F316" i="64"/>
  <c r="F338" i="64"/>
  <c r="F318" i="64"/>
  <c r="F322" i="64"/>
  <c r="F319" i="64"/>
  <c r="F332" i="64"/>
  <c r="F333" i="64"/>
  <c r="F337" i="64"/>
  <c r="F329" i="64"/>
  <c r="F308" i="64"/>
  <c r="F320" i="64"/>
  <c r="F325" i="64"/>
  <c r="F310" i="64"/>
  <c r="F327" i="64"/>
  <c r="F311" i="64"/>
  <c r="F336" i="64"/>
  <c r="F317" i="64"/>
  <c r="F309" i="64"/>
  <c r="F328" i="64"/>
  <c r="F330" i="64"/>
  <c r="F312" i="64"/>
  <c r="F321" i="64"/>
  <c r="F335" i="64"/>
  <c r="C56" i="35"/>
  <c r="F85" i="35"/>
  <c r="F60" i="35"/>
  <c r="F63" i="35"/>
  <c r="F78" i="35"/>
  <c r="F76" i="35"/>
  <c r="F70" i="35"/>
  <c r="F79" i="35"/>
  <c r="F77" i="35"/>
  <c r="F84" i="35"/>
  <c r="F72" i="35"/>
  <c r="F69" i="35"/>
  <c r="F80" i="35"/>
  <c r="F73" i="35"/>
  <c r="F66" i="35"/>
  <c r="F67" i="35"/>
  <c r="F87" i="35"/>
  <c r="F81" i="35"/>
  <c r="F65" i="35"/>
  <c r="F90" i="35"/>
  <c r="F71" i="35"/>
  <c r="F61" i="35"/>
  <c r="F89" i="35"/>
  <c r="F64" i="35"/>
  <c r="F68" i="35"/>
  <c r="F59" i="35"/>
  <c r="F30" i="35"/>
  <c r="B61" i="68" s="1" a="1"/>
  <c r="B61" i="68" s="1"/>
  <c r="F34" i="35"/>
  <c r="B65" i="68" s="1" a="1"/>
  <c r="B65" i="68" s="1"/>
  <c r="F20" i="35"/>
  <c r="F31" i="35"/>
  <c r="B62" i="68" s="1" a="1"/>
  <c r="B62" i="68" s="1"/>
  <c r="F39" i="35"/>
  <c r="B70" i="68" s="1" a="1"/>
  <c r="B70" i="68" s="1"/>
  <c r="F24" i="35"/>
  <c r="F35" i="35"/>
  <c r="B66" i="68" s="1" a="1"/>
  <c r="B66" i="68" s="1"/>
  <c r="F12" i="35"/>
  <c r="F45" i="35"/>
  <c r="B75" i="68" s="1" a="1"/>
  <c r="B75" i="68" s="1"/>
  <c r="F17" i="35"/>
  <c r="F19" i="35"/>
  <c r="F33" i="35"/>
  <c r="B64" i="68" s="1" a="1"/>
  <c r="B64" i="68" s="1"/>
  <c r="F40" i="35"/>
  <c r="B71" i="68" s="1" a="1"/>
  <c r="B71" i="68" s="1"/>
  <c r="F11" i="35"/>
  <c r="F37" i="35"/>
  <c r="B68" i="68" s="1" a="1"/>
  <c r="B68" i="68" s="1"/>
  <c r="F15" i="35"/>
  <c r="F29" i="35"/>
  <c r="B60" i="68" s="1" a="1"/>
  <c r="B60" i="68" s="1"/>
  <c r="F43" i="35"/>
  <c r="B73" i="68" s="1" a="1"/>
  <c r="B73" i="68" s="1"/>
  <c r="F16" i="35"/>
  <c r="F38" i="35"/>
  <c r="B69" i="68" s="1" a="1"/>
  <c r="B69" i="68" s="1"/>
  <c r="F22" i="35"/>
  <c r="F18" i="35"/>
  <c r="F36" i="35"/>
  <c r="B67" i="68" s="1" a="1"/>
  <c r="B67" i="68" s="1"/>
  <c r="F44" i="35"/>
  <c r="B74" i="68" s="1" a="1"/>
  <c r="B74" i="68" s="1"/>
  <c r="F23" i="35"/>
  <c r="F13" i="35"/>
  <c r="F32" i="35"/>
  <c r="B63" i="68" s="1" a="1"/>
  <c r="B63" i="68" s="1"/>
  <c r="F42" i="35"/>
  <c r="B72" i="68" s="1" a="1"/>
  <c r="B72" i="68" s="1"/>
  <c r="F14" i="35"/>
  <c r="D262" i="68"/>
  <c r="D267" i="68"/>
  <c r="D265" i="68"/>
  <c r="F22" i="33"/>
  <c r="E269" i="68" s="1"/>
  <c r="D263" i="68"/>
  <c r="D270" i="68"/>
  <c r="D272" i="68"/>
  <c r="F24" i="33"/>
  <c r="E271" i="68" s="1"/>
  <c r="F13" i="33"/>
  <c r="E260" i="68" s="1"/>
  <c r="F26" i="33"/>
  <c r="E273" i="68" s="1"/>
  <c r="D258" i="68"/>
  <c r="F12" i="33"/>
  <c r="E259" i="68" s="1"/>
  <c r="D261" i="68"/>
  <c r="D264" i="68"/>
  <c r="F21" i="33"/>
  <c r="E268" i="68" s="1"/>
  <c r="B10" i="66"/>
  <c r="C11" i="66" s="1"/>
  <c r="B269" i="66"/>
  <c r="C270" i="66" s="1"/>
  <c r="B300" i="66"/>
  <c r="B203" i="66"/>
  <c r="B172" i="66"/>
  <c r="B237" i="66"/>
  <c r="B41" i="66"/>
  <c r="B107" i="66"/>
  <c r="B75" i="66"/>
  <c r="B138" i="66"/>
  <c r="B10" i="65" l="1"/>
  <c r="C11" i="65" s="1"/>
  <c r="B10" i="64"/>
  <c r="C11" i="64" s="1"/>
  <c r="B184" i="65"/>
  <c r="B183" i="65" s="1"/>
  <c r="B355" i="65"/>
  <c r="B354" i="65" s="1"/>
  <c r="B225" i="65"/>
  <c r="C226" i="65" s="1"/>
  <c r="B97" i="65"/>
  <c r="B96" i="65" s="1"/>
  <c r="B268" i="65"/>
  <c r="C269" i="65" s="1"/>
  <c r="B312" i="65"/>
  <c r="C313" i="65" s="1"/>
  <c r="B399" i="65"/>
  <c r="C400" i="65" s="1"/>
  <c r="B52" i="64"/>
  <c r="B51" i="64" s="1"/>
  <c r="B140" i="65"/>
  <c r="C141" i="65" s="1"/>
  <c r="B53" i="65"/>
  <c r="C54" i="65" s="1"/>
  <c r="B94" i="64"/>
  <c r="C95" i="64" s="1"/>
  <c r="B179" i="64"/>
  <c r="B178" i="64" s="1"/>
  <c r="B136" i="64"/>
  <c r="C137" i="64" s="1"/>
  <c r="B264" i="64"/>
  <c r="B263" i="64" s="1"/>
  <c r="B222" i="64"/>
  <c r="C223" i="64" s="1"/>
  <c r="B392" i="64"/>
  <c r="C393" i="64" s="1"/>
  <c r="B307" i="64"/>
  <c r="C308" i="64" s="1"/>
  <c r="B349" i="64"/>
  <c r="C350" i="64" s="1"/>
  <c r="B9" i="64"/>
  <c r="B83" i="68" s="1"/>
  <c r="B84" i="68" s="1"/>
  <c r="B129" i="68" s="1" a="1"/>
  <c r="B129" i="68" s="1"/>
  <c r="B434" i="35"/>
  <c r="B433" i="35" s="1"/>
  <c r="B77" i="68"/>
  <c r="B79" i="68" s="1"/>
  <c r="B292" i="35"/>
  <c r="B291" i="35" s="1"/>
  <c r="B104" i="35"/>
  <c r="C105" i="35" s="1"/>
  <c r="B57" i="35"/>
  <c r="B56" i="35" s="1"/>
  <c r="B245" i="35"/>
  <c r="B244" i="35" s="1"/>
  <c r="B198" i="35"/>
  <c r="C199" i="35" s="1"/>
  <c r="B339" i="35"/>
  <c r="B338" i="35" s="1"/>
  <c r="B10" i="35"/>
  <c r="B9" i="35" s="1"/>
  <c r="B387" i="35"/>
  <c r="B386" i="35" s="1"/>
  <c r="B151" i="35"/>
  <c r="B150" i="35" s="1"/>
  <c r="F28" i="33"/>
  <c r="B9" i="65"/>
  <c r="B147" i="68" s="1"/>
  <c r="B148" i="68" s="1"/>
  <c r="B9" i="66"/>
  <c r="B209" i="68" s="1"/>
  <c r="B210" i="68" s="1"/>
  <c r="B245" i="68" s="1" a="1"/>
  <c r="B245" i="68" s="1"/>
  <c r="B268" i="66"/>
  <c r="B137" i="66"/>
  <c r="C139" i="66"/>
  <c r="B74" i="66"/>
  <c r="C76" i="66"/>
  <c r="B106" i="66"/>
  <c r="C108" i="66"/>
  <c r="C42" i="66"/>
  <c r="B40" i="66"/>
  <c r="C238" i="66"/>
  <c r="B236" i="66"/>
  <c r="B171" i="66"/>
  <c r="C173" i="66"/>
  <c r="C204" i="66"/>
  <c r="B202" i="66"/>
  <c r="B299" i="66"/>
  <c r="C301" i="66"/>
  <c r="B139" i="65" l="1"/>
  <c r="C53" i="64"/>
  <c r="C98" i="65"/>
  <c r="B224" i="65"/>
  <c r="C185" i="65"/>
  <c r="C356" i="65"/>
  <c r="B52" i="65"/>
  <c r="B398" i="65"/>
  <c r="B267" i="65"/>
  <c r="B311" i="65"/>
  <c r="B93" i="64"/>
  <c r="D83" i="68" s="1"/>
  <c r="D84" i="68" s="1"/>
  <c r="D134" i="68" s="1" a="1"/>
  <c r="D134" i="68" s="1"/>
  <c r="C180" i="64"/>
  <c r="B306" i="64"/>
  <c r="C265" i="64"/>
  <c r="B221" i="64"/>
  <c r="B135" i="64"/>
  <c r="B391" i="64"/>
  <c r="B348" i="64"/>
  <c r="B137" i="68" a="1"/>
  <c r="B137" i="68" s="1"/>
  <c r="B131" i="68" a="1"/>
  <c r="B131" i="68" s="1"/>
  <c r="C83" i="68"/>
  <c r="C84" i="68" s="1"/>
  <c r="C129" i="68" s="1" a="1"/>
  <c r="C129" i="68" s="1"/>
  <c r="B136" i="68" a="1"/>
  <c r="B136" i="68" s="1"/>
  <c r="B130" i="68" a="1"/>
  <c r="B130" i="68" s="1"/>
  <c r="B128" i="68" a="1"/>
  <c r="B128" i="68" s="1"/>
  <c r="B138" i="68" a="1"/>
  <c r="B138" i="68" s="1"/>
  <c r="B133" i="68" a="1"/>
  <c r="B133" i="68" s="1"/>
  <c r="B141" i="68" a="1"/>
  <c r="B141" i="68" s="1"/>
  <c r="B85" i="68" s="1" a="1"/>
  <c r="B85" i="68" s="1"/>
  <c r="B132" i="68" a="1"/>
  <c r="B132" i="68" s="1"/>
  <c r="B134" i="68" a="1"/>
  <c r="B134" i="68" s="1"/>
  <c r="B126" i="68" a="1"/>
  <c r="B126" i="68" s="1"/>
  <c r="B127" i="68" a="1"/>
  <c r="B127" i="68" s="1"/>
  <c r="B135" i="68" a="1"/>
  <c r="B135" i="68" s="1"/>
  <c r="C293" i="35"/>
  <c r="B103" i="35"/>
  <c r="D3" i="68" s="1"/>
  <c r="D4" i="68" s="1"/>
  <c r="C58" i="35"/>
  <c r="C435" i="35"/>
  <c r="C11" i="35"/>
  <c r="B197" i="35"/>
  <c r="C340" i="35"/>
  <c r="C246" i="35"/>
  <c r="C152" i="35"/>
  <c r="C388" i="35"/>
  <c r="B243" i="68" a="1"/>
  <c r="B243" i="68" s="1"/>
  <c r="B244" i="68" a="1"/>
  <c r="B244" i="68" s="1"/>
  <c r="B197" i="68" a="1"/>
  <c r="B197" i="68" s="1"/>
  <c r="B195" i="68" a="1"/>
  <c r="B195" i="68" s="1"/>
  <c r="B196" i="68" a="1"/>
  <c r="B196" i="68" s="1"/>
  <c r="B194" i="68" a="1"/>
  <c r="B194" i="68" s="1"/>
  <c r="B192" i="68" a="1"/>
  <c r="B192" i="68" s="1"/>
  <c r="B193" i="68" a="1"/>
  <c r="B193" i="68" s="1"/>
  <c r="B188" i="68" a="1"/>
  <c r="B188" i="68" s="1"/>
  <c r="B191" i="68" a="1"/>
  <c r="B191" i="68" s="1"/>
  <c r="B190" i="68" a="1"/>
  <c r="B190" i="68" s="1"/>
  <c r="B189" i="68" a="1"/>
  <c r="B189" i="68" s="1"/>
  <c r="B186" i="68" a="1"/>
  <c r="B186" i="68" s="1"/>
  <c r="B187" i="68" a="1"/>
  <c r="B187" i="68" s="1"/>
  <c r="B184" i="68" a="1"/>
  <c r="B184" i="68" s="1"/>
  <c r="B185" i="68" a="1"/>
  <c r="B185" i="68" s="1"/>
  <c r="B183" i="68" a="1"/>
  <c r="B183" i="68" s="1"/>
  <c r="B198" i="68" a="1"/>
  <c r="B198" i="68" s="1"/>
  <c r="B199" i="68" a="1"/>
  <c r="B199" i="68" s="1"/>
  <c r="B203" i="68" a="1"/>
  <c r="B203" i="68" s="1"/>
  <c r="B149" i="68" s="1" a="1"/>
  <c r="B149" i="68" s="1"/>
  <c r="B175" i="68" s="1"/>
  <c r="B200" i="68" a="1"/>
  <c r="B200" i="68" s="1"/>
  <c r="B246" i="68" a="1"/>
  <c r="B246" i="68" s="1"/>
  <c r="B248" i="68" a="1"/>
  <c r="B248" i="68" s="1"/>
  <c r="B251" i="68" a="1"/>
  <c r="B251" i="68" s="1"/>
  <c r="B211" i="68" s="1" a="1"/>
  <c r="B211" i="68" s="1"/>
  <c r="B219" i="68" s="1"/>
  <c r="B247" i="68" a="1"/>
  <c r="B247" i="68" s="1"/>
  <c r="C3" i="68"/>
  <c r="C4" i="68" s="1"/>
  <c r="K209" i="68"/>
  <c r="K210" i="68" s="1"/>
  <c r="C209" i="68"/>
  <c r="C210" i="68" s="1"/>
  <c r="E209" i="68"/>
  <c r="E210" i="68" s="1"/>
  <c r="I209" i="68"/>
  <c r="I210" i="68" s="1"/>
  <c r="H209" i="68"/>
  <c r="H210" i="68" s="1"/>
  <c r="D209" i="68"/>
  <c r="D210" i="68" s="1"/>
  <c r="G209" i="68"/>
  <c r="G210" i="68" s="1"/>
  <c r="F209" i="68"/>
  <c r="F210" i="68" s="1"/>
  <c r="J209" i="68"/>
  <c r="J210" i="68" s="1"/>
  <c r="H147" i="68" l="1"/>
  <c r="H148" i="68" s="1"/>
  <c r="H197" i="68" s="1" a="1"/>
  <c r="H197" i="68" s="1"/>
  <c r="C147" i="68"/>
  <c r="C148" i="68" s="1"/>
  <c r="C195" i="68" s="1" a="1"/>
  <c r="C195" i="68" s="1"/>
  <c r="D147" i="68"/>
  <c r="D148" i="68" s="1"/>
  <c r="D189" i="68" s="1" a="1"/>
  <c r="D189" i="68" s="1"/>
  <c r="F147" i="68"/>
  <c r="F148" i="68" s="1"/>
  <c r="F192" i="68" s="1" a="1"/>
  <c r="F192" i="68" s="1"/>
  <c r="G147" i="68"/>
  <c r="G148" i="68" s="1"/>
  <c r="G197" i="68" s="1" a="1"/>
  <c r="G197" i="68" s="1"/>
  <c r="K147" i="68"/>
  <c r="K148" i="68" s="1"/>
  <c r="K188" i="68" s="1" a="1"/>
  <c r="K188" i="68" s="1"/>
  <c r="I147" i="68"/>
  <c r="I148" i="68" s="1"/>
  <c r="I189" i="68" s="1" a="1"/>
  <c r="I189" i="68" s="1"/>
  <c r="J147" i="68"/>
  <c r="J148" i="68" s="1"/>
  <c r="J187" i="68" s="1" a="1"/>
  <c r="J187" i="68" s="1"/>
  <c r="E147" i="68"/>
  <c r="E148" i="68" s="1"/>
  <c r="E191" i="68" s="1" a="1"/>
  <c r="E191" i="68" s="1"/>
  <c r="I83" i="68"/>
  <c r="I84" i="68" s="1"/>
  <c r="I137" i="68" s="1" a="1"/>
  <c r="I137" i="68" s="1"/>
  <c r="F83" i="68"/>
  <c r="F84" i="68" s="1"/>
  <c r="F141" i="68" s="1" a="1"/>
  <c r="F141" i="68" s="1"/>
  <c r="F85" i="68" s="1" a="1"/>
  <c r="F85" i="68" s="1"/>
  <c r="J83" i="68"/>
  <c r="J84" i="68" s="1"/>
  <c r="J134" i="68" s="1" a="1"/>
  <c r="J134" i="68" s="1"/>
  <c r="G83" i="68"/>
  <c r="G84" i="68" s="1"/>
  <c r="G134" i="68" s="1" a="1"/>
  <c r="G134" i="68" s="1"/>
  <c r="E83" i="68"/>
  <c r="E84" i="68" s="1"/>
  <c r="E129" i="68" s="1" a="1"/>
  <c r="E129" i="68" s="1"/>
  <c r="C135" i="68" a="1"/>
  <c r="C135" i="68" s="1"/>
  <c r="C141" i="68" a="1"/>
  <c r="C141" i="68" s="1"/>
  <c r="C85" i="68" s="1" a="1"/>
  <c r="C85" i="68" s="1"/>
  <c r="C116" i="68" s="1"/>
  <c r="C138" i="68" a="1"/>
  <c r="C138" i="68" s="1"/>
  <c r="K83" i="68"/>
  <c r="K84" i="68" s="1"/>
  <c r="K131" i="68" s="1" a="1"/>
  <c r="K131" i="68" s="1"/>
  <c r="C127" i="68" a="1"/>
  <c r="C127" i="68" s="1"/>
  <c r="C137" i="68" a="1"/>
  <c r="C137" i="68" s="1"/>
  <c r="H83" i="68"/>
  <c r="H84" i="68" s="1"/>
  <c r="H134" i="68" s="1" a="1"/>
  <c r="H134" i="68" s="1"/>
  <c r="C133" i="68" a="1"/>
  <c r="C133" i="68" s="1"/>
  <c r="C128" i="68" a="1"/>
  <c r="C128" i="68" s="1"/>
  <c r="C130" i="68" a="1"/>
  <c r="C130" i="68" s="1"/>
  <c r="C136" i="68" a="1"/>
  <c r="C136" i="68" s="1"/>
  <c r="C131" i="68" a="1"/>
  <c r="C131" i="68" s="1"/>
  <c r="C132" i="68" a="1"/>
  <c r="C132" i="68" s="1"/>
  <c r="C134" i="68" a="1"/>
  <c r="C134" i="68" s="1"/>
  <c r="C126" i="68" a="1"/>
  <c r="C126" i="68" s="1"/>
  <c r="F3" i="68"/>
  <c r="F4" i="68" s="1"/>
  <c r="F63" i="68" s="1" a="1"/>
  <c r="F63" i="68" s="1"/>
  <c r="D141" i="68" a="1"/>
  <c r="D141" i="68" s="1"/>
  <c r="D85" i="68" s="1" a="1"/>
  <c r="D85" i="68" s="1"/>
  <c r="D138" i="68" a="1"/>
  <c r="D138" i="68" s="1"/>
  <c r="D133" i="68" a="1"/>
  <c r="D133" i="68" s="1"/>
  <c r="E3" i="68"/>
  <c r="E4" i="68" s="1"/>
  <c r="E63" i="68" s="1" a="1"/>
  <c r="E63" i="68" s="1"/>
  <c r="D129" i="68" a="1"/>
  <c r="D129" i="68" s="1"/>
  <c r="D137" i="68" a="1"/>
  <c r="D137" i="68" s="1"/>
  <c r="J3" i="68"/>
  <c r="J4" i="68" s="1"/>
  <c r="J61" i="68" s="1" a="1"/>
  <c r="J61" i="68" s="1"/>
  <c r="D127" i="68" a="1"/>
  <c r="D127" i="68" s="1"/>
  <c r="D131" i="68" a="1"/>
  <c r="D131" i="68" s="1"/>
  <c r="D126" i="68" a="1"/>
  <c r="D126" i="68" s="1"/>
  <c r="D128" i="68" a="1"/>
  <c r="D128" i="68" s="1"/>
  <c r="D136" i="68" a="1"/>
  <c r="D136" i="68" s="1"/>
  <c r="D130" i="68" a="1"/>
  <c r="D130" i="68" s="1"/>
  <c r="D132" i="68" a="1"/>
  <c r="D132" i="68" s="1"/>
  <c r="D135" i="68" a="1"/>
  <c r="D135" i="68" s="1"/>
  <c r="H3" i="68"/>
  <c r="H4" i="68" s="1"/>
  <c r="H62" i="68" s="1" a="1"/>
  <c r="H62" i="68" s="1"/>
  <c r="K3" i="68"/>
  <c r="K4" i="68" s="1"/>
  <c r="K62" i="68" s="1" a="1"/>
  <c r="K62" i="68" s="1"/>
  <c r="G3" i="68"/>
  <c r="G4" i="68" s="1"/>
  <c r="G69" i="68" s="1" a="1"/>
  <c r="G69" i="68" s="1"/>
  <c r="I3" i="68"/>
  <c r="I4" i="68" s="1"/>
  <c r="I65" i="68" s="1" a="1"/>
  <c r="I65" i="68" s="1"/>
  <c r="G244" i="68" a="1"/>
  <c r="G244" i="68" s="1"/>
  <c r="G245" i="68" a="1"/>
  <c r="G245" i="68" s="1"/>
  <c r="G243" i="68" a="1"/>
  <c r="G243" i="68" s="1"/>
  <c r="D245" i="68" a="1"/>
  <c r="D245" i="68" s="1"/>
  <c r="D243" i="68" a="1"/>
  <c r="D243" i="68" s="1"/>
  <c r="D244" i="68" a="1"/>
  <c r="D244" i="68" s="1"/>
  <c r="H244" i="68" a="1"/>
  <c r="H244" i="68" s="1"/>
  <c r="H243" i="68" a="1"/>
  <c r="H243" i="68" s="1"/>
  <c r="H245" i="68" a="1"/>
  <c r="H245" i="68" s="1"/>
  <c r="I243" i="68" a="1"/>
  <c r="I243" i="68" s="1"/>
  <c r="I245" i="68" a="1"/>
  <c r="I245" i="68" s="1"/>
  <c r="I244" i="68" a="1"/>
  <c r="I244" i="68" s="1"/>
  <c r="E245" i="68" a="1"/>
  <c r="E245" i="68" s="1"/>
  <c r="E243" i="68" a="1"/>
  <c r="E243" i="68" s="1"/>
  <c r="E244" i="68" a="1"/>
  <c r="E244" i="68" s="1"/>
  <c r="C243" i="68" a="1"/>
  <c r="C243" i="68" s="1"/>
  <c r="C244" i="68" a="1"/>
  <c r="C244" i="68" s="1"/>
  <c r="C245" i="68" a="1"/>
  <c r="C245" i="68" s="1"/>
  <c r="K245" i="68" a="1"/>
  <c r="K245" i="68" s="1"/>
  <c r="K243" i="68" a="1"/>
  <c r="K243" i="68" s="1"/>
  <c r="K244" i="68" a="1"/>
  <c r="K244" i="68" s="1"/>
  <c r="J244" i="68" a="1"/>
  <c r="J244" i="68" s="1"/>
  <c r="J245" i="68" a="1"/>
  <c r="J245" i="68" s="1"/>
  <c r="J243" i="68" a="1"/>
  <c r="J243" i="68" s="1"/>
  <c r="F243" i="68" a="1"/>
  <c r="F243" i="68" s="1"/>
  <c r="F244" i="68" a="1"/>
  <c r="F244" i="68" s="1"/>
  <c r="F245" i="68" a="1"/>
  <c r="F245" i="68" s="1"/>
  <c r="D68" i="68" a="1"/>
  <c r="D68" i="68" s="1"/>
  <c r="D65" i="68" a="1"/>
  <c r="D65" i="68" s="1"/>
  <c r="D62" i="68" a="1"/>
  <c r="D62" i="68" s="1"/>
  <c r="D70" i="68" a="1"/>
  <c r="D70" i="68" s="1"/>
  <c r="D67" i="68" a="1"/>
  <c r="D67" i="68" s="1"/>
  <c r="D64" i="68" a="1"/>
  <c r="D64" i="68" s="1"/>
  <c r="D61" i="68" a="1"/>
  <c r="D61" i="68" s="1"/>
  <c r="D69" i="68" a="1"/>
  <c r="D69" i="68" s="1"/>
  <c r="D66" i="68" a="1"/>
  <c r="D66" i="68" s="1"/>
  <c r="D63" i="68" a="1"/>
  <c r="D63" i="68" s="1"/>
  <c r="D60" i="68" a="1"/>
  <c r="D60" i="68" s="1"/>
  <c r="D71" i="68" a="1"/>
  <c r="D71" i="68" s="1"/>
  <c r="C70" i="68" a="1"/>
  <c r="C70" i="68" s="1"/>
  <c r="C69" i="68" a="1"/>
  <c r="C69" i="68" s="1"/>
  <c r="C71" i="68" a="1"/>
  <c r="C71" i="68" s="1"/>
  <c r="C67" i="68" a="1"/>
  <c r="C67" i="68" s="1"/>
  <c r="C66" i="68" a="1"/>
  <c r="C66" i="68" s="1"/>
  <c r="C68" i="68" a="1"/>
  <c r="C68" i="68" s="1"/>
  <c r="C62" i="68" a="1"/>
  <c r="C62" i="68" s="1"/>
  <c r="C64" i="68" a="1"/>
  <c r="C64" i="68" s="1"/>
  <c r="C63" i="68" a="1"/>
  <c r="C63" i="68" s="1"/>
  <c r="C65" i="68" a="1"/>
  <c r="C65" i="68" s="1"/>
  <c r="C60" i="68" a="1"/>
  <c r="C60" i="68" s="1"/>
  <c r="C61" i="68" a="1"/>
  <c r="C61" i="68" s="1"/>
  <c r="B227" i="68"/>
  <c r="B224" i="68"/>
  <c r="B222" i="68"/>
  <c r="B230" i="68"/>
  <c r="B226" i="68"/>
  <c r="B220" i="68"/>
  <c r="B229" i="68"/>
  <c r="B238" i="68"/>
  <c r="B221" i="68"/>
  <c r="B228" i="68"/>
  <c r="B237" i="68"/>
  <c r="B234" i="68"/>
  <c r="B233" i="68"/>
  <c r="B231" i="68"/>
  <c r="B235" i="68"/>
  <c r="B240" i="68"/>
  <c r="B250" i="68" s="1"/>
  <c r="B252" i="68" s="1"/>
  <c r="B223" i="68"/>
  <c r="B225" i="68"/>
  <c r="B218" i="68"/>
  <c r="B232" i="68"/>
  <c r="B236" i="68"/>
  <c r="B176" i="68"/>
  <c r="B172" i="68"/>
  <c r="B164" i="68"/>
  <c r="B156" i="68"/>
  <c r="B177" i="68"/>
  <c r="B163" i="68"/>
  <c r="B168" i="68"/>
  <c r="B180" i="68"/>
  <c r="B202" i="68" s="1"/>
  <c r="B204" i="68" s="1"/>
  <c r="B169" i="68"/>
  <c r="B178" i="68"/>
  <c r="B161" i="68"/>
  <c r="B170" i="68"/>
  <c r="B158" i="68"/>
  <c r="B162" i="68"/>
  <c r="B166" i="68"/>
  <c r="B171" i="68"/>
  <c r="B157" i="68"/>
  <c r="B173" i="68"/>
  <c r="B159" i="68"/>
  <c r="B165" i="68"/>
  <c r="B160" i="68"/>
  <c r="B167" i="68"/>
  <c r="B174" i="68"/>
  <c r="I198" i="68" a="1"/>
  <c r="I198" i="68" s="1"/>
  <c r="I199" i="68" a="1"/>
  <c r="I199" i="68" s="1"/>
  <c r="I203" i="68" a="1"/>
  <c r="I203" i="68" s="1"/>
  <c r="I149" i="68" s="1" a="1"/>
  <c r="I149" i="68" s="1"/>
  <c r="I161" i="68" s="1"/>
  <c r="D72" i="68" a="1"/>
  <c r="D72" i="68" s="1"/>
  <c r="D73" i="68" a="1"/>
  <c r="D73" i="68" s="1"/>
  <c r="D74" i="68" a="1"/>
  <c r="D74" i="68" s="1"/>
  <c r="D75" i="68" a="1"/>
  <c r="D75" i="68" s="1"/>
  <c r="D78" i="68" a="1"/>
  <c r="D78" i="68" s="1"/>
  <c r="D5" i="68" s="1" a="1"/>
  <c r="D5" i="68" s="1"/>
  <c r="C73" i="68" a="1"/>
  <c r="C73" i="68" s="1"/>
  <c r="C75" i="68" a="1"/>
  <c r="C75" i="68" s="1"/>
  <c r="C74" i="68" a="1"/>
  <c r="C74" i="68" s="1"/>
  <c r="C72" i="68" a="1"/>
  <c r="C72" i="68" s="1"/>
  <c r="C78" i="68" a="1"/>
  <c r="C78" i="68" s="1"/>
  <c r="J248" i="68" a="1"/>
  <c r="J248" i="68" s="1"/>
  <c r="J251" i="68" a="1"/>
  <c r="J251" i="68" s="1"/>
  <c r="J211" i="68" s="1" a="1"/>
  <c r="J211" i="68" s="1"/>
  <c r="J246" i="68" a="1"/>
  <c r="J246" i="68" s="1"/>
  <c r="J247" i="68" a="1"/>
  <c r="J247" i="68" s="1"/>
  <c r="F251" i="68" a="1"/>
  <c r="F251" i="68" s="1"/>
  <c r="F211" i="68" s="1" a="1"/>
  <c r="F211" i="68" s="1"/>
  <c r="F248" i="68" a="1"/>
  <c r="F248" i="68" s="1"/>
  <c r="F247" i="68" a="1"/>
  <c r="F247" i="68" s="1"/>
  <c r="F246" i="68" a="1"/>
  <c r="F246" i="68" s="1"/>
  <c r="G251" i="68" a="1"/>
  <c r="G251" i="68" s="1"/>
  <c r="G211" i="68" s="1" a="1"/>
  <c r="G211" i="68" s="1"/>
  <c r="G246" i="68" a="1"/>
  <c r="G246" i="68" s="1"/>
  <c r="G248" i="68" a="1"/>
  <c r="G248" i="68" s="1"/>
  <c r="G247" i="68" a="1"/>
  <c r="G247" i="68" s="1"/>
  <c r="D248" i="68" a="1"/>
  <c r="D248" i="68" s="1"/>
  <c r="D247" i="68" a="1"/>
  <c r="D247" i="68" s="1"/>
  <c r="D251" i="68" a="1"/>
  <c r="D251" i="68" s="1"/>
  <c r="D211" i="68" s="1" a="1"/>
  <c r="D211" i="68" s="1"/>
  <c r="D246" i="68" a="1"/>
  <c r="D246" i="68" s="1"/>
  <c r="H251" i="68" a="1"/>
  <c r="H251" i="68" s="1"/>
  <c r="H211" i="68" s="1" a="1"/>
  <c r="H211" i="68" s="1"/>
  <c r="H247" i="68" a="1"/>
  <c r="H247" i="68" s="1"/>
  <c r="H246" i="68" a="1"/>
  <c r="H246" i="68" s="1"/>
  <c r="H248" i="68" a="1"/>
  <c r="H248" i="68" s="1"/>
  <c r="I251" i="68" a="1"/>
  <c r="I251" i="68" s="1"/>
  <c r="I211" i="68" s="1" a="1"/>
  <c r="I211" i="68" s="1"/>
  <c r="I248" i="68" a="1"/>
  <c r="I248" i="68" s="1"/>
  <c r="I246" i="68" a="1"/>
  <c r="I246" i="68" s="1"/>
  <c r="I247" i="68" a="1"/>
  <c r="I247" i="68" s="1"/>
  <c r="E251" i="68" a="1"/>
  <c r="E251" i="68" s="1"/>
  <c r="E211" i="68" s="1" a="1"/>
  <c r="E211" i="68" s="1"/>
  <c r="E247" i="68" a="1"/>
  <c r="E247" i="68" s="1"/>
  <c r="E248" i="68" a="1"/>
  <c r="E248" i="68" s="1"/>
  <c r="E246" i="68" a="1"/>
  <c r="E246" i="68" s="1"/>
  <c r="C248" i="68" a="1"/>
  <c r="C248" i="68" s="1"/>
  <c r="C247" i="68" a="1"/>
  <c r="C247" i="68" s="1"/>
  <c r="C251" i="68" a="1"/>
  <c r="C251" i="68" s="1"/>
  <c r="C246" i="68" a="1"/>
  <c r="C246" i="68" s="1"/>
  <c r="K248" i="68" a="1"/>
  <c r="K248" i="68" s="1"/>
  <c r="K246" i="68" a="1"/>
  <c r="K246" i="68" s="1"/>
  <c r="K247" i="68" a="1"/>
  <c r="K247" i="68" s="1"/>
  <c r="K251" i="68" a="1"/>
  <c r="K251" i="68" s="1"/>
  <c r="K211" i="68" s="1" a="1"/>
  <c r="K211" i="68" s="1"/>
  <c r="D102" i="68"/>
  <c r="D103" i="68"/>
  <c r="D114" i="68"/>
  <c r="D104" i="68"/>
  <c r="D123" i="68"/>
  <c r="D121" i="68"/>
  <c r="D107" i="68"/>
  <c r="D105" i="68"/>
  <c r="D93" i="68"/>
  <c r="D111" i="68"/>
  <c r="D116" i="68"/>
  <c r="D112" i="68"/>
  <c r="D96" i="68"/>
  <c r="D91" i="68"/>
  <c r="D113" i="68"/>
  <c r="D106" i="68"/>
  <c r="D94" i="68"/>
  <c r="D109" i="68"/>
  <c r="D108" i="68"/>
  <c r="D97" i="68"/>
  <c r="D120" i="68"/>
  <c r="D118" i="68"/>
  <c r="D117" i="68"/>
  <c r="D90" i="68"/>
  <c r="D98" i="68"/>
  <c r="D101" i="68"/>
  <c r="D110" i="68"/>
  <c r="D92" i="68"/>
  <c r="D119" i="68"/>
  <c r="D99" i="68"/>
  <c r="D100" i="68"/>
  <c r="D115" i="68"/>
  <c r="D95" i="68"/>
  <c r="B99" i="68"/>
  <c r="B97" i="68"/>
  <c r="B107" i="68"/>
  <c r="B112" i="68"/>
  <c r="B95" i="68"/>
  <c r="B91" i="68"/>
  <c r="B92" i="68"/>
  <c r="B101" i="68"/>
  <c r="B104" i="68"/>
  <c r="B102" i="68"/>
  <c r="B120" i="68"/>
  <c r="B113" i="68"/>
  <c r="B109" i="68"/>
  <c r="B118" i="68"/>
  <c r="B108" i="68"/>
  <c r="B121" i="68"/>
  <c r="B123" i="68"/>
  <c r="B140" i="68" s="1"/>
  <c r="B142" i="68" s="1"/>
  <c r="B103" i="68"/>
  <c r="B94" i="68"/>
  <c r="B96" i="68"/>
  <c r="B116" i="68"/>
  <c r="B111" i="68"/>
  <c r="B93" i="68"/>
  <c r="B117" i="68"/>
  <c r="B106" i="68"/>
  <c r="B114" i="68"/>
  <c r="B115" i="68"/>
  <c r="B90" i="68"/>
  <c r="B100" i="68"/>
  <c r="B119" i="68"/>
  <c r="B110" i="68"/>
  <c r="B105" i="68"/>
  <c r="B98" i="68"/>
  <c r="J200" i="68" l="1" a="1"/>
  <c r="J200" i="68" s="1"/>
  <c r="C104" i="68"/>
  <c r="K199" i="68" a="1"/>
  <c r="K199" i="68" s="1"/>
  <c r="J199" i="68" a="1"/>
  <c r="J199" i="68" s="1"/>
  <c r="K203" i="68" a="1"/>
  <c r="K203" i="68" s="1"/>
  <c r="K149" i="68" s="1" a="1"/>
  <c r="K149" i="68" s="1"/>
  <c r="K167" i="68" s="1"/>
  <c r="I200" i="68" a="1"/>
  <c r="I200" i="68" s="1"/>
  <c r="K200" i="68" a="1"/>
  <c r="K200" i="68" s="1"/>
  <c r="E200" i="68" a="1"/>
  <c r="E200" i="68" s="1"/>
  <c r="G203" i="68" a="1"/>
  <c r="G203" i="68" s="1"/>
  <c r="G149" i="68" s="1" a="1"/>
  <c r="G149" i="68" s="1"/>
  <c r="G167" i="68" s="1"/>
  <c r="G200" i="68" a="1"/>
  <c r="G200" i="68" s="1"/>
  <c r="G198" i="68" a="1"/>
  <c r="G198" i="68" s="1"/>
  <c r="J198" i="68" a="1"/>
  <c r="J198" i="68" s="1"/>
  <c r="G199" i="68" a="1"/>
  <c r="G199" i="68" s="1"/>
  <c r="F198" i="68" a="1"/>
  <c r="F198" i="68" s="1"/>
  <c r="F199" i="68" a="1"/>
  <c r="F199" i="68" s="1"/>
  <c r="C90" i="68"/>
  <c r="F200" i="68" a="1"/>
  <c r="F200" i="68" s="1"/>
  <c r="C112" i="68"/>
  <c r="F203" i="68" a="1"/>
  <c r="F203" i="68" s="1"/>
  <c r="F149" i="68" s="1" a="1"/>
  <c r="F149" i="68" s="1"/>
  <c r="F158" i="68" s="1"/>
  <c r="J203" i="68" a="1"/>
  <c r="J203" i="68" s="1"/>
  <c r="J149" i="68" s="1" a="1"/>
  <c r="J149" i="68" s="1"/>
  <c r="J164" i="68" s="1"/>
  <c r="E198" i="68" a="1"/>
  <c r="E198" i="68" s="1"/>
  <c r="E187" i="68" a="1"/>
  <c r="E187" i="68" s="1"/>
  <c r="E203" i="68" a="1"/>
  <c r="E203" i="68" s="1"/>
  <c r="E149" i="68" s="1" a="1"/>
  <c r="E149" i="68" s="1"/>
  <c r="E164" i="68" s="1"/>
  <c r="C188" i="68" a="1"/>
  <c r="C188" i="68" s="1"/>
  <c r="C190" i="68" a="1"/>
  <c r="C190" i="68" s="1"/>
  <c r="C199" i="68" a="1"/>
  <c r="C199" i="68" s="1"/>
  <c r="C192" i="68" a="1"/>
  <c r="C192" i="68" s="1"/>
  <c r="C203" i="68" a="1"/>
  <c r="C203" i="68" s="1"/>
  <c r="C149" i="68" s="1" a="1"/>
  <c r="C149" i="68" s="1"/>
  <c r="C175" i="68" s="1"/>
  <c r="C183" i="68" a="1"/>
  <c r="C183" i="68" s="1"/>
  <c r="C198" i="68" a="1"/>
  <c r="C198" i="68" s="1"/>
  <c r="C200" i="68" a="1"/>
  <c r="C200" i="68" s="1"/>
  <c r="C185" i="68" a="1"/>
  <c r="C185" i="68" s="1"/>
  <c r="C191" i="68" a="1"/>
  <c r="C191" i="68" s="1"/>
  <c r="C193" i="68" a="1"/>
  <c r="C193" i="68" s="1"/>
  <c r="E190" i="68" a="1"/>
  <c r="E190" i="68" s="1"/>
  <c r="C197" i="68" a="1"/>
  <c r="C197" i="68" s="1"/>
  <c r="E188" i="68" a="1"/>
  <c r="E188" i="68" s="1"/>
  <c r="D203" i="68" a="1"/>
  <c r="D203" i="68" s="1"/>
  <c r="D149" i="68" s="1" a="1"/>
  <c r="D149" i="68" s="1"/>
  <c r="D161" i="68" s="1"/>
  <c r="D198" i="68" a="1"/>
  <c r="D198" i="68" s="1"/>
  <c r="D200" i="68" a="1"/>
  <c r="D200" i="68" s="1"/>
  <c r="D193" i="68" a="1"/>
  <c r="D193" i="68" s="1"/>
  <c r="D199" i="68" a="1"/>
  <c r="D199" i="68" s="1"/>
  <c r="D195" i="68" a="1"/>
  <c r="D195" i="68" s="1"/>
  <c r="D188" i="68" a="1"/>
  <c r="D188" i="68" s="1"/>
  <c r="D192" i="68" a="1"/>
  <c r="D192" i="68" s="1"/>
  <c r="H190" i="68" a="1"/>
  <c r="H190" i="68" s="1"/>
  <c r="J190" i="68" a="1"/>
  <c r="J190" i="68" s="1"/>
  <c r="E189" i="68" a="1"/>
  <c r="E189" i="68" s="1"/>
  <c r="J193" i="68" a="1"/>
  <c r="J193" i="68" s="1"/>
  <c r="E197" i="68" a="1"/>
  <c r="E197" i="68" s="1"/>
  <c r="H203" i="68" a="1"/>
  <c r="H203" i="68" s="1"/>
  <c r="H149" i="68" s="1" a="1"/>
  <c r="H149" i="68" s="1"/>
  <c r="H164" i="68" s="1"/>
  <c r="E193" i="68" a="1"/>
  <c r="E193" i="68" s="1"/>
  <c r="H191" i="68" a="1"/>
  <c r="H191" i="68" s="1"/>
  <c r="H183" i="68" a="1"/>
  <c r="H183" i="68" s="1"/>
  <c r="H187" i="68" a="1"/>
  <c r="H187" i="68" s="1"/>
  <c r="H186" i="68" a="1"/>
  <c r="H186" i="68" s="1"/>
  <c r="H195" i="68" a="1"/>
  <c r="H195" i="68" s="1"/>
  <c r="H184" i="68" a="1"/>
  <c r="H184" i="68" s="1"/>
  <c r="J188" i="68" a="1"/>
  <c r="J188" i="68" s="1"/>
  <c r="H199" i="68" a="1"/>
  <c r="H199" i="68" s="1"/>
  <c r="H188" i="68" a="1"/>
  <c r="H188" i="68" s="1"/>
  <c r="J189" i="68" a="1"/>
  <c r="J189" i="68" s="1"/>
  <c r="H198" i="68" a="1"/>
  <c r="H198" i="68" s="1"/>
  <c r="H194" i="68" a="1"/>
  <c r="H194" i="68" s="1"/>
  <c r="F186" i="68" a="1"/>
  <c r="F186" i="68" s="1"/>
  <c r="H196" i="68" a="1"/>
  <c r="H196" i="68" s="1"/>
  <c r="H200" i="68" a="1"/>
  <c r="H200" i="68" s="1"/>
  <c r="H185" i="68" a="1"/>
  <c r="H185" i="68" s="1"/>
  <c r="H189" i="68" a="1"/>
  <c r="H189" i="68" s="1"/>
  <c r="H192" i="68" a="1"/>
  <c r="H192" i="68" s="1"/>
  <c r="J191" i="68" a="1"/>
  <c r="J191" i="68" s="1"/>
  <c r="H193" i="68" a="1"/>
  <c r="H193" i="68" s="1"/>
  <c r="C184" i="68" a="1"/>
  <c r="C184" i="68" s="1"/>
  <c r="D194" i="68" a="1"/>
  <c r="D194" i="68" s="1"/>
  <c r="C186" i="68" a="1"/>
  <c r="C186" i="68" s="1"/>
  <c r="D184" i="68" a="1"/>
  <c r="D184" i="68" s="1"/>
  <c r="D197" i="68" a="1"/>
  <c r="D197" i="68" s="1"/>
  <c r="C194" i="68" a="1"/>
  <c r="C194" i="68" s="1"/>
  <c r="D186" i="68" a="1"/>
  <c r="D186" i="68" s="1"/>
  <c r="C187" i="68" a="1"/>
  <c r="C187" i="68" s="1"/>
  <c r="D191" i="68" a="1"/>
  <c r="D191" i="68" s="1"/>
  <c r="I191" i="68" a="1"/>
  <c r="I191" i="68" s="1"/>
  <c r="C189" i="68" a="1"/>
  <c r="C189" i="68" s="1"/>
  <c r="D183" i="68" a="1"/>
  <c r="D183" i="68" s="1"/>
  <c r="I185" i="68" a="1"/>
  <c r="I185" i="68" s="1"/>
  <c r="G184" i="68" a="1"/>
  <c r="G184" i="68" s="1"/>
  <c r="F183" i="68" a="1"/>
  <c r="F183" i="68" s="1"/>
  <c r="F197" i="68" a="1"/>
  <c r="F197" i="68" s="1"/>
  <c r="G188" i="68" a="1"/>
  <c r="G188" i="68" s="1"/>
  <c r="F195" i="68" a="1"/>
  <c r="F195" i="68" s="1"/>
  <c r="G196" i="68" a="1"/>
  <c r="G196" i="68" s="1"/>
  <c r="F188" i="68" a="1"/>
  <c r="F188" i="68" s="1"/>
  <c r="K187" i="68" a="1"/>
  <c r="K187" i="68" s="1"/>
  <c r="I188" i="68" a="1"/>
  <c r="I188" i="68" s="1"/>
  <c r="F190" i="68" a="1"/>
  <c r="F190" i="68" s="1"/>
  <c r="I195" i="68" a="1"/>
  <c r="I195" i="68" s="1"/>
  <c r="F187" i="68" a="1"/>
  <c r="F187" i="68" s="1"/>
  <c r="D190" i="68" a="1"/>
  <c r="D190" i="68" s="1"/>
  <c r="I186" i="68" a="1"/>
  <c r="I186" i="68" s="1"/>
  <c r="G195" i="68" a="1"/>
  <c r="G195" i="68" s="1"/>
  <c r="I197" i="68" a="1"/>
  <c r="I197" i="68" s="1"/>
  <c r="G185" i="68" a="1"/>
  <c r="G185" i="68" s="1"/>
  <c r="I183" i="68" a="1"/>
  <c r="I183" i="68" s="1"/>
  <c r="E185" i="68" a="1"/>
  <c r="E185" i="68" s="1"/>
  <c r="F191" i="68" a="1"/>
  <c r="F191" i="68" s="1"/>
  <c r="C196" i="68" a="1"/>
  <c r="C196" i="68" s="1"/>
  <c r="G194" i="68" a="1"/>
  <c r="G194" i="68" s="1"/>
  <c r="D185" i="68" a="1"/>
  <c r="D185" i="68" s="1"/>
  <c r="K193" i="68" a="1"/>
  <c r="K193" i="68" s="1"/>
  <c r="K191" i="68" a="1"/>
  <c r="K191" i="68" s="1"/>
  <c r="I187" i="68" a="1"/>
  <c r="I187" i="68" s="1"/>
  <c r="F196" i="68" a="1"/>
  <c r="F196" i="68" s="1"/>
  <c r="K183" i="68" a="1"/>
  <c r="K183" i="68" s="1"/>
  <c r="K195" i="68" a="1"/>
  <c r="K195" i="68" s="1"/>
  <c r="F189" i="68" a="1"/>
  <c r="F189" i="68" s="1"/>
  <c r="G183" i="68" a="1"/>
  <c r="G183" i="68" s="1"/>
  <c r="I184" i="68" a="1"/>
  <c r="I184" i="68" s="1"/>
  <c r="G192" i="68" a="1"/>
  <c r="G192" i="68" s="1"/>
  <c r="I194" i="68" a="1"/>
  <c r="I194" i="68" s="1"/>
  <c r="G191" i="68" a="1"/>
  <c r="G191" i="68" s="1"/>
  <c r="I196" i="68" a="1"/>
  <c r="I196" i="68" s="1"/>
  <c r="F193" i="68" a="1"/>
  <c r="F193" i="68" s="1"/>
  <c r="G193" i="68" a="1"/>
  <c r="G193" i="68" s="1"/>
  <c r="D187" i="68" a="1"/>
  <c r="D187" i="68" s="1"/>
  <c r="I193" i="68" a="1"/>
  <c r="I193" i="68" s="1"/>
  <c r="F194" i="68" a="1"/>
  <c r="F194" i="68" s="1"/>
  <c r="G190" i="68" a="1"/>
  <c r="G190" i="68" s="1"/>
  <c r="D196" i="68" a="1"/>
  <c r="D196" i="68" s="1"/>
  <c r="I190" i="68" a="1"/>
  <c r="I190" i="68" s="1"/>
  <c r="E186" i="68" a="1"/>
  <c r="E186" i="68" s="1"/>
  <c r="F185" i="68" a="1"/>
  <c r="F185" i="68" s="1"/>
  <c r="F184" i="68" a="1"/>
  <c r="F184" i="68" s="1"/>
  <c r="G186" i="68" a="1"/>
  <c r="G186" i="68" s="1"/>
  <c r="K198" i="68" a="1"/>
  <c r="K198" i="68" s="1"/>
  <c r="G189" i="68" a="1"/>
  <c r="G189" i="68" s="1"/>
  <c r="G187" i="68" a="1"/>
  <c r="G187" i="68" s="1"/>
  <c r="K190" i="68" a="1"/>
  <c r="K190" i="68" s="1"/>
  <c r="I192" i="68" a="1"/>
  <c r="I192" i="68" s="1"/>
  <c r="E192" i="68" a="1"/>
  <c r="E192" i="68" s="1"/>
  <c r="J195" i="68" a="1"/>
  <c r="J195" i="68" s="1"/>
  <c r="K184" i="68" a="1"/>
  <c r="K184" i="68" s="1"/>
  <c r="K186" i="68" a="1"/>
  <c r="K186" i="68" s="1"/>
  <c r="K192" i="68" a="1"/>
  <c r="K192" i="68" s="1"/>
  <c r="C93" i="68"/>
  <c r="C97" i="68"/>
  <c r="C103" i="68"/>
  <c r="K194" i="68" a="1"/>
  <c r="K194" i="68" s="1"/>
  <c r="C114" i="68"/>
  <c r="C95" i="68"/>
  <c r="C117" i="68"/>
  <c r="J192" i="68" a="1"/>
  <c r="J192" i="68" s="1"/>
  <c r="K185" i="68" a="1"/>
  <c r="K185" i="68" s="1"/>
  <c r="C109" i="68"/>
  <c r="C111" i="68"/>
  <c r="C119" i="68"/>
  <c r="C100" i="68"/>
  <c r="C91" i="68"/>
  <c r="C113" i="68"/>
  <c r="C105" i="68"/>
  <c r="C108" i="68"/>
  <c r="C92" i="68"/>
  <c r="K189" i="68" a="1"/>
  <c r="K189" i="68" s="1"/>
  <c r="C102" i="68"/>
  <c r="C118" i="68"/>
  <c r="C98" i="68"/>
  <c r="C106" i="68"/>
  <c r="C123" i="68"/>
  <c r="C140" i="68" s="1"/>
  <c r="C142" i="68" s="1"/>
  <c r="C120" i="68"/>
  <c r="J197" i="68" a="1"/>
  <c r="J197" i="68" s="1"/>
  <c r="K196" i="68" a="1"/>
  <c r="K196" i="68" s="1"/>
  <c r="K197" i="68" a="1"/>
  <c r="K197" i="68" s="1"/>
  <c r="C107" i="68"/>
  <c r="C96" i="68"/>
  <c r="C94" i="68"/>
  <c r="C99" i="68"/>
  <c r="C121" i="68"/>
  <c r="C101" i="68"/>
  <c r="C110" i="68"/>
  <c r="C115" i="68"/>
  <c r="E194" i="68" a="1"/>
  <c r="E194" i="68" s="1"/>
  <c r="J194" i="68" a="1"/>
  <c r="J194" i="68" s="1"/>
  <c r="E196" i="68" a="1"/>
  <c r="E196" i="68" s="1"/>
  <c r="J184" i="68" a="1"/>
  <c r="J184" i="68" s="1"/>
  <c r="E195" i="68" a="1"/>
  <c r="E195" i="68" s="1"/>
  <c r="E199" i="68" a="1"/>
  <c r="E199" i="68" s="1"/>
  <c r="E183" i="68" a="1"/>
  <c r="E183" i="68" s="1"/>
  <c r="J196" i="68" a="1"/>
  <c r="J196" i="68" s="1"/>
  <c r="J186" i="68" a="1"/>
  <c r="J186" i="68" s="1"/>
  <c r="J183" i="68" a="1"/>
  <c r="J183" i="68" s="1"/>
  <c r="J185" i="68" a="1"/>
  <c r="J185" i="68" s="1"/>
  <c r="E184" i="68" a="1"/>
  <c r="E184" i="68" s="1"/>
  <c r="I135" i="68" a="1"/>
  <c r="I135" i="68" s="1"/>
  <c r="I133" i="68" a="1"/>
  <c r="I133" i="68" s="1"/>
  <c r="I138" i="68" a="1"/>
  <c r="I138" i="68" s="1"/>
  <c r="I131" i="68" a="1"/>
  <c r="I131" i="68" s="1"/>
  <c r="I129" i="68" a="1"/>
  <c r="I129" i="68" s="1"/>
  <c r="I127" i="68" a="1"/>
  <c r="I127" i="68" s="1"/>
  <c r="I141" i="68" a="1"/>
  <c r="I141" i="68" s="1"/>
  <c r="I85" i="68" s="1" a="1"/>
  <c r="I85" i="68" s="1"/>
  <c r="I113" i="68" s="1"/>
  <c r="I128" i="68" a="1"/>
  <c r="I128" i="68" s="1"/>
  <c r="I136" i="68" a="1"/>
  <c r="I136" i="68" s="1"/>
  <c r="I126" i="68" a="1"/>
  <c r="I126" i="68" s="1"/>
  <c r="F135" i="68" a="1"/>
  <c r="F135" i="68" s="1"/>
  <c r="I134" i="68" a="1"/>
  <c r="I134" i="68" s="1"/>
  <c r="I132" i="68" a="1"/>
  <c r="I132" i="68" s="1"/>
  <c r="I130" i="68" a="1"/>
  <c r="I130" i="68" s="1"/>
  <c r="F127" i="68" a="1"/>
  <c r="F127" i="68" s="1"/>
  <c r="F131" i="68" a="1"/>
  <c r="F131" i="68" s="1"/>
  <c r="F132" i="68" a="1"/>
  <c r="F132" i="68" s="1"/>
  <c r="F128" i="68" a="1"/>
  <c r="F128" i="68" s="1"/>
  <c r="F103" i="68"/>
  <c r="F99" i="68"/>
  <c r="F117" i="68"/>
  <c r="F108" i="68"/>
  <c r="F115" i="68"/>
  <c r="F136" i="68" a="1"/>
  <c r="F136" i="68" s="1"/>
  <c r="F138" i="68" a="1"/>
  <c r="F138" i="68" s="1"/>
  <c r="F126" i="68" a="1"/>
  <c r="F126" i="68" s="1"/>
  <c r="F134" i="68" a="1"/>
  <c r="F134" i="68" s="1"/>
  <c r="F133" i="68" a="1"/>
  <c r="F133" i="68" s="1"/>
  <c r="F129" i="68" a="1"/>
  <c r="F129" i="68" s="1"/>
  <c r="F130" i="68" a="1"/>
  <c r="F130" i="68" s="1"/>
  <c r="F137" i="68" a="1"/>
  <c r="F137" i="68" s="1"/>
  <c r="E141" i="68" a="1"/>
  <c r="E141" i="68" s="1"/>
  <c r="E85" i="68" s="1" a="1"/>
  <c r="E85" i="68" s="1"/>
  <c r="E101" i="68" s="1"/>
  <c r="G138" i="68" a="1"/>
  <c r="G138" i="68" s="1"/>
  <c r="J126" i="68" a="1"/>
  <c r="J126" i="68" s="1"/>
  <c r="J131" i="68" a="1"/>
  <c r="J131" i="68" s="1"/>
  <c r="J129" i="68" a="1"/>
  <c r="J129" i="68" s="1"/>
  <c r="J133" i="68" a="1"/>
  <c r="J133" i="68" s="1"/>
  <c r="J127" i="68" a="1"/>
  <c r="J127" i="68" s="1"/>
  <c r="J141" i="68" a="1"/>
  <c r="J141" i="68" s="1"/>
  <c r="J85" i="68" s="1" a="1"/>
  <c r="J85" i="68" s="1"/>
  <c r="J114" i="68" s="1"/>
  <c r="J128" i="68" a="1"/>
  <c r="J128" i="68" s="1"/>
  <c r="E133" i="68" a="1"/>
  <c r="E133" i="68" s="1"/>
  <c r="G133" i="68" a="1"/>
  <c r="G133" i="68" s="1"/>
  <c r="E131" i="68" a="1"/>
  <c r="E131" i="68" s="1"/>
  <c r="G137" i="68" a="1"/>
  <c r="G137" i="68" s="1"/>
  <c r="J130" i="68" a="1"/>
  <c r="J130" i="68" s="1"/>
  <c r="E126" i="68" a="1"/>
  <c r="E126" i="68" s="1"/>
  <c r="J138" i="68" a="1"/>
  <c r="J138" i="68" s="1"/>
  <c r="G132" i="68" a="1"/>
  <c r="G132" i="68" s="1"/>
  <c r="J137" i="68" a="1"/>
  <c r="J137" i="68" s="1"/>
  <c r="G128" i="68" a="1"/>
  <c r="G128" i="68" s="1"/>
  <c r="J135" i="68" a="1"/>
  <c r="J135" i="68" s="1"/>
  <c r="G131" i="68" a="1"/>
  <c r="G131" i="68" s="1"/>
  <c r="J132" i="68" a="1"/>
  <c r="J132" i="68" s="1"/>
  <c r="J136" i="68" a="1"/>
  <c r="J136" i="68" s="1"/>
  <c r="G127" i="68" a="1"/>
  <c r="G127" i="68" s="1"/>
  <c r="E136" i="68" a="1"/>
  <c r="E136" i="68" s="1"/>
  <c r="E127" i="68" a="1"/>
  <c r="E127" i="68" s="1"/>
  <c r="E130" i="68" a="1"/>
  <c r="E130" i="68" s="1"/>
  <c r="G126" i="68" a="1"/>
  <c r="G126" i="68" s="1"/>
  <c r="G136" i="68" a="1"/>
  <c r="G136" i="68" s="1"/>
  <c r="G141" i="68" a="1"/>
  <c r="G141" i="68" s="1"/>
  <c r="G85" i="68" s="1" a="1"/>
  <c r="G85" i="68" s="1"/>
  <c r="G135" i="68" a="1"/>
  <c r="G135" i="68" s="1"/>
  <c r="E128" i="68" a="1"/>
  <c r="E128" i="68" s="1"/>
  <c r="E138" i="68" a="1"/>
  <c r="E138" i="68" s="1"/>
  <c r="E134" i="68" a="1"/>
  <c r="E134" i="68" s="1"/>
  <c r="G130" i="68" a="1"/>
  <c r="G130" i="68" s="1"/>
  <c r="E135" i="68" a="1"/>
  <c r="E135" i="68" s="1"/>
  <c r="E132" i="68" a="1"/>
  <c r="E132" i="68" s="1"/>
  <c r="G129" i="68" a="1"/>
  <c r="G129" i="68" s="1"/>
  <c r="E137" i="68" a="1"/>
  <c r="E137" i="68" s="1"/>
  <c r="K129" i="68" a="1"/>
  <c r="K129" i="68" s="1"/>
  <c r="K128" i="68" a="1"/>
  <c r="K128" i="68" s="1"/>
  <c r="F104" i="68"/>
  <c r="F95" i="68"/>
  <c r="F109" i="68"/>
  <c r="F120" i="68"/>
  <c r="F100" i="68"/>
  <c r="F113" i="68"/>
  <c r="F111" i="68"/>
  <c r="K134" i="68" a="1"/>
  <c r="K134" i="68" s="1"/>
  <c r="F98" i="68"/>
  <c r="F90" i="68"/>
  <c r="F119" i="68"/>
  <c r="K135" i="68" a="1"/>
  <c r="K135" i="68" s="1"/>
  <c r="F110" i="68"/>
  <c r="F118" i="68"/>
  <c r="F97" i="68"/>
  <c r="K71" i="68" a="1"/>
  <c r="K71" i="68" s="1"/>
  <c r="K133" i="68" a="1"/>
  <c r="K133" i="68" s="1"/>
  <c r="F106" i="68"/>
  <c r="F91" i="68"/>
  <c r="F92" i="68"/>
  <c r="F101" i="68"/>
  <c r="F93" i="68"/>
  <c r="F116" i="68"/>
  <c r="F121" i="68"/>
  <c r="F105" i="68"/>
  <c r="F96" i="68"/>
  <c r="F94" i="68"/>
  <c r="F123" i="68"/>
  <c r="F114" i="68"/>
  <c r="F102" i="68"/>
  <c r="F112" i="68"/>
  <c r="F107" i="68"/>
  <c r="K130" i="68" a="1"/>
  <c r="K130" i="68" s="1"/>
  <c r="K141" i="68" a="1"/>
  <c r="K141" i="68" s="1"/>
  <c r="K85" i="68" s="1" a="1"/>
  <c r="K85" i="68" s="1"/>
  <c r="K96" i="68" s="1"/>
  <c r="K138" i="68" a="1"/>
  <c r="K138" i="68" s="1"/>
  <c r="K132" i="68" a="1"/>
  <c r="K132" i="68" s="1"/>
  <c r="K137" i="68" a="1"/>
  <c r="K137" i="68" s="1"/>
  <c r="K136" i="68" a="1"/>
  <c r="K136" i="68" s="1"/>
  <c r="K127" i="68" a="1"/>
  <c r="K127" i="68" s="1"/>
  <c r="K126" i="68" a="1"/>
  <c r="K126" i="68" s="1"/>
  <c r="H137" i="68" a="1"/>
  <c r="H137" i="68" s="1"/>
  <c r="H132" i="68" a="1"/>
  <c r="H132" i="68" s="1"/>
  <c r="H126" i="68" a="1"/>
  <c r="H126" i="68" s="1"/>
  <c r="H133" i="68" a="1"/>
  <c r="H133" i="68" s="1"/>
  <c r="H131" i="68" a="1"/>
  <c r="H131" i="68" s="1"/>
  <c r="H129" i="68" a="1"/>
  <c r="H129" i="68" s="1"/>
  <c r="H127" i="68" a="1"/>
  <c r="H127" i="68" s="1"/>
  <c r="H141" i="68" a="1"/>
  <c r="H141" i="68" s="1"/>
  <c r="H85" i="68" s="1" a="1"/>
  <c r="H85" i="68" s="1"/>
  <c r="H136" i="68" a="1"/>
  <c r="H136" i="68" s="1"/>
  <c r="H138" i="68" a="1"/>
  <c r="H138" i="68" s="1"/>
  <c r="H135" i="68" a="1"/>
  <c r="H135" i="68" s="1"/>
  <c r="H130" i="68" a="1"/>
  <c r="H130" i="68" s="1"/>
  <c r="H128" i="68" a="1"/>
  <c r="H128" i="68" s="1"/>
  <c r="F64" i="68" a="1"/>
  <c r="F64" i="68" s="1"/>
  <c r="F73" i="68" a="1"/>
  <c r="F73" i="68" s="1"/>
  <c r="F72" i="68" a="1"/>
  <c r="F72" i="68" s="1"/>
  <c r="F70" i="68" a="1"/>
  <c r="F70" i="68" s="1"/>
  <c r="F78" i="68" a="1"/>
  <c r="F78" i="68" s="1"/>
  <c r="F5" i="68" s="1" a="1"/>
  <c r="F5" i="68" s="1"/>
  <c r="F45" i="68" s="1"/>
  <c r="F74" i="68" a="1"/>
  <c r="F74" i="68" s="1"/>
  <c r="F75" i="68" a="1"/>
  <c r="F75" i="68" s="1"/>
  <c r="E71" i="68" a="1"/>
  <c r="E71" i="68" s="1"/>
  <c r="E78" i="68" a="1"/>
  <c r="E78" i="68" s="1"/>
  <c r="E5" i="68" s="1" a="1"/>
  <c r="E5" i="68" s="1"/>
  <c r="E46" i="68" s="1"/>
  <c r="E73" i="68" a="1"/>
  <c r="E73" i="68" s="1"/>
  <c r="E75" i="68" a="1"/>
  <c r="E75" i="68" s="1"/>
  <c r="E74" i="68" a="1"/>
  <c r="E74" i="68" s="1"/>
  <c r="E72" i="68" a="1"/>
  <c r="E72" i="68" s="1"/>
  <c r="E67" i="68" a="1"/>
  <c r="E67" i="68" s="1"/>
  <c r="E65" i="68" a="1"/>
  <c r="E65" i="68" s="1"/>
  <c r="E68" i="68" a="1"/>
  <c r="E68" i="68" s="1"/>
  <c r="I74" i="68" a="1"/>
  <c r="I74" i="68" s="1"/>
  <c r="J78" i="68" a="1"/>
  <c r="J78" i="68" s="1"/>
  <c r="J5" i="68" s="1" a="1"/>
  <c r="J5" i="68" s="1"/>
  <c r="J49" i="68" s="1"/>
  <c r="J73" i="68" a="1"/>
  <c r="J73" i="68" s="1"/>
  <c r="F62" i="68" a="1"/>
  <c r="F62" i="68" s="1"/>
  <c r="F65" i="68" a="1"/>
  <c r="F65" i="68" s="1"/>
  <c r="I75" i="68" a="1"/>
  <c r="I75" i="68" s="1"/>
  <c r="F68" i="68" a="1"/>
  <c r="F68" i="68" s="1"/>
  <c r="F66" i="68" a="1"/>
  <c r="F66" i="68" s="1"/>
  <c r="F71" i="68" a="1"/>
  <c r="F71" i="68" s="1"/>
  <c r="J72" i="68" a="1"/>
  <c r="J72" i="68" s="1"/>
  <c r="F69" i="68" a="1"/>
  <c r="F69" i="68" s="1"/>
  <c r="F61" i="68" a="1"/>
  <c r="F61" i="68" s="1"/>
  <c r="F67" i="68" a="1"/>
  <c r="F67" i="68" s="1"/>
  <c r="F60" i="68" a="1"/>
  <c r="F60" i="68" s="1"/>
  <c r="D140" i="68"/>
  <c r="D142" i="68" s="1"/>
  <c r="E69" i="68" a="1"/>
  <c r="E69" i="68" s="1"/>
  <c r="K75" i="68" a="1"/>
  <c r="K75" i="68" s="1"/>
  <c r="J74" i="68" a="1"/>
  <c r="J74" i="68" s="1"/>
  <c r="E61" i="68" a="1"/>
  <c r="E61" i="68" s="1"/>
  <c r="E66" i="68" a="1"/>
  <c r="E66" i="68" s="1"/>
  <c r="J62" i="68" a="1"/>
  <c r="J62" i="68" s="1"/>
  <c r="E64" i="68" a="1"/>
  <c r="E64" i="68" s="1"/>
  <c r="E70" i="68" a="1"/>
  <c r="E70" i="68" s="1"/>
  <c r="E60" i="68" a="1"/>
  <c r="E60" i="68" s="1"/>
  <c r="E62" i="68" a="1"/>
  <c r="E62" i="68" s="1"/>
  <c r="J70" i="68" a="1"/>
  <c r="J70" i="68" s="1"/>
  <c r="J71" i="68" a="1"/>
  <c r="J71" i="68" s="1"/>
  <c r="K78" i="68" a="1"/>
  <c r="K78" i="68" s="1"/>
  <c r="K5" i="68" s="1" a="1"/>
  <c r="K5" i="68" s="1"/>
  <c r="K30" i="68" s="1"/>
  <c r="J75" i="68" a="1"/>
  <c r="J75" i="68" s="1"/>
  <c r="J66" i="68" a="1"/>
  <c r="J66" i="68" s="1"/>
  <c r="J64" i="68" a="1"/>
  <c r="J64" i="68" s="1"/>
  <c r="J67" i="68" a="1"/>
  <c r="J67" i="68" s="1"/>
  <c r="J65" i="68" a="1"/>
  <c r="J65" i="68" s="1"/>
  <c r="J68" i="68" a="1"/>
  <c r="J68" i="68" s="1"/>
  <c r="J60" i="68" a="1"/>
  <c r="J60" i="68" s="1"/>
  <c r="J63" i="68" a="1"/>
  <c r="J63" i="68" s="1"/>
  <c r="J69" i="68" a="1"/>
  <c r="J69" i="68" s="1"/>
  <c r="H74" i="68" a="1"/>
  <c r="H74" i="68" s="1"/>
  <c r="H73" i="68" a="1"/>
  <c r="H73" i="68" s="1"/>
  <c r="H78" i="68" a="1"/>
  <c r="H78" i="68" s="1"/>
  <c r="H5" i="68" s="1" a="1"/>
  <c r="H5" i="68" s="1"/>
  <c r="H31" i="68" s="1"/>
  <c r="K73" i="68" a="1"/>
  <c r="K73" i="68" s="1"/>
  <c r="H72" i="68" a="1"/>
  <c r="H72" i="68" s="1"/>
  <c r="K72" i="68" a="1"/>
  <c r="K72" i="68" s="1"/>
  <c r="H75" i="68" a="1"/>
  <c r="H75" i="68" s="1"/>
  <c r="H61" i="68" a="1"/>
  <c r="H61" i="68" s="1"/>
  <c r="H64" i="68" a="1"/>
  <c r="H64" i="68" s="1"/>
  <c r="H69" i="68" a="1"/>
  <c r="H69" i="68" s="1"/>
  <c r="K68" i="68" a="1"/>
  <c r="K68" i="68" s="1"/>
  <c r="K74" i="68" a="1"/>
  <c r="K74" i="68" s="1"/>
  <c r="H67" i="68" a="1"/>
  <c r="H67" i="68" s="1"/>
  <c r="H68" i="68" a="1"/>
  <c r="H68" i="68" s="1"/>
  <c r="I78" i="68" a="1"/>
  <c r="I78" i="68" s="1"/>
  <c r="I5" i="68" s="1" a="1"/>
  <c r="I5" i="68" s="1"/>
  <c r="I22" i="68" s="1"/>
  <c r="H71" i="68" a="1"/>
  <c r="H71" i="68" s="1"/>
  <c r="G72" i="68" a="1"/>
  <c r="G72" i="68" s="1"/>
  <c r="H65" i="68" a="1"/>
  <c r="H65" i="68" s="1"/>
  <c r="G73" i="68" a="1"/>
  <c r="G73" i="68" s="1"/>
  <c r="G75" i="68" a="1"/>
  <c r="G75" i="68" s="1"/>
  <c r="H60" i="68" a="1"/>
  <c r="H60" i="68" s="1"/>
  <c r="H63" i="68" a="1"/>
  <c r="H63" i="68" s="1"/>
  <c r="H66" i="68" a="1"/>
  <c r="H66" i="68" s="1"/>
  <c r="G78" i="68" a="1"/>
  <c r="G78" i="68" s="1"/>
  <c r="G5" i="68" s="1" a="1"/>
  <c r="G5" i="68" s="1"/>
  <c r="G46" i="68" s="1"/>
  <c r="H70" i="68" a="1"/>
  <c r="H70" i="68" s="1"/>
  <c r="G74" i="68" a="1"/>
  <c r="G74" i="68" s="1"/>
  <c r="K66" i="68" a="1"/>
  <c r="K66" i="68" s="1"/>
  <c r="K60" i="68" a="1"/>
  <c r="K60" i="68" s="1"/>
  <c r="K70" i="68" a="1"/>
  <c r="K70" i="68" s="1"/>
  <c r="K65" i="68" a="1"/>
  <c r="K65" i="68" s="1"/>
  <c r="K63" i="68" a="1"/>
  <c r="K63" i="68" s="1"/>
  <c r="K69" i="68" a="1"/>
  <c r="K69" i="68" s="1"/>
  <c r="K61" i="68" a="1"/>
  <c r="K61" i="68" s="1"/>
  <c r="K64" i="68" a="1"/>
  <c r="K64" i="68" s="1"/>
  <c r="K67" i="68" a="1"/>
  <c r="K67" i="68" s="1"/>
  <c r="G61" i="68" a="1"/>
  <c r="G61" i="68" s="1"/>
  <c r="G64" i="68" a="1"/>
  <c r="G64" i="68" s="1"/>
  <c r="G67" i="68" a="1"/>
  <c r="G67" i="68" s="1"/>
  <c r="G71" i="68" a="1"/>
  <c r="G71" i="68" s="1"/>
  <c r="G68" i="68" a="1"/>
  <c r="G68" i="68" s="1"/>
  <c r="G63" i="68" a="1"/>
  <c r="G63" i="68" s="1"/>
  <c r="G66" i="68" a="1"/>
  <c r="G66" i="68" s="1"/>
  <c r="I63" i="68" a="1"/>
  <c r="I63" i="68" s="1"/>
  <c r="G70" i="68" a="1"/>
  <c r="G70" i="68" s="1"/>
  <c r="G62" i="68" a="1"/>
  <c r="G62" i="68" s="1"/>
  <c r="G65" i="68" a="1"/>
  <c r="G65" i="68" s="1"/>
  <c r="G60" i="68" a="1"/>
  <c r="G60" i="68" s="1"/>
  <c r="I72" i="68" a="1"/>
  <c r="I72" i="68" s="1"/>
  <c r="I66" i="68" a="1"/>
  <c r="I66" i="68" s="1"/>
  <c r="I61" i="68" a="1"/>
  <c r="I61" i="68" s="1"/>
  <c r="I73" i="68" a="1"/>
  <c r="I73" i="68" s="1"/>
  <c r="I67" i="68" a="1"/>
  <c r="I67" i="68" s="1"/>
  <c r="I64" i="68" a="1"/>
  <c r="I64" i="68" s="1"/>
  <c r="I68" i="68" a="1"/>
  <c r="I68" i="68" s="1"/>
  <c r="I71" i="68" a="1"/>
  <c r="I71" i="68" s="1"/>
  <c r="I70" i="68" a="1"/>
  <c r="I70" i="68" s="1"/>
  <c r="I60" i="68" a="1"/>
  <c r="I60" i="68" s="1"/>
  <c r="I69" i="68" a="1"/>
  <c r="I69" i="68" s="1"/>
  <c r="I62" i="68" a="1"/>
  <c r="I62" i="68" s="1"/>
  <c r="J165" i="68"/>
  <c r="J174" i="68"/>
  <c r="J159" i="68"/>
  <c r="J160" i="68"/>
  <c r="J162" i="68"/>
  <c r="J167" i="68"/>
  <c r="J169" i="68"/>
  <c r="J176" i="68"/>
  <c r="J173" i="68"/>
  <c r="J158" i="68"/>
  <c r="J168" i="68"/>
  <c r="J157" i="68"/>
  <c r="J156" i="68"/>
  <c r="J166" i="68"/>
  <c r="J163" i="68"/>
  <c r="J172" i="68"/>
  <c r="J178" i="68"/>
  <c r="J180" i="68"/>
  <c r="J175" i="68"/>
  <c r="J177" i="68"/>
  <c r="J171" i="68"/>
  <c r="J170" i="68"/>
  <c r="J161" i="68"/>
  <c r="I163" i="68"/>
  <c r="I175" i="68"/>
  <c r="I177" i="68"/>
  <c r="I173" i="68"/>
  <c r="I157" i="68"/>
  <c r="I176" i="68"/>
  <c r="I178" i="68"/>
  <c r="I171" i="68"/>
  <c r="I158" i="68"/>
  <c r="I162" i="68"/>
  <c r="I180" i="68"/>
  <c r="I164" i="68"/>
  <c r="I169" i="68"/>
  <c r="I168" i="68"/>
  <c r="I172" i="68"/>
  <c r="I166" i="68"/>
  <c r="I174" i="68"/>
  <c r="I167" i="68"/>
  <c r="I156" i="68"/>
  <c r="I159" i="68"/>
  <c r="I165" i="68"/>
  <c r="I160" i="68"/>
  <c r="I170" i="68"/>
  <c r="D41" i="68"/>
  <c r="D47" i="68"/>
  <c r="D23" i="68"/>
  <c r="D45" i="68"/>
  <c r="D24" i="68"/>
  <c r="D46" i="68"/>
  <c r="D42" i="68"/>
  <c r="D38" i="68"/>
  <c r="D26" i="68"/>
  <c r="D25" i="68"/>
  <c r="D21" i="68"/>
  <c r="D54" i="68"/>
  <c r="D32" i="68"/>
  <c r="D48" i="68"/>
  <c r="D49" i="68"/>
  <c r="D36" i="68"/>
  <c r="D30" i="68"/>
  <c r="D29" i="68"/>
  <c r="D27" i="68"/>
  <c r="D57" i="68"/>
  <c r="D77" i="68" s="1"/>
  <c r="D79" i="68" s="1"/>
  <c r="D55" i="68"/>
  <c r="D22" i="68"/>
  <c r="D31" i="68"/>
  <c r="D44" i="68"/>
  <c r="D37" i="68"/>
  <c r="D34" i="68"/>
  <c r="D28" i="68"/>
  <c r="D52" i="68"/>
  <c r="D43" i="68"/>
  <c r="D50" i="68"/>
  <c r="D39" i="68"/>
  <c r="D33" i="68"/>
  <c r="D40" i="68"/>
  <c r="D51" i="68"/>
  <c r="D53" i="68"/>
  <c r="D35" i="68"/>
  <c r="C5" i="68" a="1"/>
  <c r="C5" i="68" s="1"/>
  <c r="E218" i="68"/>
  <c r="E224" i="68"/>
  <c r="E234" i="68"/>
  <c r="E236" i="68"/>
  <c r="E238" i="68"/>
  <c r="E220" i="68"/>
  <c r="E230" i="68"/>
  <c r="E232" i="68"/>
  <c r="E223" i="68"/>
  <c r="E240" i="68"/>
  <c r="E250" i="68" s="1"/>
  <c r="E252" i="68" s="1"/>
  <c r="E235" i="68"/>
  <c r="E227" i="68"/>
  <c r="E225" i="68"/>
  <c r="E231" i="68"/>
  <c r="E229" i="68"/>
  <c r="E222" i="68"/>
  <c r="E226" i="68"/>
  <c r="E221" i="68"/>
  <c r="E228" i="68"/>
  <c r="E219" i="68"/>
  <c r="E233" i="68"/>
  <c r="E237" i="68"/>
  <c r="F236" i="68"/>
  <c r="F225" i="68"/>
  <c r="F237" i="68"/>
  <c r="F235" i="68"/>
  <c r="F234" i="68"/>
  <c r="F222" i="68"/>
  <c r="F226" i="68"/>
  <c r="F231" i="68"/>
  <c r="F221" i="68"/>
  <c r="F220" i="68"/>
  <c r="F223" i="68"/>
  <c r="F224" i="68"/>
  <c r="F232" i="68"/>
  <c r="F238" i="68"/>
  <c r="F229" i="68"/>
  <c r="F228" i="68"/>
  <c r="F230" i="68"/>
  <c r="F219" i="68"/>
  <c r="F227" i="68"/>
  <c r="F233" i="68"/>
  <c r="F240" i="68"/>
  <c r="F250" i="68" s="1"/>
  <c r="F252" i="68" s="1"/>
  <c r="F218" i="68"/>
  <c r="C211" i="68" a="1"/>
  <c r="C211" i="68" s="1"/>
  <c r="C216" i="68"/>
  <c r="H221" i="68"/>
  <c r="H222" i="68"/>
  <c r="H218" i="68"/>
  <c r="H226" i="68"/>
  <c r="H229" i="68"/>
  <c r="H231" i="68"/>
  <c r="H233" i="68"/>
  <c r="H228" i="68"/>
  <c r="H224" i="68"/>
  <c r="H234" i="68"/>
  <c r="H219" i="68"/>
  <c r="H236" i="68"/>
  <c r="H220" i="68"/>
  <c r="H223" i="68"/>
  <c r="H235" i="68"/>
  <c r="H237" i="68"/>
  <c r="H232" i="68"/>
  <c r="H227" i="68"/>
  <c r="H240" i="68"/>
  <c r="H250" i="68" s="1"/>
  <c r="H252" i="68" s="1"/>
  <c r="H225" i="68"/>
  <c r="H230" i="68"/>
  <c r="H238" i="68"/>
  <c r="K231" i="68"/>
  <c r="K218" i="68"/>
  <c r="K223" i="68"/>
  <c r="K224" i="68"/>
  <c r="K235" i="68"/>
  <c r="K220" i="68"/>
  <c r="K233" i="68"/>
  <c r="K221" i="68"/>
  <c r="K230" i="68"/>
  <c r="K227" i="68"/>
  <c r="K222" i="68"/>
  <c r="K236" i="68"/>
  <c r="K237" i="68"/>
  <c r="K228" i="68"/>
  <c r="K234" i="68"/>
  <c r="K229" i="68"/>
  <c r="K232" i="68"/>
  <c r="K238" i="68"/>
  <c r="K225" i="68"/>
  <c r="K240" i="68"/>
  <c r="K250" i="68" s="1"/>
  <c r="K252" i="68" s="1"/>
  <c r="K226" i="68"/>
  <c r="K219" i="68"/>
  <c r="G234" i="68"/>
  <c r="G218" i="68"/>
  <c r="G220" i="68"/>
  <c r="G231" i="68"/>
  <c r="G221" i="68"/>
  <c r="G233" i="68"/>
  <c r="G226" i="68"/>
  <c r="G230" i="68"/>
  <c r="G223" i="68"/>
  <c r="G228" i="68"/>
  <c r="G238" i="68"/>
  <c r="G237" i="68"/>
  <c r="G222" i="68"/>
  <c r="G236" i="68"/>
  <c r="G229" i="68"/>
  <c r="G224" i="68"/>
  <c r="G227" i="68"/>
  <c r="G240" i="68"/>
  <c r="G250" i="68" s="1"/>
  <c r="G252" i="68" s="1"/>
  <c r="G219" i="68"/>
  <c r="G235" i="68"/>
  <c r="G232" i="68"/>
  <c r="G225" i="68"/>
  <c r="D227" i="68"/>
  <c r="D218" i="68"/>
  <c r="D219" i="68"/>
  <c r="D226" i="68"/>
  <c r="D230" i="68"/>
  <c r="D232" i="68"/>
  <c r="D234" i="68"/>
  <c r="D223" i="68"/>
  <c r="D235" i="68"/>
  <c r="D224" i="68"/>
  <c r="D225" i="68"/>
  <c r="D233" i="68"/>
  <c r="D240" i="68"/>
  <c r="D250" i="68" s="1"/>
  <c r="D252" i="68" s="1"/>
  <c r="D236" i="68"/>
  <c r="D221" i="68"/>
  <c r="D222" i="68"/>
  <c r="D237" i="68"/>
  <c r="D220" i="68"/>
  <c r="D229" i="68"/>
  <c r="D231" i="68"/>
  <c r="D238" i="68"/>
  <c r="D228" i="68"/>
  <c r="I237" i="68"/>
  <c r="I226" i="68"/>
  <c r="I223" i="68"/>
  <c r="I227" i="68"/>
  <c r="I236" i="68"/>
  <c r="I225" i="68"/>
  <c r="I238" i="68"/>
  <c r="I234" i="68"/>
  <c r="I224" i="68"/>
  <c r="I218" i="68"/>
  <c r="I229" i="68"/>
  <c r="I235" i="68"/>
  <c r="I231" i="68"/>
  <c r="I221" i="68"/>
  <c r="I222" i="68"/>
  <c r="I233" i="68"/>
  <c r="I220" i="68"/>
  <c r="I232" i="68"/>
  <c r="I230" i="68"/>
  <c r="I240" i="68"/>
  <c r="I250" i="68" s="1"/>
  <c r="I252" i="68" s="1"/>
  <c r="I228" i="68"/>
  <c r="I219" i="68"/>
  <c r="J235" i="68"/>
  <c r="J218" i="68"/>
  <c r="J233" i="68"/>
  <c r="J223" i="68"/>
  <c r="J222" i="68"/>
  <c r="J232" i="68"/>
  <c r="J225" i="68"/>
  <c r="J224" i="68"/>
  <c r="J238" i="68"/>
  <c r="J219" i="68"/>
  <c r="J230" i="68"/>
  <c r="J221" i="68"/>
  <c r="J240" i="68"/>
  <c r="J250" i="68" s="1"/>
  <c r="J252" i="68" s="1"/>
  <c r="J236" i="68"/>
  <c r="J220" i="68"/>
  <c r="J231" i="68"/>
  <c r="J229" i="68"/>
  <c r="J228" i="68"/>
  <c r="J237" i="68"/>
  <c r="J226" i="68"/>
  <c r="J227" i="68"/>
  <c r="J234" i="68"/>
  <c r="G169" i="68" l="1"/>
  <c r="G159" i="68"/>
  <c r="G165" i="68"/>
  <c r="G166" i="68"/>
  <c r="G157" i="68"/>
  <c r="G177" i="68"/>
  <c r="G156" i="68"/>
  <c r="G163" i="68"/>
  <c r="G164" i="68"/>
  <c r="G171" i="68"/>
  <c r="G160" i="68"/>
  <c r="G158" i="68"/>
  <c r="G174" i="68"/>
  <c r="G173" i="68"/>
  <c r="G161" i="68"/>
  <c r="G178" i="68"/>
  <c r="G172" i="68"/>
  <c r="G170" i="68"/>
  <c r="G180" i="68"/>
  <c r="G175" i="68"/>
  <c r="G168" i="68"/>
  <c r="G162" i="68"/>
  <c r="G176" i="68"/>
  <c r="K178" i="68"/>
  <c r="K174" i="68"/>
  <c r="H173" i="68"/>
  <c r="K168" i="68"/>
  <c r="K177" i="68"/>
  <c r="K172" i="68"/>
  <c r="K164" i="68"/>
  <c r="K170" i="68"/>
  <c r="K171" i="68"/>
  <c r="K157" i="68"/>
  <c r="K162" i="68"/>
  <c r="K175" i="68"/>
  <c r="K163" i="68"/>
  <c r="K180" i="68"/>
  <c r="K160" i="68"/>
  <c r="K161" i="68"/>
  <c r="K165" i="68"/>
  <c r="K159" i="68"/>
  <c r="K166" i="68"/>
  <c r="K169" i="68"/>
  <c r="K173" i="68"/>
  <c r="K156" i="68"/>
  <c r="K176" i="68"/>
  <c r="K158" i="68"/>
  <c r="E170" i="68"/>
  <c r="E159" i="68"/>
  <c r="E167" i="68"/>
  <c r="E176" i="68"/>
  <c r="E178" i="68"/>
  <c r="E165" i="68"/>
  <c r="E161" i="68"/>
  <c r="E171" i="68"/>
  <c r="E174" i="68"/>
  <c r="E157" i="68"/>
  <c r="E163" i="68"/>
  <c r="E172" i="68"/>
  <c r="E158" i="68"/>
  <c r="E177" i="68"/>
  <c r="E156" i="68"/>
  <c r="E168" i="68"/>
  <c r="E175" i="68"/>
  <c r="E180" i="68"/>
  <c r="E166" i="68"/>
  <c r="F172" i="68"/>
  <c r="H161" i="68"/>
  <c r="D166" i="68"/>
  <c r="D160" i="68"/>
  <c r="D170" i="68"/>
  <c r="D177" i="68"/>
  <c r="D156" i="68"/>
  <c r="D176" i="68"/>
  <c r="D171" i="68"/>
  <c r="D165" i="68"/>
  <c r="D174" i="68"/>
  <c r="D180" i="68"/>
  <c r="D202" i="68" s="1"/>
  <c r="D204" i="68" s="1"/>
  <c r="D162" i="68"/>
  <c r="D157" i="68"/>
  <c r="D158" i="68"/>
  <c r="D168" i="68"/>
  <c r="D169" i="68"/>
  <c r="D178" i="68"/>
  <c r="D173" i="68"/>
  <c r="D159" i="68"/>
  <c r="D172" i="68"/>
  <c r="D163" i="68"/>
  <c r="D167" i="68"/>
  <c r="D175" i="68"/>
  <c r="D164" i="68"/>
  <c r="H160" i="68"/>
  <c r="H162" i="68"/>
  <c r="H166" i="68"/>
  <c r="H169" i="68"/>
  <c r="H177" i="68"/>
  <c r="H156" i="68"/>
  <c r="H178" i="68"/>
  <c r="H172" i="68"/>
  <c r="H174" i="68"/>
  <c r="H167" i="68"/>
  <c r="H165" i="68"/>
  <c r="H180" i="68"/>
  <c r="H202" i="68" s="1"/>
  <c r="H204" i="68" s="1"/>
  <c r="H157" i="68"/>
  <c r="H170" i="68"/>
  <c r="C158" i="68"/>
  <c r="H171" i="68"/>
  <c r="H175" i="68"/>
  <c r="H168" i="68"/>
  <c r="C164" i="68"/>
  <c r="H176" i="68"/>
  <c r="H158" i="68"/>
  <c r="H163" i="68"/>
  <c r="H159" i="68"/>
  <c r="C161" i="68"/>
  <c r="C165" i="68"/>
  <c r="C156" i="68"/>
  <c r="C170" i="68"/>
  <c r="C180" i="68"/>
  <c r="C202" i="68" s="1"/>
  <c r="C204" i="68" s="1"/>
  <c r="C176" i="68"/>
  <c r="C159" i="68"/>
  <c r="C171" i="68"/>
  <c r="C162" i="68"/>
  <c r="C173" i="68"/>
  <c r="C172" i="68"/>
  <c r="C177" i="68"/>
  <c r="C166" i="68"/>
  <c r="C168" i="68"/>
  <c r="C174" i="68"/>
  <c r="C157" i="68"/>
  <c r="C178" i="68"/>
  <c r="C163" i="68"/>
  <c r="C169" i="68"/>
  <c r="C160" i="68"/>
  <c r="C167" i="68"/>
  <c r="C154" i="68"/>
  <c r="F175" i="68"/>
  <c r="F160" i="68"/>
  <c r="F174" i="68"/>
  <c r="F171" i="68"/>
  <c r="F157" i="68"/>
  <c r="F168" i="68"/>
  <c r="F161" i="68"/>
  <c r="F173" i="68"/>
  <c r="F170" i="68"/>
  <c r="F162" i="68"/>
  <c r="F165" i="68"/>
  <c r="F178" i="68"/>
  <c r="F176" i="68"/>
  <c r="F163" i="68"/>
  <c r="F167" i="68"/>
  <c r="F156" i="68"/>
  <c r="F169" i="68"/>
  <c r="F164" i="68"/>
  <c r="F180" i="68"/>
  <c r="F202" i="68" s="1"/>
  <c r="F204" i="68" s="1"/>
  <c r="F159" i="68"/>
  <c r="F166" i="68"/>
  <c r="F177" i="68"/>
  <c r="E169" i="68"/>
  <c r="E173" i="68"/>
  <c r="E160" i="68"/>
  <c r="E162" i="68"/>
  <c r="H54" i="68"/>
  <c r="H35" i="68"/>
  <c r="H49" i="68"/>
  <c r="K29" i="68"/>
  <c r="K39" i="68"/>
  <c r="K21" i="68"/>
  <c r="I116" i="68"/>
  <c r="E115" i="68"/>
  <c r="I107" i="68"/>
  <c r="I202" i="68"/>
  <c r="I204" i="68" s="1"/>
  <c r="G202" i="68"/>
  <c r="G204" i="68" s="1"/>
  <c r="I121" i="68"/>
  <c r="I109" i="68"/>
  <c r="I112" i="68"/>
  <c r="I119" i="68"/>
  <c r="I108" i="68"/>
  <c r="I100" i="68"/>
  <c r="I115" i="68"/>
  <c r="I93" i="68"/>
  <c r="I102" i="68"/>
  <c r="I99" i="68"/>
  <c r="I90" i="68"/>
  <c r="I95" i="68"/>
  <c r="I92" i="68"/>
  <c r="I111" i="68"/>
  <c r="I97" i="68"/>
  <c r="I104" i="68"/>
  <c r="I94" i="68"/>
  <c r="I96" i="68"/>
  <c r="I120" i="68"/>
  <c r="I123" i="68"/>
  <c r="I140" i="68" s="1"/>
  <c r="I142" i="68" s="1"/>
  <c r="I110" i="68"/>
  <c r="I118" i="68"/>
  <c r="I98" i="68"/>
  <c r="I117" i="68"/>
  <c r="I106" i="68"/>
  <c r="I114" i="68"/>
  <c r="I91" i="68"/>
  <c r="I101" i="68"/>
  <c r="E104" i="68"/>
  <c r="E103" i="68"/>
  <c r="E106" i="68"/>
  <c r="K202" i="68"/>
  <c r="K204" i="68" s="1"/>
  <c r="E123" i="68"/>
  <c r="E140" i="68" s="1"/>
  <c r="E142" i="68" s="1"/>
  <c r="E111" i="68"/>
  <c r="F26" i="68"/>
  <c r="F40" i="68"/>
  <c r="F35" i="68"/>
  <c r="J202" i="68"/>
  <c r="J204" i="68" s="1"/>
  <c r="E202" i="68"/>
  <c r="E204" i="68" s="1"/>
  <c r="E95" i="68"/>
  <c r="E100" i="68"/>
  <c r="E93" i="68"/>
  <c r="E120" i="68"/>
  <c r="E92" i="68"/>
  <c r="E112" i="68"/>
  <c r="E121" i="68"/>
  <c r="E91" i="68"/>
  <c r="E119" i="68"/>
  <c r="E40" i="68"/>
  <c r="E96" i="68"/>
  <c r="E90" i="68"/>
  <c r="E105" i="68"/>
  <c r="E98" i="68"/>
  <c r="E94" i="68"/>
  <c r="E113" i="68"/>
  <c r="E107" i="68"/>
  <c r="E118" i="68"/>
  <c r="E114" i="68"/>
  <c r="E110" i="68"/>
  <c r="E109" i="68"/>
  <c r="E102" i="68"/>
  <c r="E97" i="68"/>
  <c r="E99" i="68"/>
  <c r="E116" i="68"/>
  <c r="E108" i="68"/>
  <c r="E117" i="68"/>
  <c r="G21" i="68"/>
  <c r="J91" i="68"/>
  <c r="J121" i="68"/>
  <c r="I103" i="68"/>
  <c r="I105" i="68"/>
  <c r="E24" i="68"/>
  <c r="J112" i="68"/>
  <c r="J95" i="68"/>
  <c r="E21" i="68"/>
  <c r="J107" i="68"/>
  <c r="J94" i="68"/>
  <c r="J117" i="68"/>
  <c r="J115" i="68"/>
  <c r="J110" i="68"/>
  <c r="J97" i="68"/>
  <c r="J103" i="68"/>
  <c r="J90" i="68"/>
  <c r="J116" i="68"/>
  <c r="J98" i="68"/>
  <c r="J99" i="68"/>
  <c r="J120" i="68"/>
  <c r="J105" i="68"/>
  <c r="J106" i="68"/>
  <c r="J113" i="68"/>
  <c r="J118" i="68"/>
  <c r="J93" i="68"/>
  <c r="J108" i="68"/>
  <c r="J119" i="68"/>
  <c r="J92" i="68"/>
  <c r="J101" i="68"/>
  <c r="J123" i="68"/>
  <c r="J140" i="68" s="1"/>
  <c r="J142" i="68" s="1"/>
  <c r="J100" i="68"/>
  <c r="J104" i="68"/>
  <c r="J109" i="68"/>
  <c r="J111" i="68"/>
  <c r="F140" i="68"/>
  <c r="F142" i="68" s="1"/>
  <c r="E39" i="68"/>
  <c r="E34" i="68"/>
  <c r="E26" i="68"/>
  <c r="E54" i="68"/>
  <c r="E28" i="68"/>
  <c r="E25" i="68"/>
  <c r="E22" i="68"/>
  <c r="E45" i="68"/>
  <c r="E55" i="68"/>
  <c r="E52" i="68"/>
  <c r="E36" i="68"/>
  <c r="E49" i="68"/>
  <c r="E42" i="68"/>
  <c r="E30" i="68"/>
  <c r="E27" i="68"/>
  <c r="E51" i="68"/>
  <c r="E50" i="68"/>
  <c r="E29" i="68"/>
  <c r="E57" i="68"/>
  <c r="E77" i="68" s="1"/>
  <c r="E79" i="68" s="1"/>
  <c r="E41" i="68"/>
  <c r="E32" i="68"/>
  <c r="E37" i="68"/>
  <c r="E31" i="68"/>
  <c r="E53" i="68"/>
  <c r="E48" i="68"/>
  <c r="E43" i="68"/>
  <c r="E35" i="68"/>
  <c r="E44" i="68"/>
  <c r="E47" i="68"/>
  <c r="E33" i="68"/>
  <c r="E38" i="68"/>
  <c r="E23" i="68"/>
  <c r="J102" i="68"/>
  <c r="J96" i="68"/>
  <c r="G118" i="68"/>
  <c r="G120" i="68"/>
  <c r="G104" i="68"/>
  <c r="G98" i="68"/>
  <c r="G119" i="68"/>
  <c r="G107" i="68"/>
  <c r="G95" i="68"/>
  <c r="G93" i="68"/>
  <c r="G109" i="68"/>
  <c r="G116" i="68"/>
  <c r="G96" i="68"/>
  <c r="G112" i="68"/>
  <c r="G103" i="68"/>
  <c r="G101" i="68"/>
  <c r="G102" i="68"/>
  <c r="G113" i="68"/>
  <c r="G115" i="68"/>
  <c r="G91" i="68"/>
  <c r="G94" i="68"/>
  <c r="G100" i="68"/>
  <c r="G105" i="68"/>
  <c r="G108" i="68"/>
  <c r="G90" i="68"/>
  <c r="G110" i="68"/>
  <c r="G117" i="68"/>
  <c r="G106" i="68"/>
  <c r="G99" i="68"/>
  <c r="G123" i="68"/>
  <c r="G140" i="68" s="1"/>
  <c r="G142" i="68" s="1"/>
  <c r="G114" i="68"/>
  <c r="G111" i="68"/>
  <c r="G92" i="68"/>
  <c r="G97" i="68"/>
  <c r="G121" i="68"/>
  <c r="C88" i="68"/>
  <c r="K117" i="68"/>
  <c r="K113" i="68"/>
  <c r="K116" i="68"/>
  <c r="K106" i="68"/>
  <c r="K102" i="68"/>
  <c r="K111" i="68"/>
  <c r="K112" i="68"/>
  <c r="K109" i="68"/>
  <c r="K92" i="68"/>
  <c r="K114" i="68"/>
  <c r="K120" i="68"/>
  <c r="K115" i="68"/>
  <c r="K97" i="68"/>
  <c r="K94" i="68"/>
  <c r="K100" i="68"/>
  <c r="K110" i="68"/>
  <c r="K123" i="68"/>
  <c r="K140" i="68" s="1"/>
  <c r="K142" i="68" s="1"/>
  <c r="K103" i="68"/>
  <c r="K104" i="68"/>
  <c r="K105" i="68"/>
  <c r="K101" i="68"/>
  <c r="K108" i="68"/>
  <c r="K119" i="68"/>
  <c r="K95" i="68"/>
  <c r="K90" i="68"/>
  <c r="K107" i="68"/>
  <c r="K93" i="68"/>
  <c r="K99" i="68"/>
  <c r="K98" i="68"/>
  <c r="K121" i="68"/>
  <c r="K118" i="68"/>
  <c r="K91" i="68"/>
  <c r="H114" i="68"/>
  <c r="H99" i="68"/>
  <c r="H119" i="68"/>
  <c r="H91" i="68"/>
  <c r="H97" i="68"/>
  <c r="H90" i="68"/>
  <c r="H111" i="68"/>
  <c r="H94" i="68"/>
  <c r="H110" i="68"/>
  <c r="H116" i="68"/>
  <c r="H93" i="68"/>
  <c r="H112" i="68"/>
  <c r="H101" i="68"/>
  <c r="H108" i="68"/>
  <c r="H118" i="68"/>
  <c r="H105" i="68"/>
  <c r="H117" i="68"/>
  <c r="H98" i="68"/>
  <c r="H96" i="68"/>
  <c r="H95" i="68"/>
  <c r="H104" i="68"/>
  <c r="H123" i="68"/>
  <c r="H140" i="68" s="1"/>
  <c r="H142" i="68" s="1"/>
  <c r="H100" i="68"/>
  <c r="H109" i="68"/>
  <c r="H107" i="68"/>
  <c r="H102" i="68"/>
  <c r="H106" i="68"/>
  <c r="H120" i="68"/>
  <c r="H115" i="68"/>
  <c r="H92" i="68"/>
  <c r="H121" i="68"/>
  <c r="H103" i="68"/>
  <c r="H113" i="68"/>
  <c r="I53" i="68"/>
  <c r="I43" i="68"/>
  <c r="H40" i="68"/>
  <c r="H27" i="68"/>
  <c r="H47" i="68"/>
  <c r="K47" i="68"/>
  <c r="K27" i="68"/>
  <c r="K40" i="68"/>
  <c r="I47" i="68"/>
  <c r="I23" i="68"/>
  <c r="H45" i="68"/>
  <c r="H33" i="68"/>
  <c r="H55" i="68"/>
  <c r="K22" i="68"/>
  <c r="K41" i="68"/>
  <c r="I45" i="68"/>
  <c r="I44" i="68"/>
  <c r="I39" i="68"/>
  <c r="H48" i="68"/>
  <c r="H38" i="68"/>
  <c r="H32" i="68"/>
  <c r="K24" i="68"/>
  <c r="K23" i="68"/>
  <c r="K38" i="68"/>
  <c r="I33" i="68"/>
  <c r="I52" i="68"/>
  <c r="I29" i="68"/>
  <c r="H24" i="68"/>
  <c r="H46" i="68"/>
  <c r="H51" i="68"/>
  <c r="K36" i="68"/>
  <c r="K26" i="68"/>
  <c r="K55" i="68"/>
  <c r="I46" i="68"/>
  <c r="I21" i="68"/>
  <c r="I38" i="68"/>
  <c r="H36" i="68"/>
  <c r="H21" i="68"/>
  <c r="H26" i="68"/>
  <c r="I35" i="68"/>
  <c r="K52" i="68"/>
  <c r="K49" i="68"/>
  <c r="K51" i="68"/>
  <c r="I54" i="68"/>
  <c r="I28" i="68"/>
  <c r="I48" i="68"/>
  <c r="H53" i="68"/>
  <c r="H30" i="68"/>
  <c r="H57" i="68"/>
  <c r="H77" i="68" s="1"/>
  <c r="H79" i="68" s="1"/>
  <c r="I36" i="68"/>
  <c r="K25" i="68"/>
  <c r="K33" i="68"/>
  <c r="K46" i="68"/>
  <c r="I24" i="68"/>
  <c r="I41" i="68"/>
  <c r="I49" i="68"/>
  <c r="H29" i="68"/>
  <c r="H25" i="68"/>
  <c r="H34" i="68"/>
  <c r="I55" i="68"/>
  <c r="K54" i="68"/>
  <c r="K37" i="68"/>
  <c r="K28" i="68"/>
  <c r="I51" i="68"/>
  <c r="I30" i="68"/>
  <c r="I32" i="68"/>
  <c r="K35" i="68"/>
  <c r="H52" i="68"/>
  <c r="H23" i="68"/>
  <c r="H41" i="68"/>
  <c r="I31" i="68"/>
  <c r="K34" i="68"/>
  <c r="K53" i="68"/>
  <c r="K32" i="68"/>
  <c r="I40" i="68"/>
  <c r="I27" i="68"/>
  <c r="I34" i="68"/>
  <c r="H50" i="68"/>
  <c r="H39" i="68"/>
  <c r="H22" i="68"/>
  <c r="K50" i="68"/>
  <c r="K48" i="68"/>
  <c r="K31" i="68"/>
  <c r="I57" i="68"/>
  <c r="I77" i="68" s="1"/>
  <c r="I79" i="68" s="1"/>
  <c r="I25" i="68"/>
  <c r="H44" i="68"/>
  <c r="H42" i="68"/>
  <c r="H43" i="68"/>
  <c r="K43" i="68"/>
  <c r="K44" i="68"/>
  <c r="K42" i="68"/>
  <c r="I42" i="68"/>
  <c r="I37" i="68"/>
  <c r="H28" i="68"/>
  <c r="H37" i="68"/>
  <c r="K45" i="68"/>
  <c r="K57" i="68"/>
  <c r="K77" i="68" s="1"/>
  <c r="K79" i="68" s="1"/>
  <c r="I26" i="68"/>
  <c r="I50" i="68"/>
  <c r="F22" i="68"/>
  <c r="F23" i="68"/>
  <c r="F32" i="68"/>
  <c r="F36" i="68"/>
  <c r="F27" i="68"/>
  <c r="F38" i="68"/>
  <c r="F25" i="68"/>
  <c r="F54" i="68"/>
  <c r="F34" i="68"/>
  <c r="F44" i="68"/>
  <c r="F55" i="68"/>
  <c r="F31" i="68"/>
  <c r="F57" i="68"/>
  <c r="F77" i="68" s="1"/>
  <c r="F79" i="68" s="1"/>
  <c r="F46" i="68"/>
  <c r="F48" i="68"/>
  <c r="F29" i="68"/>
  <c r="F33" i="68"/>
  <c r="F52" i="68"/>
  <c r="J43" i="68"/>
  <c r="F42" i="68"/>
  <c r="F47" i="68"/>
  <c r="F53" i="68"/>
  <c r="J54" i="68"/>
  <c r="F39" i="68"/>
  <c r="F43" i="68"/>
  <c r="F28" i="68"/>
  <c r="J33" i="68"/>
  <c r="F30" i="68"/>
  <c r="F51" i="68"/>
  <c r="F24" i="68"/>
  <c r="J21" i="68"/>
  <c r="F50" i="68"/>
  <c r="F49" i="68"/>
  <c r="F21" i="68"/>
  <c r="J36" i="68"/>
  <c r="F37" i="68"/>
  <c r="F41" i="68"/>
  <c r="J51" i="68"/>
  <c r="F30" i="58"/>
  <c r="F11" i="58" s="1"/>
  <c r="G11" i="58" s="1"/>
  <c r="B8" i="68" s="1"/>
  <c r="G50" i="68"/>
  <c r="G35" i="68"/>
  <c r="G38" i="68"/>
  <c r="G32" i="68"/>
  <c r="G36" i="68"/>
  <c r="G34" i="68"/>
  <c r="G49" i="68"/>
  <c r="G55" i="68"/>
  <c r="C19" i="68"/>
  <c r="J30" i="68"/>
  <c r="J45" i="68"/>
  <c r="J23" i="68"/>
  <c r="G40" i="68"/>
  <c r="G44" i="68"/>
  <c r="G54" i="68"/>
  <c r="J53" i="68"/>
  <c r="J48" i="68"/>
  <c r="J27" i="68"/>
  <c r="G27" i="68"/>
  <c r="G57" i="68"/>
  <c r="G77" i="68" s="1"/>
  <c r="G79" i="68" s="1"/>
  <c r="G31" i="68"/>
  <c r="J38" i="68"/>
  <c r="J26" i="68"/>
  <c r="J29" i="68"/>
  <c r="G25" i="68"/>
  <c r="G47" i="68"/>
  <c r="G52" i="68"/>
  <c r="J40" i="68"/>
  <c r="J50" i="68"/>
  <c r="J35" i="68"/>
  <c r="G42" i="68"/>
  <c r="G41" i="68"/>
  <c r="G45" i="68"/>
  <c r="J52" i="68"/>
  <c r="J55" i="68"/>
  <c r="J46" i="68"/>
  <c r="G43" i="68"/>
  <c r="G39" i="68"/>
  <c r="G33" i="68"/>
  <c r="J28" i="68"/>
  <c r="J37" i="68"/>
  <c r="J24" i="68"/>
  <c r="G22" i="68"/>
  <c r="G53" i="68"/>
  <c r="G28" i="68"/>
  <c r="J31" i="68"/>
  <c r="J42" i="68"/>
  <c r="J25" i="68"/>
  <c r="G24" i="68"/>
  <c r="G26" i="68"/>
  <c r="G29" i="68"/>
  <c r="J41" i="68"/>
  <c r="J47" i="68"/>
  <c r="J57" i="68"/>
  <c r="J77" i="68" s="1"/>
  <c r="J79" i="68" s="1"/>
  <c r="G30" i="68"/>
  <c r="G37" i="68"/>
  <c r="G51" i="68"/>
  <c r="J32" i="68"/>
  <c r="J34" i="68"/>
  <c r="J44" i="68"/>
  <c r="G23" i="68"/>
  <c r="G48" i="68"/>
  <c r="J39" i="68"/>
  <c r="J22" i="68"/>
  <c r="C27" i="68"/>
  <c r="C47" i="68"/>
  <c r="C49" i="68"/>
  <c r="C44" i="68"/>
  <c r="C45" i="68"/>
  <c r="C21" i="68"/>
  <c r="C55" i="68"/>
  <c r="C22" i="68"/>
  <c r="C54" i="68"/>
  <c r="C43" i="68"/>
  <c r="C34" i="68"/>
  <c r="C48" i="68"/>
  <c r="C23" i="68"/>
  <c r="C36" i="68"/>
  <c r="C53" i="68"/>
  <c r="C38" i="68"/>
  <c r="C28" i="68"/>
  <c r="C39" i="68"/>
  <c r="C25" i="68"/>
  <c r="C51" i="68"/>
  <c r="C37" i="68"/>
  <c r="C57" i="68"/>
  <c r="C77" i="68" s="1"/>
  <c r="C79" i="68" s="1"/>
  <c r="C31" i="68"/>
  <c r="C52" i="68"/>
  <c r="C29" i="68"/>
  <c r="C50" i="68"/>
  <c r="C30" i="68"/>
  <c r="C40" i="68"/>
  <c r="C35" i="68"/>
  <c r="C46" i="68"/>
  <c r="C32" i="68"/>
  <c r="C33" i="68"/>
  <c r="C42" i="68"/>
  <c r="C41" i="68"/>
  <c r="C24" i="68"/>
  <c r="C26" i="68"/>
  <c r="C221" i="68"/>
  <c r="C240" i="68"/>
  <c r="C250" i="68" s="1"/>
  <c r="C252" i="68" s="1"/>
  <c r="C232" i="68"/>
  <c r="C236" i="68"/>
  <c r="C224" i="68"/>
  <c r="C220" i="68"/>
  <c r="C235" i="68"/>
  <c r="C223" i="68"/>
  <c r="C227" i="68"/>
  <c r="C219" i="68"/>
  <c r="C238" i="68"/>
  <c r="C225" i="68"/>
  <c r="C218" i="68"/>
  <c r="B216" i="68" s="1"/>
  <c r="C230" i="68"/>
  <c r="C237" i="68"/>
  <c r="C228" i="68"/>
  <c r="C233" i="68"/>
  <c r="C226" i="68"/>
  <c r="C222" i="68"/>
  <c r="C231" i="68"/>
  <c r="C234" i="68"/>
  <c r="C229" i="68"/>
  <c r="B154" i="68" l="1"/>
  <c r="I11" i="58"/>
  <c r="H11" i="58"/>
  <c r="B88" i="68"/>
  <c r="M11" i="58"/>
  <c r="L11" i="58"/>
  <c r="K18" i="58"/>
  <c r="E9" i="58" s="1"/>
  <c r="F15" i="58"/>
  <c r="M15" i="58" s="1"/>
  <c r="F12" i="58"/>
  <c r="M12" i="58" s="1"/>
  <c r="F14" i="58"/>
  <c r="M14" i="58" s="1"/>
  <c r="F13" i="58"/>
  <c r="H13" i="58" s="1"/>
  <c r="F16" i="58"/>
  <c r="G16" i="58" s="1"/>
  <c r="B19" i="68"/>
  <c r="G15" i="58" l="1"/>
  <c r="L15" i="58"/>
  <c r="H15" i="58"/>
  <c r="I15" i="58"/>
  <c r="G14" i="58"/>
  <c r="H12" i="58"/>
  <c r="I12" i="58"/>
  <c r="G12" i="58"/>
  <c r="I13" i="58"/>
  <c r="L12" i="58"/>
  <c r="H14" i="58"/>
  <c r="L14" i="58"/>
  <c r="L13" i="58"/>
  <c r="I14" i="58"/>
  <c r="M13" i="58"/>
  <c r="G13" i="58"/>
  <c r="L16" i="58"/>
  <c r="H16" i="58"/>
  <c r="M16" i="58"/>
  <c r="I16"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Teodor Sundberg</author>
  </authors>
  <commentList>
    <comment ref="E1" authorId="0" shapeId="0" xr:uid="{00000000-0006-0000-0700-000001000000}">
      <text>
        <r>
          <rPr>
            <b/>
            <sz val="9"/>
            <color indexed="81"/>
            <rFont val="Tahoma"/>
            <family val="2"/>
          </rPr>
          <t>Teodor:</t>
        </r>
        <r>
          <rPr>
            <sz val="9"/>
            <color indexed="81"/>
            <rFont val="Tahoma"/>
            <family val="2"/>
          </rPr>
          <t xml:space="preserve">
Siffran här betyder att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<sst xmlns="http://schemas.openxmlformats.org/spreadsheetml/2006/main" count="10370" uniqueCount="725">
  <si>
    <t>Lanseringsår</t>
  </si>
  <si>
    <t>Vikt (gram)</t>
  </si>
  <si>
    <t>Upplösning</t>
  </si>
  <si>
    <t>Operativsystem</t>
  </si>
  <si>
    <t>Processor</t>
  </si>
  <si>
    <t>Kamera</t>
  </si>
  <si>
    <t>Anbudsgivare</t>
  </si>
  <si>
    <t>Skärmstorlek (tum)</t>
  </si>
  <si>
    <t>Mått: Höjd (cm)</t>
  </si>
  <si>
    <t>Mått: Bredd (cm)</t>
  </si>
  <si>
    <t>Mått: Djup (cm)</t>
  </si>
  <si>
    <t>Artikel-/modellnummer</t>
  </si>
  <si>
    <t>Vikt (kg)</t>
  </si>
  <si>
    <t>Antal färger</t>
  </si>
  <si>
    <t>Ljusstyrka</t>
  </si>
  <si>
    <t>Stativ</t>
  </si>
  <si>
    <t>Hårddisk</t>
  </si>
  <si>
    <t>Lagringsutrymme</t>
  </si>
  <si>
    <t>Adapter USB-C till HDMI</t>
  </si>
  <si>
    <t>HDMI 2.0 kabel, 2 m</t>
  </si>
  <si>
    <t>Displayport kabel 2m</t>
  </si>
  <si>
    <t>Tangentbord, svenskt, numerisk del, trådbundet.</t>
  </si>
  <si>
    <t>Tangentbord, svenskt, numerisk del, trådlöst.</t>
  </si>
  <si>
    <t>Datorryggsäck (grå eller svart med vadderade axelremmar) anpassad till bärbara datorer upp till 13 tum</t>
  </si>
  <si>
    <t>Ange eventuellt kablage som ingår utöver strömadapter</t>
  </si>
  <si>
    <t>Pris</t>
  </si>
  <si>
    <t>Datorväska (grå eller svart, med handtag och axelrem) anpassad till bärbara datorer upp till 13 tum</t>
  </si>
  <si>
    <t>Datorväska (grå eller svart med handtag och axelrem) anpassad till bärbara datorer upp till 15 tum</t>
  </si>
  <si>
    <t>Datorryggsäck (grå eller svart med vadderade axelremmar) anpassad till bärbara datorer upp till 15 tum</t>
  </si>
  <si>
    <t>Hörlurar in-ear med mikrofon, trådbundna med aktiv brusreducering.</t>
  </si>
  <si>
    <t>Hörlurar in-ear med mikrofon, trådlösa med aktiv brusreducering.</t>
  </si>
  <si>
    <t>Mus, optisk eller laseravläsning, scrollfunktion, vänsterhänta, trådlös.</t>
  </si>
  <si>
    <t>Mus, optisk eller laseravläsning, scrollfunktion, högerhänta, trådlös.</t>
  </si>
  <si>
    <t>Lås/stöldskydd (säkerhetskabel och lås) för datorer och bildskärmar</t>
  </si>
  <si>
    <t>Headset med mikrofon, on- eller over-ear trådbundna med aktiv brusreducering.</t>
  </si>
  <si>
    <t>Headset med mikrofon, on- eller over-ear trådlösa med aktiv brusreducering.</t>
  </si>
  <si>
    <t>Tangentbord och styrplatta</t>
  </si>
  <si>
    <t>Låsskydd</t>
  </si>
  <si>
    <t>Energiprestanda</t>
  </si>
  <si>
    <t>Miljömärkning</t>
  </si>
  <si>
    <t>Hållbarhetsprovning</t>
  </si>
  <si>
    <t>Hållbarhetsintyg</t>
  </si>
  <si>
    <t>Offererad produktnr. 09</t>
  </si>
  <si>
    <t>Beskrivning</t>
  </si>
  <si>
    <t>Offererad produktnr. 01</t>
  </si>
  <si>
    <t>Offererad produktnr. 03</t>
  </si>
  <si>
    <t>Offererad produktnr. 04</t>
  </si>
  <si>
    <t>Offererad produktnr. 05</t>
  </si>
  <si>
    <t>Offererad produktnr. 06</t>
  </si>
  <si>
    <t>Offererad produktnr. 07</t>
  </si>
  <si>
    <t>Offererad produktnr. 08</t>
  </si>
  <si>
    <t>Varumärke</t>
  </si>
  <si>
    <t>Modellbenämning</t>
  </si>
  <si>
    <t>Pris för tillvalsprodukt 1</t>
  </si>
  <si>
    <t>Pris för tillvalsprodukt 2</t>
  </si>
  <si>
    <t>Pris för tillvalsprodukt 3</t>
  </si>
  <si>
    <t>Offererad produktnr. 10</t>
  </si>
  <si>
    <t>Offererad produktnr. 12</t>
  </si>
  <si>
    <t>Offererad produktnr. 11</t>
  </si>
  <si>
    <t>Pris för tillvalsprodukt 4</t>
  </si>
  <si>
    <t>HP</t>
  </si>
  <si>
    <t>Lenovo</t>
  </si>
  <si>
    <t>Apple</t>
  </si>
  <si>
    <t>Intel i5</t>
  </si>
  <si>
    <t>Intel i7</t>
  </si>
  <si>
    <t>AMD Ryzen 5</t>
  </si>
  <si>
    <t>AMD Ryzen 7</t>
  </si>
  <si>
    <t>Portar USB</t>
  </si>
  <si>
    <t>Portar HDMI</t>
  </si>
  <si>
    <t>Ja</t>
  </si>
  <si>
    <t>Samsung</t>
  </si>
  <si>
    <t>1920x1080</t>
  </si>
  <si>
    <t>Offererad produktnr. 02</t>
  </si>
  <si>
    <t>Portar Display</t>
  </si>
  <si>
    <t>Portar USB C</t>
  </si>
  <si>
    <t>Kommunikation Bluetooth</t>
  </si>
  <si>
    <t>Kablage</t>
  </si>
  <si>
    <t>Sekretessfilter</t>
  </si>
  <si>
    <t>Ja, integrerad RJ45-port</t>
  </si>
  <si>
    <t>802.11a/b/g/n/ac</t>
  </si>
  <si>
    <t>Windows 10 Pro</t>
  </si>
  <si>
    <t>Intel Celeron</t>
  </si>
  <si>
    <t>Google Chrome OS</t>
  </si>
  <si>
    <t>Android 10</t>
  </si>
  <si>
    <t>Ja, HDMI-port finns</t>
  </si>
  <si>
    <t>Nej, adapter inkluderas</t>
  </si>
  <si>
    <t>802.11a/b/g/n/ac/ax</t>
  </si>
  <si>
    <t>Nej, fristående sekretessfilter offereras som tillvalsprodukt</t>
  </si>
  <si>
    <t>TCO Certified gen 8</t>
  </si>
  <si>
    <t>TCO Certified 8</t>
  </si>
  <si>
    <t>2160x1620</t>
  </si>
  <si>
    <t>Android 11</t>
  </si>
  <si>
    <t>2560x1440</t>
  </si>
  <si>
    <t>2560x1600</t>
  </si>
  <si>
    <t>EPEAT Gold</t>
  </si>
  <si>
    <t>2360x1640</t>
  </si>
  <si>
    <t>iPadOS 14</t>
  </si>
  <si>
    <t>Portar HDMI/Display</t>
  </si>
  <si>
    <t>Kommunikation Ethernet</t>
  </si>
  <si>
    <t>Trusted Platform Module</t>
  </si>
  <si>
    <t>Integrerade högtalare och mikrofon</t>
  </si>
  <si>
    <t>Ja, adapter till 3,5 mm hörlursutgång inkluderas</t>
  </si>
  <si>
    <t>Hörlur och mikrofoningång 3,5 mm</t>
  </si>
  <si>
    <t>Kommunikation WLAN</t>
  </si>
  <si>
    <t>Färg</t>
  </si>
  <si>
    <t>Ej miljömärkt</t>
  </si>
  <si>
    <t>Titel</t>
  </si>
  <si>
    <t>Offererat ProduktNr</t>
  </si>
  <si>
    <t>ProduktGrupp</t>
  </si>
  <si>
    <t>Tillvalskategori</t>
  </si>
  <si>
    <t>Värde</t>
  </si>
  <si>
    <t>Fil</t>
  </si>
  <si>
    <t>PRIS</t>
  </si>
  <si>
    <t>4. Surfplattor</t>
  </si>
  <si>
    <t>5. Bildskärmar</t>
  </si>
  <si>
    <t>Silver</t>
  </si>
  <si>
    <t>Grå</t>
  </si>
  <si>
    <t>Svart</t>
  </si>
  <si>
    <t>Ifall man vill göra datan horisontal flippar man denna</t>
  </si>
  <si>
    <t>Internminne (GB)</t>
  </si>
  <si>
    <t>Batteritid (tim)</t>
  </si>
  <si>
    <t>Antal</t>
  </si>
  <si>
    <t>Summa</t>
  </si>
  <si>
    <t>Tillbehör</t>
  </si>
  <si>
    <t>Databas</t>
  </si>
  <si>
    <t>ComputerCode</t>
  </si>
  <si>
    <t>Offererad produktnr. 01Ange företagsnamn</t>
  </si>
  <si>
    <t>2. Bärbara datorer (grupp A)</t>
  </si>
  <si>
    <t>Dustin Sverige AB</t>
  </si>
  <si>
    <t>ProBook 445 G8</t>
  </si>
  <si>
    <t>Mer än 11 timmar vid aktiv användning</t>
  </si>
  <si>
    <t>Pike Silver Aluminium</t>
  </si>
  <si>
    <t>ProBook 440 G8</t>
  </si>
  <si>
    <t>Pike silver aluminium</t>
  </si>
  <si>
    <t>3. Bärbara datorer (grupp B)</t>
  </si>
  <si>
    <t>ChromeBook 11 G9 EE</t>
  </si>
  <si>
    <t>305V7EA</t>
  </si>
  <si>
    <t xml:space="preserve">Jet Black </t>
  </si>
  <si>
    <t>Chromebook 14 G7</t>
  </si>
  <si>
    <t>Jet Black</t>
  </si>
  <si>
    <t>Galaxy Tab S6 Lite WiFi (64GB)</t>
  </si>
  <si>
    <t>2000x1200</t>
  </si>
  <si>
    <t>EPEAT Bronze (Canada)</t>
  </si>
  <si>
    <t>Oxford Gray / Angora Blue</t>
  </si>
  <si>
    <t>Minst 10 timmar vid aktiv användning</t>
  </si>
  <si>
    <t>Rymdgrå</t>
  </si>
  <si>
    <t>Mer än 13 timmar vid aktiv användning</t>
  </si>
  <si>
    <t>2800x1752</t>
  </si>
  <si>
    <t>Minst 8 timmar vid aktiv användning</t>
  </si>
  <si>
    <t>Black/grey</t>
  </si>
  <si>
    <t>Atea Sverige AB</t>
  </si>
  <si>
    <t>Intel i5 gen 11</t>
  </si>
  <si>
    <t>Intel i7 gen 11</t>
  </si>
  <si>
    <t>100e Chr Gen3</t>
  </si>
  <si>
    <t>2021  </t>
  </si>
  <si>
    <t>Kolsvart</t>
  </si>
  <si>
    <t>Lenovo Tab P11 Pro</t>
  </si>
  <si>
    <t>ZA7C0082SE</t>
  </si>
  <si>
    <t>Mörkgrå</t>
  </si>
  <si>
    <t>F24T450FQR</t>
  </si>
  <si>
    <t>LF24T450FQRXXE</t>
  </si>
  <si>
    <t>HDMI, USB</t>
  </si>
  <si>
    <t>Advania Sverige AB</t>
  </si>
  <si>
    <t>1920x1200</t>
  </si>
  <si>
    <t>Minst 9 timmar vid aktiv användning</t>
  </si>
  <si>
    <t>Android 9</t>
  </si>
  <si>
    <t>1x HDMI-kabel</t>
  </si>
  <si>
    <t>Real Time Solutions AB</t>
  </si>
  <si>
    <t>E27q-20</t>
  </si>
  <si>
    <t>Foxway Education AB</t>
  </si>
  <si>
    <t>Pike silver Aluminium</t>
  </si>
  <si>
    <t>Epeat Bronze</t>
  </si>
  <si>
    <t>Tab P11 Pro</t>
  </si>
  <si>
    <t>HDMI-kabel</t>
  </si>
  <si>
    <t>Offererad produktnr. 01Dustin Sverige AB</t>
  </si>
  <si>
    <t>Offererad produktnr. 02Dustin Sverige AB</t>
  </si>
  <si>
    <t>Offererad produktnr. 03Dustin Sverige AB</t>
  </si>
  <si>
    <t>Offererad produktnr. 04Dustin Sverige AB</t>
  </si>
  <si>
    <t>Offererad produktnr. 05Dustin Sverige AB</t>
  </si>
  <si>
    <t>Offererad produktnr. 06Dustin Sverige AB</t>
  </si>
  <si>
    <t>Offererad produktnr. 07Dustin Sverige AB</t>
  </si>
  <si>
    <t>Offererad produktnr. 08Dustin Sverige AB</t>
  </si>
  <si>
    <t>Offererad produktnr. 09Dustin Sverige AB</t>
  </si>
  <si>
    <t>Offererad produktnr. 10Dustin Sverige AB</t>
  </si>
  <si>
    <t>Offererad produktnr. 11Dustin Sverige AB</t>
  </si>
  <si>
    <t>Offererad produktnr. 12Dustin Sverige AB</t>
  </si>
  <si>
    <t>Offererad produktnr. 01Atea Sverige AB</t>
  </si>
  <si>
    <t>Offererad produktnr. 02Atea Sverige AB</t>
  </si>
  <si>
    <t>Offererad produktnr. 03Atea Sverige AB</t>
  </si>
  <si>
    <t>Offererad produktnr. 04Atea Sverige AB</t>
  </si>
  <si>
    <t>Offererad produktnr. 05Atea Sverige AB</t>
  </si>
  <si>
    <t>Offererad produktnr. 06Atea Sverige AB</t>
  </si>
  <si>
    <t>Offererad produktnr. 07Atea Sverige AB</t>
  </si>
  <si>
    <t>Offererad produktnr. 08Atea Sverige AB</t>
  </si>
  <si>
    <t>Offererad produktnr. 09Atea Sverige AB</t>
  </si>
  <si>
    <t>Offererad produktnr. 10Atea Sverige AB</t>
  </si>
  <si>
    <t>Offererad produktnr. 11Atea Sverige AB</t>
  </si>
  <si>
    <t>Offererad produktnr. 12Atea Sverige AB</t>
  </si>
  <si>
    <t>Offererad produktnr. 01Advania Sverige AB</t>
  </si>
  <si>
    <t>Offererad produktnr. 02Advania Sverige AB</t>
  </si>
  <si>
    <t>Offererad produktnr. 03Advania Sverige AB</t>
  </si>
  <si>
    <t>Offererad produktnr. 04Advania Sverige AB</t>
  </si>
  <si>
    <t>Offererad produktnr. 05Advania Sverige AB</t>
  </si>
  <si>
    <t>Offererad produktnr. 06Advania Sverige AB</t>
  </si>
  <si>
    <t>Offererad produktnr. 07Advania Sverige AB</t>
  </si>
  <si>
    <t>Offererad produktnr. 08Advania Sverige AB</t>
  </si>
  <si>
    <t>Offererad produktnr. 09Advania Sverige AB</t>
  </si>
  <si>
    <t>Offererad produktnr. 10Advania Sverige AB</t>
  </si>
  <si>
    <t>Offererad produktnr. 11Advania Sverige AB</t>
  </si>
  <si>
    <t>Offererad produktnr. 12Advania Sverige AB</t>
  </si>
  <si>
    <t>Offererad produktnr. 01Foxway Education AB</t>
  </si>
  <si>
    <t>Offererad produktnr. 02Foxway Education AB</t>
  </si>
  <si>
    <t>Offererad produktnr. 03Foxway Education AB</t>
  </si>
  <si>
    <t>Offererad produktnr. 04Foxway Education AB</t>
  </si>
  <si>
    <t>Offererad produktnr. 05Foxway Education AB</t>
  </si>
  <si>
    <t>Offererad produktnr. 06Foxway Education AB</t>
  </si>
  <si>
    <t>Offererad produktnr. 07Foxway Education AB</t>
  </si>
  <si>
    <t>Offererad produktnr. 08Foxway Education AB</t>
  </si>
  <si>
    <t>Offererad produktnr. 09Foxway Education AB</t>
  </si>
  <si>
    <t>Offererad produktnr. 10Foxway Education AB</t>
  </si>
  <si>
    <t>Offererad produktnr. 11Foxway Education AB</t>
  </si>
  <si>
    <t>Offererad produktnr. 12Foxway Education AB</t>
  </si>
  <si>
    <t>Produkt</t>
  </si>
  <si>
    <t>Extra</t>
  </si>
  <si>
    <t>pris</t>
  </si>
  <si>
    <t>Minst 12 timmar vid aktiv användning</t>
  </si>
  <si>
    <t>Leverantör</t>
  </si>
  <si>
    <t>Pris för tillvalsprodukt 5</t>
  </si>
  <si>
    <t>Pris för tillvalstjänst 1</t>
  </si>
  <si>
    <t>Pris för tillvalstjänst 2</t>
  </si>
  <si>
    <t>Pris för tillvalstjänst 3</t>
  </si>
  <si>
    <t>Pris för tillvalstjänst 4</t>
  </si>
  <si>
    <t>Till</t>
  </si>
  <si>
    <t>Antal :</t>
  </si>
  <si>
    <t>Tillvalprodukt 1: Fodral(Sleeve)</t>
  </si>
  <si>
    <t>Tillvalprodukt 4: Docka</t>
  </si>
  <si>
    <t>Tillval</t>
  </si>
  <si>
    <t>Tillvalprodukt 2: Skyddsfilm för glas/display</t>
  </si>
  <si>
    <t>Tillvalprodukt 1: Skyddsfodral</t>
  </si>
  <si>
    <t>Tillvalprodukt 4: Tangentbord</t>
  </si>
  <si>
    <t>Tillvalprodukt 5:  Aktiv penna, trådlös, magnetisk</t>
  </si>
  <si>
    <t>KVAR</t>
  </si>
  <si>
    <t>VAL</t>
  </si>
  <si>
    <t>Intel i5 (G10)</t>
  </si>
  <si>
    <t>Intel i5 (G11)</t>
  </si>
  <si>
    <t>Intel i7 (G10)</t>
  </si>
  <si>
    <t>Intel i7 (G11)</t>
  </si>
  <si>
    <t>Standard</t>
  </si>
  <si>
    <t>Avancerad</t>
  </si>
  <si>
    <t>Ranking</t>
  </si>
  <si>
    <t>TOTAL</t>
  </si>
  <si>
    <t>Storlekar</t>
  </si>
  <si>
    <t>SUMMA:</t>
  </si>
  <si>
    <t>Produkt 1</t>
  </si>
  <si>
    <t>Produkt 2</t>
  </si>
  <si>
    <t>Produkt 3</t>
  </si>
  <si>
    <t>Produkt 4</t>
  </si>
  <si>
    <t>Produkt 5</t>
  </si>
  <si>
    <t>Produkt 6</t>
  </si>
  <si>
    <t>Styckpris</t>
  </si>
  <si>
    <t>Här får anvädnaren allt det dom vill ha</t>
  </si>
  <si>
    <t>Krav/minimikrav</t>
  </si>
  <si>
    <t>Tillvalstjänst 1 Utökad Garanti 1 år</t>
  </si>
  <si>
    <t>Tillvalstjänst 2: Imagehantering</t>
  </si>
  <si>
    <t>Tillvalstjänst 3: Stöldskyddsmärkning</t>
  </si>
  <si>
    <t>Tillvalstjänst 2: Stöldskyddsmärkning</t>
  </si>
  <si>
    <t>Tillvalstjänst 3: Avemballering</t>
  </si>
  <si>
    <t>Tillvalprodukt 2: Sekretessfilter</t>
  </si>
  <si>
    <t>Tillvalprodukt 1: Sekretessfilter</t>
  </si>
  <si>
    <t>Tillvalstjänst 4: Avemballering</t>
  </si>
  <si>
    <t>Tillvalprodukt 3: Extra strömadapter/komplett laddare</t>
  </si>
  <si>
    <t>Pris per digital enhet inkl. valda tillval</t>
  </si>
  <si>
    <t>Fråga</t>
  </si>
  <si>
    <t>Miljömärkt</t>
  </si>
  <si>
    <t>Surfplattor</t>
  </si>
  <si>
    <t>Bildskärmar</t>
  </si>
  <si>
    <t>Pris/st</t>
  </si>
  <si>
    <t>Totalpris</t>
  </si>
  <si>
    <t>Erbjudet tillbehör</t>
  </si>
  <si>
    <t>Tillbehörspriser för respektive leverantör (pris/st</t>
  </si>
  <si>
    <t>Cirafon</t>
  </si>
  <si>
    <t>LSN8696R2-14.1</t>
  </si>
  <si>
    <t>DPF14-9</t>
  </si>
  <si>
    <t>Targus</t>
  </si>
  <si>
    <t>LSN9117-11</t>
  </si>
  <si>
    <t xml:space="preserve">Samsung </t>
  </si>
  <si>
    <t>Panzerglass</t>
  </si>
  <si>
    <t>APD9-HBSFO-BLCK</t>
  </si>
  <si>
    <t>CG-TG-APL-IDP102</t>
  </si>
  <si>
    <t>PD20E-1TGA-W/DMA-038#KIT</t>
  </si>
  <si>
    <t>DK-400B-WHT</t>
  </si>
  <si>
    <t>INGÅR</t>
  </si>
  <si>
    <t>DPF23.8-9</t>
  </si>
  <si>
    <t>DPF27-9</t>
  </si>
  <si>
    <t>Deltaco</t>
  </si>
  <si>
    <t>DELTACO</t>
  </si>
  <si>
    <t xml:space="preserve">ZAGG </t>
  </si>
  <si>
    <t>TB-631</t>
  </si>
  <si>
    <t>Tolerate</t>
  </si>
  <si>
    <t xml:space="preserve">USBC-AC141 </t>
  </si>
  <si>
    <t>P11 Pro Folio Case &amp; Film Grey</t>
  </si>
  <si>
    <t>HP 45W Smart AC Adapter</t>
  </si>
  <si>
    <t>HP USB-C Dock G5</t>
  </si>
  <si>
    <t xml:space="preserve">Lenovo </t>
  </si>
  <si>
    <t>Basic Sleeve 11"</t>
  </si>
  <si>
    <t>Lenovo 11.6" Privacy Filter</t>
  </si>
  <si>
    <t>Power adapter USB-C 45w</t>
  </si>
  <si>
    <t>HP 45W USB-C Power Adapter G2</t>
  </si>
  <si>
    <t>ZAGG</t>
  </si>
  <si>
    <t xml:space="preserve">Mophie </t>
  </si>
  <si>
    <t>GEAR4 Case Brompton + Folio Apple iPad Air 10.9" (4th Gen)/ iPad Pro 11" (1st &amp; 2nd Gen) - smoke</t>
  </si>
  <si>
    <t>InvisibleShield Glass Elite+ iPad Air 4/11P (2021) Case friendly Screen</t>
  </si>
  <si>
    <t>Mophie USB typ C-kabel/MOPHIE WALL ADAPTER USB-C 20W</t>
  </si>
  <si>
    <t>TOLERATE KEYBOARD FOLIO IPAD AIR 10,9 BLACK</t>
  </si>
  <si>
    <t>Mophie</t>
  </si>
  <si>
    <t>Wall Adapter-USB-C-20W-White-EU/mophie Charge and Sync Cable- USB-C to Lightning Cable 1.8M – White</t>
  </si>
  <si>
    <t>Samsung Travel Adapter/USB-C till USB-A-kabel - 1.5 m</t>
  </si>
  <si>
    <t>Samsung S-Pen</t>
  </si>
  <si>
    <t>Zagg</t>
  </si>
  <si>
    <t>TOLERATE ARMOR FOLIO LENOVO TAB 11 PRO</t>
  </si>
  <si>
    <t>InvisibleShield Glass Elite+</t>
  </si>
  <si>
    <t xml:space="preserve">Lenovo Smart Charge station </t>
  </si>
  <si>
    <t>Lenovo P11 Pro Keyboard</t>
  </si>
  <si>
    <t>Lenovo Precision Pen 2</t>
  </si>
  <si>
    <t>Apple Pencil</t>
  </si>
  <si>
    <t>Insmat</t>
  </si>
  <si>
    <t>Targus Privacy Screen 14"</t>
  </si>
  <si>
    <t>ThinkPad USB-C Dock gen2</t>
  </si>
  <si>
    <t>Screenor</t>
  </si>
  <si>
    <t>Targus SafePORT Rugged</t>
  </si>
  <si>
    <t>SCREENOR TEMPERED IPAD 10.2</t>
  </si>
  <si>
    <t>Laddkit iPad</t>
  </si>
  <si>
    <t>DELTACO trådlöst minitangentbord, 78 tangenter, Bluetooth, nordisk layout, dämpade tangenter, svart</t>
  </si>
  <si>
    <t xml:space="preserve">TOLERATE ARMOR FOLIO SAMSUNG TAB S6 LITE BLACK </t>
  </si>
  <si>
    <t>SAMSUNG FAST TRAVEL CHARGER USB-C BLACK</t>
  </si>
  <si>
    <t xml:space="preserve">SAMSUNG S-PEN GALAXY TAB S6 LITE GREY </t>
  </si>
  <si>
    <t>SAMSUNG S-PEN GALAXY TAB S7</t>
  </si>
  <si>
    <t>Skyddsfilm</t>
  </si>
  <si>
    <t>Targus Privacy Screen 23.8"</t>
  </si>
  <si>
    <t>Targus Privacy Screen 27"</t>
  </si>
  <si>
    <t>Varumärke Tillvalsprodukt 1</t>
  </si>
  <si>
    <t>Varumärke Tillvalsprodukt 2</t>
  </si>
  <si>
    <t>Varumärke Tillvalsprodukt 3</t>
  </si>
  <si>
    <t>Varumärke Tillvalsprodukt 4</t>
  </si>
  <si>
    <t>Varumärke Tillvalsprodukt 5</t>
  </si>
  <si>
    <t>Modellbenämning Tillvalsprodukt 1</t>
  </si>
  <si>
    <t>Modellbenämning Tillvalsprodukt 2</t>
  </si>
  <si>
    <t>Modellbenämning Tillvalsprodukt 3</t>
  </si>
  <si>
    <t>Modellbenämning Tillvalsprodukt 4</t>
  </si>
  <si>
    <t>Modellbenämning Tillvalsprodukt 5</t>
  </si>
  <si>
    <t>12,0-14,9 tum</t>
  </si>
  <si>
    <t>13,0-14,9 tum</t>
  </si>
  <si>
    <t>Version 8,0</t>
  </si>
  <si>
    <t>11,0-13,9 tum</t>
  </si>
  <si>
    <t>23,0-24,9 tum</t>
  </si>
  <si>
    <t>25,0-27,9 tum</t>
  </si>
  <si>
    <t>10,0-10,9 tum</t>
  </si>
  <si>
    <t>13,0-15,9 tum</t>
  </si>
  <si>
    <t>Produkt 7</t>
  </si>
  <si>
    <t>Produkt 8</t>
  </si>
  <si>
    <t>Produkt 9</t>
  </si>
  <si>
    <t>Produkt 10</t>
  </si>
  <si>
    <t>Summa:</t>
  </si>
  <si>
    <t>Fodral(Sleeve)</t>
  </si>
  <si>
    <t>Docka</t>
  </si>
  <si>
    <t>Tillvalstjänster</t>
  </si>
  <si>
    <t>Tillvalsprodukter</t>
  </si>
  <si>
    <t>Utökad Garanti 1 år</t>
  </si>
  <si>
    <t>Imagehantering</t>
  </si>
  <si>
    <t>Stöldskyddsmärkning</t>
  </si>
  <si>
    <t>Avemballering</t>
  </si>
  <si>
    <t>Extra strömadapter/ komplett laddare</t>
  </si>
  <si>
    <t>Skyddsfodral</t>
  </si>
  <si>
    <t>Skyddsfilm för glas/display</t>
  </si>
  <si>
    <t>Tangentbord</t>
  </si>
  <si>
    <t>Aktiv penna, trådlös, magnetisk</t>
  </si>
  <si>
    <t>Surfplatta 01</t>
  </si>
  <si>
    <t>Bildskärm 01</t>
  </si>
  <si>
    <t>Surfplatta 02</t>
  </si>
  <si>
    <t>Surfplatta 03</t>
  </si>
  <si>
    <t>Surfplatta 04</t>
  </si>
  <si>
    <t>Surfplatta 05</t>
  </si>
  <si>
    <t>Surfplatta 06</t>
  </si>
  <si>
    <t>Surfplatta 07</t>
  </si>
  <si>
    <t>Surfplatta 08</t>
  </si>
  <si>
    <t>Surfplatta 09</t>
  </si>
  <si>
    <t>Surfplatta 10</t>
  </si>
  <si>
    <t>Bildskärm 02</t>
  </si>
  <si>
    <t>Bildskärm 03</t>
  </si>
  <si>
    <t>Bildskärm 04</t>
  </si>
  <si>
    <t>Bildskärm 05</t>
  </si>
  <si>
    <t>Bildskärm 06</t>
  </si>
  <si>
    <t>Bildskärm 07</t>
  </si>
  <si>
    <t>Bildskärm 08</t>
  </si>
  <si>
    <t>Bildskärm 09</t>
  </si>
  <si>
    <t>Bildskärm 10</t>
  </si>
  <si>
    <t>11,0-12,9 tum</t>
  </si>
  <si>
    <t>För att gömma fullständing specifikation klicka på minustecknet till vänster</t>
  </si>
  <si>
    <t>Sammanfattning</t>
  </si>
  <si>
    <t>Rensa trasiga rader</t>
  </si>
  <si>
    <t>"+ och minus"</t>
  </si>
  <si>
    <t>Linjer</t>
  </si>
  <si>
    <t>För att se fullständing specifikation klicka på plustecken till vänster</t>
  </si>
  <si>
    <t>GBXAA445-v1</t>
  </si>
  <si>
    <t>GBX2UW01AA</t>
  </si>
  <si>
    <t>GBXJ6E65AA</t>
  </si>
  <si>
    <t>GBXH6Y88AA</t>
  </si>
  <si>
    <t>GBX5TW10AA</t>
  </si>
  <si>
    <t>GBXAA445-v2</t>
  </si>
  <si>
    <t>GBXAA440-v2</t>
  </si>
  <si>
    <t>Kapsolo</t>
  </si>
  <si>
    <t>GBX77E81AA</t>
  </si>
  <si>
    <t>GBXKAP10145</t>
  </si>
  <si>
    <t>GBXAACB14-G7</t>
  </si>
  <si>
    <t>GBXKAP10478</t>
  </si>
  <si>
    <t>GBX1HE07AA</t>
  </si>
  <si>
    <t>M10 FHD G2</t>
  </si>
  <si>
    <t>GBXZA5T0302SE</t>
  </si>
  <si>
    <t>Iron Grey</t>
  </si>
  <si>
    <t>Phonelife</t>
  </si>
  <si>
    <t>Kecow</t>
  </si>
  <si>
    <t>GBXRUGGEDLENTAB-V1</t>
  </si>
  <si>
    <t>GBXLENFILM</t>
  </si>
  <si>
    <t>GBXLENCHARGE</t>
  </si>
  <si>
    <t>GBX TB-631</t>
  </si>
  <si>
    <t>GBXPP2PENMAGNETIC</t>
  </si>
  <si>
    <t>RymdGrå</t>
  </si>
  <si>
    <t>Otterbox Defender Series</t>
  </si>
  <si>
    <t>Belkin</t>
  </si>
  <si>
    <t>GBX77-62032</t>
  </si>
  <si>
    <t>gbx200106077</t>
  </si>
  <si>
    <t>GBXWCA003VF04WH</t>
  </si>
  <si>
    <t>MK0C2ZM/A</t>
  </si>
  <si>
    <t>Ipad Pro 11 tum</t>
  </si>
  <si>
    <t>GBXMHQR3KN/A</t>
  </si>
  <si>
    <t>2388x1668</t>
  </si>
  <si>
    <t>GBX77-82261</t>
  </si>
  <si>
    <t>GBX200108138</t>
  </si>
  <si>
    <t>GBXF7U074vf04-SLV</t>
  </si>
  <si>
    <t>MU8F2ZM/A</t>
  </si>
  <si>
    <t>Lenovo Tab P11 Pro ZA7C 128GB</t>
  </si>
  <si>
    <t>GBXZA7C0082SE+USBC-1145</t>
  </si>
  <si>
    <t>GBXRUGGEDLENTAB-V2</t>
  </si>
  <si>
    <t>GBXKAP10786</t>
  </si>
  <si>
    <t>GBX62D0GAT1EU</t>
  </si>
  <si>
    <t>GBXKAP11019</t>
  </si>
  <si>
    <t xml:space="preserve">Produkt i varukorg utifrån lägsta totalpris  </t>
  </si>
  <si>
    <t>De billigaste produkterna inom produktområdet utifrån angivet behov</t>
  </si>
  <si>
    <t>Rank</t>
  </si>
  <si>
    <t>E-post</t>
  </si>
  <si>
    <t>Telefon 1</t>
  </si>
  <si>
    <t>Telefon 2</t>
  </si>
  <si>
    <t>MM</t>
  </si>
  <si>
    <t>Leverantören ska undantas vid avrop</t>
  </si>
  <si>
    <t>Totalpris för samtliga tillbehör</t>
  </si>
  <si>
    <t>Version</t>
  </si>
  <si>
    <t>ändrar alla</t>
  </si>
  <si>
    <t>Bärbara datorer (A)</t>
  </si>
  <si>
    <t>Bärbara datorer (B)</t>
  </si>
  <si>
    <t>Joakim Lindhe</t>
  </si>
  <si>
    <t>wpavrop@advania.com</t>
  </si>
  <si>
    <t>DigitalaenheterDyn2019@atea.se</t>
  </si>
  <si>
    <t>public@dustin.se</t>
  </si>
  <si>
    <t>Per Stenlåås</t>
  </si>
  <si>
    <t>avrop@foxway.com</t>
  </si>
  <si>
    <t>kundservice@rts.se</t>
  </si>
  <si>
    <t>08-410 690 30</t>
  </si>
  <si>
    <t>KontaktPerson</t>
  </si>
  <si>
    <t>Kontaktperson</t>
  </si>
  <si>
    <t>Android</t>
  </si>
  <si>
    <t>iPadOS</t>
  </si>
  <si>
    <t>Android*</t>
  </si>
  <si>
    <t>IpadOS</t>
  </si>
  <si>
    <t>IpadOS*</t>
  </si>
  <si>
    <t xml:space="preserve"> </t>
  </si>
  <si>
    <t>Bärbar dator (A) 01</t>
  </si>
  <si>
    <t>Bärbar dator (A) 02</t>
  </si>
  <si>
    <t>Bärbar dator (A) 03</t>
  </si>
  <si>
    <t>Bärbar dator (A) 04</t>
  </si>
  <si>
    <t>Bärbar dator (A) 05</t>
  </si>
  <si>
    <t>Bärbar dator (A) 06</t>
  </si>
  <si>
    <t>Bärbar dator (A) 07</t>
  </si>
  <si>
    <t>Bärbar dator (A) 08</t>
  </si>
  <si>
    <t>Bärbar dator (A) 09</t>
  </si>
  <si>
    <t>Bärbar dator (A) 10</t>
  </si>
  <si>
    <t>Bärbar dator (B) 01</t>
  </si>
  <si>
    <t>Bärbar dator (B) 02</t>
  </si>
  <si>
    <t>Bärbar dator (B) 03</t>
  </si>
  <si>
    <t>Bärbar dator (B) 04</t>
  </si>
  <si>
    <t>Bärbar dator (B) 05</t>
  </si>
  <si>
    <t>Bärbar dator (B) 06</t>
  </si>
  <si>
    <t>Bärbar dator (B) 07</t>
  </si>
  <si>
    <t>Bärbar dator (B) 08</t>
  </si>
  <si>
    <t>Bärbar dator (B) 09</t>
  </si>
  <si>
    <t>Bärbar dator (B) 10</t>
  </si>
  <si>
    <t>Mervärdesiffra</t>
  </si>
  <si>
    <t>Företagsnamn ordning efter mervärde</t>
  </si>
  <si>
    <t>Summa pris</t>
  </si>
  <si>
    <t>Uteslut ogiltiga företag</t>
  </si>
  <si>
    <t>Vissa summa ifall ej utesluten</t>
  </si>
  <si>
    <t>Summa inkl mervärde (mervärde gör produkten billigare)</t>
  </si>
  <si>
    <t>Rank pris som visas utåt</t>
  </si>
  <si>
    <t>Rank pris inkl mervärde</t>
  </si>
  <si>
    <t>Rank inkl dubblett vid lika värden</t>
  </si>
  <si>
    <t>FöretagRanking</t>
  </si>
  <si>
    <t>Namn på vinnare exkl mervärde</t>
  </si>
  <si>
    <t>Totalpris för detta avrop</t>
  </si>
  <si>
    <t>Pris per styck inklusive tillval</t>
  </si>
  <si>
    <t>Pris per styck</t>
  </si>
  <si>
    <t>Sum</t>
  </si>
  <si>
    <t>Undanta</t>
  </si>
  <si>
    <t>Eva Sjöström</t>
  </si>
  <si>
    <t>08-470 80 88</t>
  </si>
  <si>
    <t>076-126 74 60</t>
  </si>
  <si>
    <t>Avropande myndighet:</t>
  </si>
  <si>
    <t>Organisationsnummer:</t>
  </si>
  <si>
    <t>Kontaktperson:</t>
  </si>
  <si>
    <t>Telefonnummer:</t>
  </si>
  <si>
    <t>E-post:</t>
  </si>
  <si>
    <t>Fakturaadress:</t>
  </si>
  <si>
    <t>Standard e-faktura:</t>
  </si>
  <si>
    <t>Fakturareferens:</t>
  </si>
  <si>
    <t>Leveransdag:</t>
  </si>
  <si>
    <t>Leveransadress:</t>
  </si>
  <si>
    <t>Diarienummer:</t>
  </si>
  <si>
    <t>Datum:</t>
  </si>
  <si>
    <t>Övrig info:</t>
  </si>
  <si>
    <t>Version 8.0</t>
  </si>
  <si>
    <t>10.2-inch iPad Wi-Fi 64GB</t>
  </si>
  <si>
    <t>MK2K3KN/A</t>
  </si>
  <si>
    <t>iPadOS 15</t>
  </si>
  <si>
    <t>1x VGA-kabel</t>
  </si>
  <si>
    <t>Apple Pencil 2nd Generation - Penna för surfplatta - för 10.9-inch iPad Air (4th generation); 11-inch iPad Pro (1st generation, 2nd generation, 3rd generation); 12.9-inch iPad Pro (3rd generation, 4th generation, 5th generation)</t>
  </si>
  <si>
    <t>iPad Wi-Fi 9:e Generationen</t>
  </si>
  <si>
    <t>ZAGG Rugged Messenger Case - Skyddsfodral för surfplatta - robust - 10.2" - för Apple 10.2-inch iPad</t>
  </si>
  <si>
    <t>InvisibleShield Glass Elite+ Apple iPad 10.2" Screen</t>
  </si>
  <si>
    <t>Tolerate KEYBOARD FOLIO - Tangentbord och foliefodral - Bluetooth - svensk - svart - för Apple 10.2-inch iPad</t>
  </si>
  <si>
    <t>Apple Pencil - Penna för surfplatta - för 10.2-inch iPad (7th generation, 8th generation); 10.5-inch iPad Air (3rd generation); 10.5-inch iPad Pro; 12.9-inch iPad Pro (1st generation, 2nd generation); 9.7-inch iPad (6th generation); 9.7-inch iPad Pro; iPad mini 5</t>
  </si>
  <si>
    <t>Galaxy Tab S8 Wifi (128GB)</t>
  </si>
  <si>
    <t>SM-X700NZAAEUB</t>
  </si>
  <si>
    <t>Graphite</t>
  </si>
  <si>
    <t xml:space="preserve">TOLERATE KEYBOARD FOLIO SAMSUNG TAB S8 </t>
  </si>
  <si>
    <t>Targus Privacy Screen - filter för personlig integritet - 23,8 tum bred</t>
  </si>
  <si>
    <t>Targus Privacy Screen 27" Widescreen (16:9) - filter för personlig integritet - 27 tum bred</t>
  </si>
  <si>
    <t>iPad 9th gen</t>
  </si>
  <si>
    <t>10.2-inch (9th-gen) iPad Wi-Fi 64GB</t>
  </si>
  <si>
    <t>Qlosr Göteborg AB</t>
  </si>
  <si>
    <t>Dell</t>
  </si>
  <si>
    <t>GBX3E2U7AA</t>
  </si>
  <si>
    <t>Dark Grey</t>
  </si>
  <si>
    <t>iPad 9th gen (2021)</t>
  </si>
  <si>
    <t>GBXMK2K3KN/A</t>
  </si>
  <si>
    <t>Offererad produktnr. 01Qlosr Göteborg AB</t>
  </si>
  <si>
    <t>Offererad produktnr. 02Qlosr Göteborg AB</t>
  </si>
  <si>
    <t>Offererad produktnr. 03Qlosr Göteborg AB</t>
  </si>
  <si>
    <t>Offererad produktnr. 04Qlosr Göteborg AB</t>
  </si>
  <si>
    <t>Offererad produktnr. 05Qlosr Göteborg AB</t>
  </si>
  <si>
    <t>Offererad produktnr. 06Qlosr Göteborg AB</t>
  </si>
  <si>
    <t>Offererad produktnr. 07Qlosr Göteborg AB</t>
  </si>
  <si>
    <t>Offererad produktnr. 08Qlosr Göteborg AB</t>
  </si>
  <si>
    <t>Offererad produktnr. 09Qlosr Göteborg AB</t>
  </si>
  <si>
    <t>Offererad produktnr. 10Qlosr Göteborg AB</t>
  </si>
  <si>
    <t>Offererad produktnr. 11Qlosr Göteborg AB</t>
  </si>
  <si>
    <t>Offererad produktnr. 12Qlosr Göteborg AB</t>
  </si>
  <si>
    <t>upphandling.goteborg@qlosr.se</t>
  </si>
  <si>
    <t>Upphandling Kundservice</t>
  </si>
  <si>
    <t>031-703 36 20</t>
  </si>
  <si>
    <t>Windows 11 Pro</t>
  </si>
  <si>
    <t>ProBook 440 G9</t>
  </si>
  <si>
    <t>Intel i5 Gen 12</t>
  </si>
  <si>
    <t>6S7N6EA + UK707E</t>
  </si>
  <si>
    <t>Intel i7 Gen 12</t>
  </si>
  <si>
    <t>5R200ES</t>
  </si>
  <si>
    <t>eSTUFF</t>
  </si>
  <si>
    <t>Fodral för bärbar dator</t>
  </si>
  <si>
    <t>Targus Privacy Screen 14" Widescreen</t>
  </si>
  <si>
    <t>HP USB-C Dock G5 Essential</t>
  </si>
  <si>
    <t>Elitebook 840 G9</t>
  </si>
  <si>
    <t>10.9-inch iPad Air Wi-Fi 5th Gen</t>
  </si>
  <si>
    <t>MM9C3KN/A</t>
  </si>
  <si>
    <t>TCO 8.0</t>
  </si>
  <si>
    <t>DPF11.6-9</t>
  </si>
  <si>
    <t>SM-P613NZAANEE</t>
  </si>
  <si>
    <t>Hama</t>
  </si>
  <si>
    <t>Voxicon</t>
  </si>
  <si>
    <t>DK-199B-G</t>
  </si>
  <si>
    <t>EJ-PP610BJEGEU / EJ-PP610BLEGEU</t>
  </si>
  <si>
    <t>Grafit / Silver / Pink</t>
  </si>
  <si>
    <t>Grafit</t>
  </si>
  <si>
    <t>THZ904GL </t>
  </si>
  <si>
    <t>V7</t>
  </si>
  <si>
    <t>V7 Elite Sleeve 14"</t>
  </si>
  <si>
    <t>V7 Elite Sleeve 12"</t>
  </si>
  <si>
    <t>5R200ES  + UQ990E</t>
  </si>
  <si>
    <t xml:space="preserve">Insmat </t>
  </si>
  <si>
    <t>Insmat Brilliant</t>
  </si>
  <si>
    <t>Insmat Rugged Armor S8</t>
  </si>
  <si>
    <t>TOLERATE GLASS SCREEN PROTECTOR SAMSUNG TAB S8</t>
  </si>
  <si>
    <t>Titan Grey</t>
  </si>
  <si>
    <t>070-480 45 64</t>
  </si>
  <si>
    <t>Evelina Erkers Lindberg</t>
  </si>
  <si>
    <t>070-481 29 27</t>
  </si>
  <si>
    <t>08-553 44 000 vx</t>
  </si>
  <si>
    <t>073-910 72 55</t>
  </si>
  <si>
    <t>Nr</t>
  </si>
  <si>
    <t>OldNew</t>
  </si>
  <si>
    <t>Old</t>
  </si>
  <si>
    <t>Advania 20240419.xlsx</t>
  </si>
  <si>
    <t>ProBook 445 G10</t>
  </si>
  <si>
    <t>967Y6ET + UK707E</t>
  </si>
  <si>
    <t>PORT Designs</t>
  </si>
  <si>
    <t>CoreParts</t>
  </si>
  <si>
    <t xml:space="preserve"> CSE14-BLK-3E  -Fodral för bärbar dator - 14" - svart</t>
  </si>
  <si>
    <t>900003 - Professional - filter för personlig integritet - 14"</t>
  </si>
  <si>
    <t>MBXUSBC-AC0005 - USB-C - strömadapter 45 Watt</t>
  </si>
  <si>
    <t>72C71AA#ABB - Essential - dockningsstation</t>
  </si>
  <si>
    <t>ProBook 440 G10</t>
  </si>
  <si>
    <t xml:space="preserve">967Z9ET + UK707E
</t>
  </si>
  <si>
    <t>HP ProBook 445 G10</t>
  </si>
  <si>
    <t>8A5E8EA + UK707E</t>
  </si>
  <si>
    <t>ProBook 440 G11</t>
  </si>
  <si>
    <t>DICOTA</t>
  </si>
  <si>
    <t>D70513 - Sekretessfilter till bärbar dator - 2-vägs - borttagbar - lim - 14 tum bred - svart</t>
  </si>
  <si>
    <t xml:space="preserve"> CSE12-BLK-3E  - Fodral för bärbar dator 12" - svart</t>
  </si>
  <si>
    <t>900265 - Sekretessfilter till bärbar dator - 11.6" - guld</t>
  </si>
  <si>
    <t>Tab M10 (3rd Gen)</t>
  </si>
  <si>
    <t>ZAAF0033SE</t>
  </si>
  <si>
    <t>Tvåtonat stormgrått</t>
  </si>
  <si>
    <t>ES685307-BULK - Vikbart fodral för surfplatta - polyuretan, polykarbonat, konstläder, mikrofiber - svart - för Lenovo Tab M10 (3rd Gen)</t>
  </si>
  <si>
    <t>ES517003 - Skärmskydd för surfplatta - glas - klar - för Lenovo Tab M10 (3rd Gen)</t>
  </si>
  <si>
    <t>MBXUSB-AC0011 - Strömadapter - 12 Watt - 2.4 A (USB) - på kabel: USB-C - vit - med USB-C cable (2m)</t>
  </si>
  <si>
    <t>109912139 - Pro Stylus 2 - Aktiv penna - grå</t>
  </si>
  <si>
    <t>ES682335-BULK - Baksidesskydd för surfplatta</t>
  </si>
  <si>
    <t>ES503200 - Titan Shield - skärmskydd för mobiltelefon</t>
  </si>
  <si>
    <t>Samsung Galaxy Tab S9</t>
  </si>
  <si>
    <t>SM-X710NZAAEUB</t>
  </si>
  <si>
    <t xml:space="preserve">652-1287 - Baksidesskydd för surfplatta - robust - rugged armor </t>
  </si>
  <si>
    <t>EF-UX710CTEGWW - EF-UX710 - Skärmskydd för surfplatta</t>
  </si>
  <si>
    <t>EJ-PX710BBEGEU - S Pen - Aktiv penna - Bluetooth</t>
  </si>
  <si>
    <t>Samsung Galaxy Tab S8</t>
  </si>
  <si>
    <t>ED600189 - Skärmskydd för surfplatta</t>
  </si>
  <si>
    <t>HP E24i G4 - E-Series - LED-skärm</t>
  </si>
  <si>
    <t>9VJ40A3</t>
  </si>
  <si>
    <t>GLBB24519325 -  Filter för personlig integritet - 2-vägs - 24" - svart</t>
  </si>
  <si>
    <t>HP E27q G5 - E-Series</t>
  </si>
  <si>
    <t>6N6F2AA</t>
  </si>
  <si>
    <t>GLBB27598337 - Filter för personlig integritet - 2-vägs - 27" - svart</t>
  </si>
  <si>
    <t>Atea 2024061 uppdaterad.xlsx</t>
  </si>
  <si>
    <t>Elitebook 640 G10</t>
  </si>
  <si>
    <t>967Z7ET#UUW</t>
  </si>
  <si>
    <t>TCO Certified gen 9</t>
  </si>
  <si>
    <t>HP 65W Smart AC Adapter</t>
  </si>
  <si>
    <t>Elitebook 840 G10</t>
  </si>
  <si>
    <t>96X39ET#UUW + 4Z527AA</t>
  </si>
  <si>
    <t>Probook 440 G10</t>
  </si>
  <si>
    <t>817X7EA#UUW + UK707E</t>
  </si>
  <si>
    <t>817Q7EA#UUW</t>
  </si>
  <si>
    <t>82V0S02T00</t>
  </si>
  <si>
    <t>4L1E5EA#UUW</t>
  </si>
  <si>
    <t xml:space="preserve">Fodral för bärbar dator </t>
  </si>
  <si>
    <t>Galaxy Tab S9 Wifi (128GB)</t>
  </si>
  <si>
    <t>Android 13</t>
  </si>
  <si>
    <t>TOLERATE ARMOUR FOLIO TAB S9 BULK</t>
  </si>
  <si>
    <t>TOLERATE GLASS SCREEN PROTECTOR SAMSUNG TAB S9 BULK</t>
  </si>
  <si>
    <t>S27A600NAU</t>
  </si>
  <si>
    <t>LS27A600NAUXEN</t>
  </si>
  <si>
    <t>Dustin 20240601.xlsx</t>
  </si>
  <si>
    <t>817P1EA + UK707E</t>
  </si>
  <si>
    <t>8A428EA + UK707E</t>
  </si>
  <si>
    <t>9B9L8EA + UK707E</t>
  </si>
  <si>
    <t>EliteBook 840 G9</t>
  </si>
  <si>
    <t>8A429EA + UK707E</t>
  </si>
  <si>
    <t>1MZ01AA</t>
  </si>
  <si>
    <t>GH96-13408A</t>
  </si>
  <si>
    <t>KAP12483</t>
  </si>
  <si>
    <t>EP-T1510NBEGEU / EP-TA20EWECGWW</t>
  </si>
  <si>
    <t>Galaxy Tab S9</t>
  </si>
  <si>
    <t>UAG METROPOLIS SE</t>
  </si>
  <si>
    <t>Galaxy Tab S9+</t>
  </si>
  <si>
    <t>SM-X810NZAAEUB</t>
  </si>
  <si>
    <t>HP P24h G5</t>
  </si>
  <si>
    <t>64W34AA</t>
  </si>
  <si>
    <t>AC, HDMI</t>
  </si>
  <si>
    <t>HP E27Q G5 PVC Free </t>
  </si>
  <si>
    <t>6N6F2A5</t>
  </si>
  <si>
    <t>817X7EA + UK707E</t>
  </si>
  <si>
    <t>(blank)</t>
  </si>
  <si>
    <t>AMD</t>
  </si>
  <si>
    <t>Intel</t>
  </si>
  <si>
    <t>E14 G5 AMD</t>
  </si>
  <si>
    <t>21JSCTO1WW</t>
  </si>
  <si>
    <t>L14 G4 AMD</t>
  </si>
  <si>
    <t>21H6CTO1WW</t>
  </si>
  <si>
    <t>Probook 445 G10</t>
  </si>
  <si>
    <t>100e Chr Gen4</t>
  </si>
  <si>
    <t>82W1CTO1WW</t>
  </si>
  <si>
    <t>MT8186</t>
  </si>
  <si>
    <t>TCO Certified 9</t>
  </si>
  <si>
    <t>E24-29</t>
  </si>
  <si>
    <t>63ABMAT3EU</t>
  </si>
  <si>
    <t>62D0GAR1EU</t>
  </si>
  <si>
    <t>Dell Latitude 5440</t>
  </si>
  <si>
    <t>GBXL5440I5-8</t>
  </si>
  <si>
    <t>GBXUSBC65W-2</t>
  </si>
  <si>
    <t>Chromebook 3110</t>
  </si>
  <si>
    <t>GBXCB3110-3</t>
  </si>
  <si>
    <t>1366x768</t>
  </si>
  <si>
    <t>DELL-921CW</t>
  </si>
  <si>
    <t>P2422h</t>
  </si>
  <si>
    <t>GBXP2422H</t>
  </si>
  <si>
    <t>Intel i7 Gen 13</t>
  </si>
  <si>
    <t>Intel i5 Gen 13</t>
  </si>
  <si>
    <t/>
  </si>
  <si>
    <t>ProcessorShort</t>
  </si>
  <si>
    <t>MediaTek</t>
  </si>
  <si>
    <t>ProcessorValue</t>
  </si>
  <si>
    <t>Processor Value</t>
  </si>
  <si>
    <t>MediaTech</t>
  </si>
  <si>
    <t>Other</t>
  </si>
  <si>
    <t>Ska Ingå</t>
  </si>
  <si>
    <t>Foxway 20230901_2024.xlsx</t>
  </si>
  <si>
    <t>Qlosr 20230901_2024.xlsx</t>
  </si>
  <si>
    <t xml:space="preserve">1MZ01AA </t>
  </si>
  <si>
    <t>72C71AA</t>
  </si>
  <si>
    <t>Version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</si>
</sst>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0\ &quot;kr&quot;;\-#,##0\ &quot;kr&quot;"/>
    <numFmt numFmtId="44" formatCode="_-* #,##0.00\ &quot;kr&quot;_-;\-* #,##0.00\ &quot;kr&quot;_-;_-* &quot;-&quot;??\ &quot;kr&quot;_-;_-@_-"/>
    <numFmt numFmtId="164" formatCode="0.0"/>
    <numFmt numFmtId="165" formatCode="_-* #,##0\ &quot;kr&quot;_-;\-* #,##0\ &quot;kr&quot;_-;_-* &quot;-&quot;??\ &quot;kr&quot;_-;_-@_-"/>
    <numFmt numFmtId="166" formatCode="#,##0\ &quot;kr&quot;"/>
    <numFmt numFmtId="167" formatCode="General;;"/>
    <numFmt numFmtId="168" formatCode="yyyy/mm/dd;@"/>
    <numFmt numFmtId="169" formatCode="0.000"/>
  </numFmts>
  <fonts count="33" x14ac:knownFonts="1">
    <font>
      <sz val="11"/>
      <color theme="1"/>
      <name val="Calibri"/>
      <family val="2"/>
      <scheme val="minor"/>
    </font>
    <font>
      <sz val="11"/>
      <color theme="0"/>
      <name val="Calibri"/>
      <family val="2"/>
      <scheme val="minor"/>
    </font>
    <font>
      <b/>
      <sz val="9"/>
      <color indexed="18"/>
      <name val="Arial"/>
      <family val="2"/>
    </font>
    <font>
      <sz val="11"/>
      <color rgb="FFFFFFFF"/>
      <name val="Calibri"/>
      <family val="2"/>
    </font>
    <font>
      <sz val="10"/>
      <color theme="1"/>
      <name val="Calibri"/>
      <family val="2"/>
      <scheme val="minor"/>
    </font>
    <font>
      <sz val="9"/>
      <color theme="1"/>
      <name val="Calibri"/>
      <family val="2"/>
      <scheme val="minor"/>
    </font>
    <font>
      <b/>
      <sz val="11"/>
      <color rgb="FFFFFFFF"/>
      <name val="Calibri"/>
      <family val="2"/>
    </font>
    <font>
      <sz val="8"/>
      <name val="Calibri"/>
      <family val="2"/>
      <scheme val="minor"/>
    </font>
    <font>
      <sz val="9"/>
      <color theme="0"/>
      <name val="Calibri"/>
      <family val="2"/>
      <scheme val="minor"/>
    </font>
    <font>
      <b/>
      <sz val="11"/>
      <color theme="0"/>
      <name val="Calibri"/>
      <family val="2"/>
      <scheme val="minor"/>
    </font>
    <font>
      <sz val="11"/>
      <color rgb="FF00638E"/>
      <name val="Calibri"/>
      <family val="2"/>
      <scheme val="minor"/>
    </font>
    <font>
      <sz val="10"/>
      <color theme="0" tint="-0.499984740745262"/>
      <name val="Arial"/>
      <family val="2"/>
    </font>
    <font>
      <sz val="11"/>
      <color theme="9" tint="0.39997558519241921"/>
      <name val="Calibri"/>
      <family val="2"/>
      <scheme val="minor"/>
    </font>
    <font>
      <sz val="11"/>
      <color theme="2" tint="-0.499984740745262"/>
      <name val="Calibri"/>
      <family val="2"/>
      <scheme val="minor"/>
    </font>
    <font>
      <sz val="10"/>
      <color theme="1"/>
      <name val="Times New Roman"/>
      <family val="1"/>
    </font>
    <font>
      <sz val="11"/>
      <color rgb="FF9C6500"/>
      <name val="Calibri"/>
      <family val="2"/>
    </font>
    <font>
      <sz val="11"/>
      <color rgb="FF000000"/>
      <name val="Calibri"/>
      <family val="2"/>
    </font>
    <font>
      <sz val="11"/>
      <color rgb="FF006100"/>
      <name val="Calibri"/>
      <family val="2"/>
    </font>
    <font>
      <sz val="11"/>
      <color rgb="FF9C0006"/>
      <name val="Calibri"/>
      <family val="2"/>
    </font>
    <font>
      <sz val="10"/>
      <color rgb="FFFFFFFF"/>
      <name val="Calibri"/>
      <family val="2"/>
    </font>
    <font>
      <sz val="10"/>
      <color theme="0"/>
      <name val="Calibri"/>
      <family val="2"/>
      <scheme val="minor"/>
    </font>
    <font>
      <sz val="10"/>
      <color rgb="FFFFFFFF"/>
      <name val="Calibri"/>
      <family val="2"/>
      <scheme val="minor"/>
    </font>
    <font>
      <b/>
      <sz val="10"/>
      <color rgb="FFFFFFFF"/>
      <name val="Calibri"/>
      <family val="2"/>
      <scheme val="minor"/>
    </font>
    <font>
      <sz val="11"/>
      <color theme="1"/>
      <name val="Calibri"/>
      <family val="2"/>
      <scheme val="minor"/>
    </font>
    <font>
      <sz val="11"/>
      <color rgb="FFFF0000"/>
      <name val="Calibri"/>
      <family val="2"/>
      <scheme val="minor"/>
    </font>
    <font>
      <b/>
      <sz val="11"/>
      <color rgb="FFC00000"/>
      <name val="Calibri"/>
      <family val="2"/>
      <scheme val="minor"/>
    </font>
    <font>
      <sz val="11"/>
      <color theme="0" tint="-0.499984740745262"/>
      <name val="Arial"/>
      <family val="2"/>
    </font>
    <font>
      <sz val="11"/>
      <color theme="0" tint="-4.9989318521683403E-2"/>
      <name val="Calibri"/>
      <family val="2"/>
      <scheme val="minor"/>
    </font>
    <font>
      <b/>
      <sz val="11"/>
      <color theme="1"/>
      <name val="Calibri"/>
      <family val="2"/>
      <scheme val="minor"/>
    </font>
    <font>
      <sz val="10"/>
      <color theme="5" tint="-0.499984740745262"/>
      <name val="Calibri"/>
      <family val="2"/>
    </font>
    <font>
      <sz val="12"/>
      <color rgb="FFFF0000"/>
      <name val="Calibri"/>
      <family val="2"/>
      <scheme val="minor"/>
    </font>
    <font>
      <sz val="9"/>
      <color indexed="81"/>
      <name val="Tahoma"/>
      <family val="2"/>
    </font>
    <font>
      <b/>
      <sz val="9"/>
      <color indexed="81"/>
      <name val="Tahoma"/>
      <family val="2"/>
    </font>
  </fonts>
  <fills count="28">
    <fill>
      <patternFill patternType="none"/>
    </fill>
    <fill>
      <patternFill patternType="gray125"/>
    </fill>
    <fill>
      <patternFill patternType="solid">
        <fgColor indexed="8"/>
        <bgColor indexed="64"/>
      </patternFill>
    </fill>
    <fill>
      <patternFill patternType="solid">
        <fgColor rgb="FF43606F"/>
        <bgColor rgb="FF000000"/>
      </patternFill>
    </fill>
    <fill>
      <patternFill patternType="solid">
        <fgColor rgb="FFFFF2CC"/>
        <bgColor indexed="64"/>
      </patternFill>
    </fill>
    <fill>
      <patternFill patternType="solid">
        <fgColor rgb="FF43606F"/>
        <bgColor indexed="64"/>
      </patternFill>
    </fill>
    <fill>
      <patternFill patternType="solid">
        <fgColor rgb="FFF3FFF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2060"/>
        <bgColor indexed="64"/>
      </patternFill>
    </fill>
    <fill>
      <patternFill patternType="solid">
        <fgColor rgb="FF54788A"/>
        <bgColor indexed="64"/>
      </patternFill>
    </fill>
    <fill>
      <patternFill patternType="solid">
        <fgColor rgb="FFE7F8FF"/>
        <bgColor indexed="64"/>
      </patternFill>
    </fill>
    <fill>
      <patternFill patternType="solid">
        <fgColor theme="4"/>
        <bgColor theme="4"/>
      </patternFill>
    </fill>
    <fill>
      <patternFill patternType="solid">
        <fgColor theme="0" tint="-0.249977111117893"/>
        <bgColor indexed="64"/>
      </patternFill>
    </fill>
    <fill>
      <patternFill patternType="solid">
        <fgColor rgb="FFFFEB9C"/>
        <bgColor indexed="64"/>
      </patternFill>
    </fill>
    <fill>
      <patternFill patternType="solid">
        <fgColor rgb="FFD9D9D9"/>
        <bgColor indexed="64"/>
      </patternFill>
    </fill>
    <fill>
      <patternFill patternType="solid">
        <fgColor rgb="FFC6EFCE"/>
        <bgColor indexed="64"/>
      </patternFill>
    </fill>
    <fill>
      <patternFill patternType="solid">
        <fgColor rgb="FFFFC7CE"/>
        <bgColor indexed="64"/>
      </patternFill>
    </fill>
    <fill>
      <patternFill patternType="solid">
        <fgColor rgb="FF002060"/>
        <bgColor rgb="FF000000"/>
      </patternFill>
    </fill>
    <fill>
      <patternFill patternType="solid">
        <fgColor rgb="FFFFBDBD"/>
        <bgColor indexed="64"/>
      </patternFill>
    </fill>
    <fill>
      <patternFill patternType="solid">
        <fgColor rgb="FFFF9F9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8"/>
      </left>
      <right/>
      <top/>
      <bottom style="medium">
        <color indexed="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54788A"/>
      </left>
      <right style="thin">
        <color rgb="FF54788A"/>
      </right>
      <top style="thin">
        <color rgb="FF54788A"/>
      </top>
      <bottom style="thin">
        <color rgb="FF54788A"/>
      </bottom>
      <diagonal/>
    </border>
    <border>
      <left style="thin">
        <color rgb="FF54788A"/>
      </left>
      <right style="thin">
        <color rgb="FF54788A"/>
      </right>
      <top/>
      <bottom style="thin">
        <color rgb="FF54788A"/>
      </bottom>
      <diagonal/>
    </border>
    <border>
      <left style="thin">
        <color rgb="FF54788A"/>
      </left>
      <right/>
      <top style="thin">
        <color rgb="FF54788A"/>
      </top>
      <bottom style="thin">
        <color rgb="FF54788A"/>
      </bottom>
      <diagonal/>
    </border>
    <border>
      <left style="thin">
        <color theme="0" tint="-0.249977111117893"/>
      </left>
      <right style="thin">
        <color rgb="FF54788A"/>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
      <left style="thin">
        <color theme="0" tint="-0.249977111117893"/>
      </left>
      <right/>
      <top/>
      <bottom/>
      <diagonal/>
    </border>
    <border>
      <left/>
      <right style="thin">
        <color theme="0" tint="-0.249977111117893"/>
      </right>
      <top style="thin">
        <color theme="0" tint="-0.249977111117893"/>
      </top>
      <bottom/>
      <diagonal/>
    </border>
    <border>
      <left/>
      <right style="thin">
        <color theme="0" tint="-0.249977111117893"/>
      </right>
      <top/>
      <bottom style="thin">
        <color theme="0" tint="-0.34998626667073579"/>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style="medium">
        <color indexed="64"/>
      </left>
      <right style="medium">
        <color indexed="64"/>
      </right>
      <top style="medium">
        <color indexed="64"/>
      </top>
      <bottom/>
      <diagonal/>
    </border>
    <border>
      <left/>
      <right/>
      <top style="thin">
        <color theme="0" tint="-0.249977111117893"/>
      </top>
      <bottom/>
      <diagonal/>
    </border>
    <border>
      <left style="thin">
        <color rgb="FF54788A"/>
      </left>
      <right/>
      <top/>
      <bottom style="thin">
        <color rgb="FF54788A"/>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34998626667073579"/>
      </top>
      <bottom/>
      <diagonal/>
    </border>
    <border>
      <left style="thin">
        <color theme="0" tint="-0.249977111117893"/>
      </left>
      <right style="thin">
        <color theme="0" tint="-0.249977111117893"/>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left>
      <right style="thin">
        <color theme="1"/>
      </right>
      <top style="thin">
        <color theme="1"/>
      </top>
      <bottom style="thin">
        <color theme="1"/>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ck">
        <color theme="0" tint="-0.249977111117893"/>
      </bottom>
      <diagonal/>
    </border>
    <border>
      <left style="thin">
        <color theme="0" tint="-0.249977111117893"/>
      </left>
      <right/>
      <top style="thin">
        <color theme="0" tint="-0.249977111117893"/>
      </top>
      <bottom/>
      <diagonal/>
    </border>
  </borders>
  <cellStyleXfs count="3">
    <xf numFmtId="0" fontId="0" fillId="0" borderId="0"/>
    <xf numFmtId="0" fontId="2" fillId="2" borderId="2" applyNumberFormat="0" applyAlignment="0" applyProtection="0">
      <protection locked="0"/>
    </xf>
    <xf numFmtId="44" fontId="23" fillId="0" borderId="0" applyFont="0" applyFill="0" applyBorder="0" applyAlignment="0" applyProtection="0"/>
  </cellStyleXfs>
  <cellXfs count="233">
    <xf numFmtId="0" fontId="0" fillId="0" borderId="0" xfId="0"/>
    <xf numFmtId="0" fontId="0" fillId="0" borderId="0" xfId="0" applyAlignment="1">
      <alignment horizontal="center" vertical="center"/>
    </xf>
    <xf numFmtId="0" fontId="3" fillId="3" borderId="4" xfId="0" applyFont="1" applyFill="1" applyBorder="1" applyAlignment="1">
      <alignment vertical="top"/>
    </xf>
    <xf numFmtId="0" fontId="3" fillId="3" borderId="5" xfId="0" applyFont="1" applyFill="1" applyBorder="1" applyAlignment="1">
      <alignment vertical="top"/>
    </xf>
    <xf numFmtId="0" fontId="3" fillId="3" borderId="6" xfId="0" applyFont="1" applyFill="1" applyBorder="1" applyAlignment="1">
      <alignment vertical="top"/>
    </xf>
    <xf numFmtId="0" fontId="6" fillId="3" borderId="7" xfId="0" applyFont="1" applyFill="1" applyBorder="1" applyAlignment="1">
      <alignment vertical="top"/>
    </xf>
    <xf numFmtId="0" fontId="1" fillId="10" borderId="0" xfId="0" applyFont="1" applyFill="1"/>
    <xf numFmtId="0" fontId="0" fillId="0" borderId="0" xfId="0" quotePrefix="1"/>
    <xf numFmtId="0" fontId="1" fillId="5" borderId="0" xfId="0" applyFont="1" applyFill="1"/>
    <xf numFmtId="0" fontId="1" fillId="7" borderId="0" xfId="0" applyFont="1" applyFill="1"/>
    <xf numFmtId="0" fontId="8" fillId="11" borderId="3" xfId="0" applyFont="1" applyFill="1" applyBorder="1" applyAlignment="1">
      <alignment horizontal="right" vertical="top" wrapText="1"/>
    </xf>
    <xf numFmtId="0" fontId="8" fillId="11" borderId="8" xfId="0" applyFont="1" applyFill="1" applyBorder="1" applyAlignment="1">
      <alignment vertical="top" wrapText="1"/>
    </xf>
    <xf numFmtId="0" fontId="10" fillId="12" borderId="0" xfId="0" applyFont="1" applyFill="1"/>
    <xf numFmtId="0" fontId="9" fillId="13" borderId="9" xfId="0" applyFont="1" applyFill="1" applyBorder="1"/>
    <xf numFmtId="0" fontId="8" fillId="11" borderId="10" xfId="0" applyFont="1" applyFill="1" applyBorder="1" applyAlignment="1">
      <alignment vertical="top" wrapText="1"/>
    </xf>
    <xf numFmtId="0" fontId="3" fillId="3" borderId="1" xfId="0" applyFont="1" applyFill="1" applyBorder="1" applyAlignment="1">
      <alignment horizontal="left" vertical="center"/>
    </xf>
    <xf numFmtId="3" fontId="5" fillId="0" borderId="1" xfId="0" applyNumberFormat="1" applyFont="1" applyBorder="1" applyAlignment="1" applyProtection="1">
      <alignment horizontal="right" vertical="center" wrapText="1"/>
      <protection locked="0"/>
    </xf>
    <xf numFmtId="3" fontId="5" fillId="0" borderId="1" xfId="0" applyNumberFormat="1"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8" fillId="11" borderId="0" xfId="0" applyFont="1" applyFill="1" applyAlignment="1">
      <alignment vertical="top" wrapText="1"/>
    </xf>
    <xf numFmtId="1" fontId="11" fillId="0" borderId="0" xfId="0" applyNumberFormat="1" applyFont="1"/>
    <xf numFmtId="0" fontId="15" fillId="15" borderId="17" xfId="0" applyFont="1" applyFill="1" applyBorder="1" applyAlignment="1">
      <alignment vertical="center"/>
    </xf>
    <xf numFmtId="0" fontId="16" fillId="16" borderId="0" xfId="0" applyFont="1" applyFill="1" applyAlignment="1">
      <alignment vertical="center"/>
    </xf>
    <xf numFmtId="0" fontId="15" fillId="15" borderId="18" xfId="0" applyFont="1" applyFill="1" applyBorder="1" applyAlignment="1">
      <alignment vertical="center"/>
    </xf>
    <xf numFmtId="0" fontId="17" fillId="17" borderId="0" xfId="0" applyFont="1" applyFill="1" applyAlignment="1">
      <alignment vertical="center"/>
    </xf>
    <xf numFmtId="0" fontId="18" fillId="18" borderId="0" xfId="0" applyFont="1" applyFill="1" applyAlignment="1">
      <alignment vertical="center"/>
    </xf>
    <xf numFmtId="0" fontId="14" fillId="0" borderId="0" xfId="0" applyFont="1"/>
    <xf numFmtId="0" fontId="4" fillId="0" borderId="0" xfId="0" applyFont="1"/>
    <xf numFmtId="0" fontId="4" fillId="0" borderId="0" xfId="0" applyFont="1" applyAlignment="1">
      <alignment vertical="top" wrapText="1"/>
    </xf>
    <xf numFmtId="0" fontId="20" fillId="10" borderId="24" xfId="0" applyFont="1" applyFill="1" applyBorder="1" applyAlignment="1">
      <alignment horizontal="center"/>
    </xf>
    <xf numFmtId="0" fontId="19" fillId="19" borderId="6" xfId="0" applyFont="1" applyFill="1" applyBorder="1" applyAlignment="1">
      <alignment vertical="top"/>
    </xf>
    <xf numFmtId="0" fontId="20" fillId="5" borderId="0" xfId="0" applyFont="1" applyFill="1"/>
    <xf numFmtId="0" fontId="21" fillId="3" borderId="6" xfId="0" applyFont="1" applyFill="1" applyBorder="1" applyAlignment="1">
      <alignment vertical="top"/>
    </xf>
    <xf numFmtId="0" fontId="21" fillId="3" borderId="26" xfId="0" applyFont="1" applyFill="1" applyBorder="1" applyAlignment="1">
      <alignment vertical="top"/>
    </xf>
    <xf numFmtId="0" fontId="4" fillId="0" borderId="0" xfId="0" applyFont="1" applyAlignment="1">
      <alignment horizontal="center" vertical="top" wrapText="1"/>
    </xf>
    <xf numFmtId="0" fontId="22" fillId="3" borderId="8" xfId="0" applyFont="1" applyFill="1" applyBorder="1" applyAlignment="1">
      <alignment vertical="top"/>
    </xf>
    <xf numFmtId="0" fontId="21" fillId="19" borderId="13" xfId="0" applyFont="1" applyFill="1" applyBorder="1" applyAlignment="1">
      <alignment vertical="top"/>
    </xf>
    <xf numFmtId="0" fontId="21" fillId="3" borderId="6" xfId="0" applyFont="1" applyFill="1" applyBorder="1" applyAlignment="1">
      <alignment vertical="top" wrapText="1"/>
    </xf>
    <xf numFmtId="0" fontId="20" fillId="10" borderId="0" xfId="0" applyFont="1" applyFill="1" applyAlignment="1">
      <alignment horizontal="center" vertical="top" wrapText="1"/>
    </xf>
    <xf numFmtId="0" fontId="21" fillId="3" borderId="0" xfId="0" applyFont="1" applyFill="1" applyAlignment="1">
      <alignment vertical="top"/>
    </xf>
    <xf numFmtId="0" fontId="19" fillId="19" borderId="25" xfId="0" applyFont="1" applyFill="1" applyBorder="1" applyAlignment="1">
      <alignment vertical="center"/>
    </xf>
    <xf numFmtId="0" fontId="21" fillId="3" borderId="6" xfId="0" applyFont="1" applyFill="1" applyBorder="1" applyAlignment="1">
      <alignment horizontal="left" vertical="top" wrapText="1"/>
    </xf>
    <xf numFmtId="0" fontId="19" fillId="19" borderId="0" xfId="0" applyFont="1" applyFill="1" applyAlignment="1">
      <alignment vertical="top"/>
    </xf>
    <xf numFmtId="0" fontId="4" fillId="0" borderId="0" xfId="0" applyFont="1" applyAlignment="1">
      <alignment horizontal="center" vertical="center"/>
    </xf>
    <xf numFmtId="0" fontId="19" fillId="3" borderId="6" xfId="0" applyFont="1" applyFill="1" applyBorder="1" applyAlignment="1">
      <alignment vertical="top"/>
    </xf>
    <xf numFmtId="0" fontId="19" fillId="3" borderId="26" xfId="0" applyFont="1" applyFill="1" applyBorder="1" applyAlignment="1">
      <alignment vertical="top"/>
    </xf>
    <xf numFmtId="0" fontId="0" fillId="0" borderId="0" xfId="0" applyAlignment="1">
      <alignment horizontal="left"/>
    </xf>
    <xf numFmtId="0" fontId="12" fillId="8" borderId="1" xfId="0" applyFont="1" applyFill="1" applyBorder="1" applyAlignment="1">
      <alignment horizontal="left" vertical="top"/>
    </xf>
    <xf numFmtId="0" fontId="13" fillId="14" borderId="0" xfId="0" applyFont="1" applyFill="1" applyAlignment="1">
      <alignment horizontal="left" vertical="top"/>
    </xf>
    <xf numFmtId="0" fontId="1" fillId="0" borderId="0" xfId="0" applyFont="1"/>
    <xf numFmtId="0" fontId="0" fillId="22" borderId="3" xfId="0" applyFill="1" applyBorder="1" applyAlignment="1">
      <alignment horizontal="center"/>
    </xf>
    <xf numFmtId="0" fontId="0" fillId="23" borderId="3" xfId="0" applyFill="1" applyBorder="1" applyAlignment="1">
      <alignment horizontal="center"/>
    </xf>
    <xf numFmtId="0" fontId="24" fillId="0" borderId="0" xfId="0" applyFont="1" applyAlignment="1">
      <alignment wrapText="1"/>
    </xf>
    <xf numFmtId="0" fontId="0" fillId="0" borderId="0" xfId="0" applyAlignment="1">
      <alignment horizontal="center"/>
    </xf>
    <xf numFmtId="0" fontId="9" fillId="0" borderId="0" xfId="0" applyFont="1" applyAlignment="1">
      <alignment horizontal="center"/>
    </xf>
    <xf numFmtId="0" fontId="1" fillId="11" borderId="3" xfId="0" applyFont="1" applyFill="1" applyBorder="1" applyAlignment="1">
      <alignment horizontal="right" vertical="top" wrapText="1"/>
    </xf>
    <xf numFmtId="0" fontId="1" fillId="11" borderId="8" xfId="0" applyFont="1" applyFill="1" applyBorder="1" applyAlignment="1">
      <alignment vertical="top" wrapText="1"/>
    </xf>
    <xf numFmtId="14" fontId="26" fillId="9" borderId="0" xfId="0" applyNumberFormat="1" applyFont="1" applyFill="1"/>
    <xf numFmtId="0" fontId="1" fillId="5" borderId="0" xfId="0" applyFont="1" applyFill="1" applyAlignment="1">
      <alignment horizontal="center" vertical="center"/>
    </xf>
    <xf numFmtId="0" fontId="1" fillId="0" borderId="0" xfId="0" applyFont="1" applyAlignment="1">
      <alignment horizontal="center" vertical="center"/>
    </xf>
    <xf numFmtId="0" fontId="0" fillId="6" borderId="3" xfId="0" applyFill="1" applyBorder="1" applyAlignment="1">
      <alignment horizontal="center" vertical="top" wrapText="1"/>
    </xf>
    <xf numFmtId="0" fontId="0" fillId="0" borderId="0" xfId="0" applyAlignment="1">
      <alignment horizontal="left" vertical="top"/>
    </xf>
    <xf numFmtId="1" fontId="26" fillId="0" borderId="0" xfId="0" applyNumberFormat="1" applyFont="1"/>
    <xf numFmtId="0" fontId="0" fillId="4" borderId="3" xfId="0" applyFill="1" applyBorder="1" applyAlignment="1" applyProtection="1">
      <alignment horizontal="center" vertical="center" wrapText="1"/>
      <protection locked="0"/>
    </xf>
    <xf numFmtId="0" fontId="0" fillId="4" borderId="3" xfId="0" applyFill="1" applyBorder="1" applyAlignment="1" applyProtection="1">
      <alignment horizontal="center" vertical="top" wrapText="1"/>
      <protection locked="0"/>
    </xf>
    <xf numFmtId="0" fontId="0" fillId="0" borderId="0" xfId="0" applyAlignment="1">
      <alignment horizontal="center" vertical="top" wrapText="1"/>
    </xf>
    <xf numFmtId="0" fontId="0" fillId="0" borderId="0" xfId="0" applyAlignment="1">
      <alignment horizontal="center" vertical="center" wrapText="1"/>
    </xf>
    <xf numFmtId="0" fontId="3" fillId="0" borderId="0" xfId="0" applyFont="1" applyAlignment="1">
      <alignment horizontal="center" vertical="top"/>
    </xf>
    <xf numFmtId="0" fontId="27" fillId="0" borderId="0" xfId="0" applyFont="1" applyAlignment="1">
      <alignment horizontal="right" vertical="top" wrapText="1"/>
    </xf>
    <xf numFmtId="0" fontId="0" fillId="4" borderId="12" xfId="0" applyFill="1" applyBorder="1" applyAlignment="1" applyProtection="1">
      <alignment horizontal="center" vertical="center" wrapText="1"/>
      <protection locked="0"/>
    </xf>
    <xf numFmtId="0" fontId="27" fillId="0" borderId="0" xfId="0" applyFont="1" applyAlignment="1">
      <alignment vertical="top" wrapText="1"/>
    </xf>
    <xf numFmtId="0" fontId="3" fillId="3" borderId="0" xfId="0" applyFont="1" applyFill="1" applyAlignment="1">
      <alignment horizontal="center" vertical="center"/>
    </xf>
    <xf numFmtId="0" fontId="1" fillId="0" borderId="0" xfId="0" applyFont="1" applyAlignment="1">
      <alignment horizontal="center"/>
    </xf>
    <xf numFmtId="0" fontId="0" fillId="4" borderId="0" xfId="0" applyFill="1" applyAlignment="1" applyProtection="1">
      <alignment horizontal="center" vertical="center" wrapText="1"/>
      <protection locked="0"/>
    </xf>
    <xf numFmtId="0" fontId="0" fillId="0" borderId="3" xfId="0" applyBorder="1" applyAlignment="1">
      <alignment horizontal="center"/>
    </xf>
    <xf numFmtId="0" fontId="0" fillId="22" borderId="15" xfId="0" applyFill="1" applyBorder="1" applyAlignment="1">
      <alignment horizontal="center" vertical="top"/>
    </xf>
    <xf numFmtId="0" fontId="0" fillId="23" borderId="15" xfId="0" applyFill="1" applyBorder="1" applyAlignment="1">
      <alignment horizontal="center" vertical="top"/>
    </xf>
    <xf numFmtId="0" fontId="0" fillId="22" borderId="16" xfId="0" applyFill="1" applyBorder="1" applyAlignment="1">
      <alignment horizontal="center" vertical="top"/>
    </xf>
    <xf numFmtId="0" fontId="0" fillId="23" borderId="16" xfId="0" applyFill="1" applyBorder="1" applyAlignment="1">
      <alignment horizontal="center" vertical="top"/>
    </xf>
    <xf numFmtId="0" fontId="0" fillId="22" borderId="16" xfId="0" applyFill="1" applyBorder="1" applyAlignment="1">
      <alignment horizontal="center" vertical="top" wrapText="1"/>
    </xf>
    <xf numFmtId="0" fontId="0" fillId="23" borderId="16" xfId="0" applyFill="1" applyBorder="1" applyAlignment="1">
      <alignment horizontal="center" vertical="top" wrapText="1"/>
    </xf>
    <xf numFmtId="0" fontId="0" fillId="22" borderId="15" xfId="0" applyFill="1" applyBorder="1" applyAlignment="1">
      <alignment horizontal="center" vertical="top" wrapText="1"/>
    </xf>
    <xf numFmtId="0" fontId="0" fillId="23" borderId="15" xfId="0" applyFill="1" applyBorder="1" applyAlignment="1">
      <alignment horizontal="center" vertical="top" wrapText="1"/>
    </xf>
    <xf numFmtId="0" fontId="0" fillId="24" borderId="3" xfId="0" applyFill="1" applyBorder="1" applyAlignment="1">
      <alignment horizontal="center" vertical="top" wrapText="1"/>
    </xf>
    <xf numFmtId="0" fontId="0" fillId="25" borderId="3" xfId="0" applyFill="1" applyBorder="1" applyAlignment="1">
      <alignment horizontal="center" vertical="top" wrapText="1"/>
    </xf>
    <xf numFmtId="0" fontId="0" fillId="24" borderId="31" xfId="0" applyFill="1" applyBorder="1" applyAlignment="1">
      <alignment horizontal="center" vertical="top" wrapText="1"/>
    </xf>
    <xf numFmtId="0" fontId="0" fillId="25" borderId="31" xfId="0" applyFill="1" applyBorder="1" applyAlignment="1">
      <alignment horizontal="center" vertical="top" wrapText="1"/>
    </xf>
    <xf numFmtId="0" fontId="0" fillId="22" borderId="3" xfId="0" applyFill="1" applyBorder="1" applyAlignment="1">
      <alignment horizontal="center" vertical="top" wrapText="1"/>
    </xf>
    <xf numFmtId="0" fontId="0" fillId="23" borderId="3" xfId="0" applyFill="1" applyBorder="1" applyAlignment="1">
      <alignment horizontal="center" vertical="top" wrapText="1"/>
    </xf>
    <xf numFmtId="0" fontId="0" fillId="22" borderId="33" xfId="0" applyFill="1" applyBorder="1" applyAlignment="1">
      <alignment horizontal="center" vertical="top" wrapText="1"/>
    </xf>
    <xf numFmtId="0" fontId="0" fillId="23" borderId="33" xfId="0" applyFill="1" applyBorder="1" applyAlignment="1">
      <alignment horizontal="center" vertical="top" wrapText="1"/>
    </xf>
    <xf numFmtId="0" fontId="1" fillId="5" borderId="0" xfId="0" applyFont="1" applyFill="1" applyAlignment="1">
      <alignment horizontal="center" vertical="top" wrapText="1"/>
    </xf>
    <xf numFmtId="0" fontId="1" fillId="0" borderId="0" xfId="0" applyFont="1" applyAlignment="1">
      <alignment horizontal="center" vertical="top"/>
    </xf>
    <xf numFmtId="0" fontId="0" fillId="0" borderId="0" xfId="0" applyAlignment="1">
      <alignment horizontal="left" vertical="top" wrapText="1"/>
    </xf>
    <xf numFmtId="0" fontId="0" fillId="26" borderId="30" xfId="0" applyFill="1" applyBorder="1" applyAlignment="1">
      <alignment horizontal="center" vertical="top" wrapText="1"/>
    </xf>
    <xf numFmtId="0" fontId="0" fillId="26" borderId="3" xfId="0" applyFill="1" applyBorder="1" applyAlignment="1">
      <alignment horizontal="center" vertical="top" wrapText="1"/>
    </xf>
    <xf numFmtId="0" fontId="0" fillId="26" borderId="31" xfId="0" applyFill="1" applyBorder="1" applyAlignment="1">
      <alignment horizontal="center" vertical="top" wrapText="1"/>
    </xf>
    <xf numFmtId="0" fontId="0" fillId="6" borderId="32" xfId="0" applyFill="1" applyBorder="1" applyAlignment="1">
      <alignment horizontal="center" vertical="top" wrapText="1"/>
    </xf>
    <xf numFmtId="0" fontId="0" fillId="6" borderId="33" xfId="0" applyFill="1" applyBorder="1" applyAlignment="1">
      <alignment horizontal="center" vertical="top" wrapText="1"/>
    </xf>
    <xf numFmtId="0" fontId="1" fillId="11" borderId="0" xfId="0" applyFont="1" applyFill="1" applyAlignment="1">
      <alignment vertical="top" wrapText="1"/>
    </xf>
    <xf numFmtId="164" fontId="0" fillId="0" borderId="0" xfId="0" applyNumberFormat="1"/>
    <xf numFmtId="164" fontId="26" fillId="0" borderId="0" xfId="0" applyNumberFormat="1" applyFont="1"/>
    <xf numFmtId="0" fontId="1" fillId="5" borderId="0" xfId="0" applyFont="1" applyFill="1" applyAlignment="1">
      <alignment horizontal="center" vertical="top"/>
    </xf>
    <xf numFmtId="0" fontId="28" fillId="0" borderId="0" xfId="0" applyFont="1"/>
    <xf numFmtId="0" fontId="3" fillId="3" borderId="11" xfId="0" applyFont="1" applyFill="1" applyBorder="1" applyAlignment="1">
      <alignment horizontal="center" vertical="center"/>
    </xf>
    <xf numFmtId="0" fontId="3" fillId="3" borderId="11" xfId="0" applyFont="1" applyFill="1" applyBorder="1" applyAlignment="1">
      <alignment horizontal="center" vertical="center" wrapText="1"/>
    </xf>
    <xf numFmtId="0" fontId="1" fillId="5" borderId="1" xfId="0" applyFont="1" applyFill="1" applyBorder="1" applyAlignment="1">
      <alignment horizontal="left" vertical="top"/>
    </xf>
    <xf numFmtId="0" fontId="0" fillId="0" borderId="0" xfId="0" applyAlignment="1">
      <alignment vertical="top" wrapText="1"/>
    </xf>
    <xf numFmtId="165" fontId="4" fillId="0" borderId="18" xfId="0" applyNumberFormat="1" applyFont="1" applyBorder="1" applyAlignment="1">
      <alignment horizontal="center"/>
    </xf>
    <xf numFmtId="164" fontId="0" fillId="4" borderId="3" xfId="0" applyNumberFormat="1" applyFill="1" applyBorder="1" applyAlignment="1" applyProtection="1">
      <alignment horizontal="center" vertical="center" wrapText="1"/>
      <protection locked="0"/>
    </xf>
    <xf numFmtId="0" fontId="29" fillId="0" borderId="0" xfId="0" applyFont="1" applyAlignment="1">
      <alignment vertical="top"/>
    </xf>
    <xf numFmtId="165" fontId="4" fillId="0" borderId="0" xfId="0" applyNumberFormat="1" applyFont="1" applyAlignment="1">
      <alignment horizontal="center"/>
    </xf>
    <xf numFmtId="0" fontId="19" fillId="3" borderId="11" xfId="0" applyFont="1" applyFill="1" applyBorder="1" applyAlignment="1">
      <alignment horizontal="center" vertical="center"/>
    </xf>
    <xf numFmtId="0" fontId="19" fillId="3" borderId="11"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33" xfId="0" applyFill="1" applyBorder="1" applyAlignment="1">
      <alignment horizontal="center" vertical="top" wrapText="1"/>
    </xf>
    <xf numFmtId="0" fontId="0" fillId="24" borderId="33" xfId="0" applyFill="1" applyBorder="1" applyAlignment="1">
      <alignment horizontal="center" vertical="top" wrapText="1"/>
    </xf>
    <xf numFmtId="0" fontId="0" fillId="25" borderId="33" xfId="0" applyFill="1" applyBorder="1" applyAlignment="1">
      <alignment horizontal="center" vertical="top" wrapText="1"/>
    </xf>
    <xf numFmtId="0" fontId="0" fillId="23" borderId="37" xfId="0" applyFill="1" applyBorder="1" applyAlignment="1">
      <alignment horizontal="center" vertical="top"/>
    </xf>
    <xf numFmtId="0" fontId="0" fillId="23" borderId="38" xfId="0" applyFill="1" applyBorder="1" applyAlignment="1">
      <alignment horizontal="center" vertical="top"/>
    </xf>
    <xf numFmtId="0" fontId="0" fillId="23" borderId="38" xfId="0" applyFill="1" applyBorder="1" applyAlignment="1">
      <alignment horizontal="center" vertical="top" wrapText="1"/>
    </xf>
    <xf numFmtId="0" fontId="20" fillId="0" borderId="0" xfId="0" applyFont="1" applyAlignment="1">
      <alignment vertical="top"/>
    </xf>
    <xf numFmtId="0" fontId="20" fillId="0" borderId="0" xfId="0" applyFont="1" applyAlignment="1">
      <alignment horizontal="center" vertical="top" wrapText="1"/>
    </xf>
    <xf numFmtId="0" fontId="20" fillId="0" borderId="0" xfId="0" applyFont="1"/>
    <xf numFmtId="0" fontId="20" fillId="0" borderId="0" xfId="0" applyFont="1" applyAlignment="1">
      <alignment horizontal="center" vertical="center" wrapText="1"/>
    </xf>
    <xf numFmtId="0" fontId="20" fillId="0" borderId="0" xfId="0" applyFont="1" applyAlignment="1">
      <alignment horizontal="center" vertical="center"/>
    </xf>
    <xf numFmtId="0" fontId="4" fillId="6" borderId="8" xfId="0" applyFont="1" applyFill="1" applyBorder="1" applyAlignment="1">
      <alignment horizontal="center" vertical="top" wrapText="1"/>
    </xf>
    <xf numFmtId="3" fontId="4" fillId="0" borderId="3" xfId="0" applyNumberFormat="1" applyFont="1" applyBorder="1" applyAlignment="1">
      <alignment horizontal="center" vertical="top" wrapText="1"/>
    </xf>
    <xf numFmtId="166" fontId="4" fillId="0" borderId="3" xfId="0" applyNumberFormat="1" applyFont="1" applyBorder="1" applyAlignment="1">
      <alignment horizontal="center" vertical="top"/>
    </xf>
    <xf numFmtId="0" fontId="0" fillId="6" borderId="8" xfId="0" applyFill="1" applyBorder="1" applyAlignment="1">
      <alignment horizontal="center" vertical="top"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0" fillId="0" borderId="34" xfId="0" applyBorder="1" applyAlignment="1">
      <alignment vertical="top" wrapText="1"/>
    </xf>
    <xf numFmtId="165" fontId="0" fillId="0" borderId="0" xfId="0" applyNumberFormat="1" applyAlignment="1">
      <alignment horizontal="right" vertical="top"/>
    </xf>
    <xf numFmtId="3" fontId="0" fillId="4" borderId="3" xfId="0" applyNumberFormat="1" applyFill="1" applyBorder="1" applyAlignment="1" applyProtection="1">
      <alignment horizontal="center" vertical="center" wrapText="1"/>
      <protection locked="0"/>
    </xf>
    <xf numFmtId="3" fontId="0" fillId="23" borderId="16" xfId="0" applyNumberFormat="1" applyFill="1" applyBorder="1" applyAlignment="1">
      <alignment horizontal="center" vertical="top"/>
    </xf>
    <xf numFmtId="3" fontId="0" fillId="23" borderId="38" xfId="0" applyNumberFormat="1" applyFill="1" applyBorder="1" applyAlignment="1">
      <alignment horizontal="center" vertical="top"/>
    </xf>
    <xf numFmtId="0" fontId="1" fillId="5" borderId="1" xfId="0" applyFont="1" applyFill="1" applyBorder="1" applyAlignment="1">
      <alignment horizontal="left" vertical="top" wrapText="1"/>
    </xf>
    <xf numFmtId="0" fontId="13" fillId="14" borderId="0" xfId="0" applyFont="1" applyFill="1" applyAlignment="1">
      <alignment horizontal="left" vertical="top" wrapText="1"/>
    </xf>
    <xf numFmtId="0" fontId="28" fillId="22" borderId="41" xfId="0" applyFont="1" applyFill="1" applyBorder="1" applyAlignment="1">
      <alignment horizontal="center" vertical="center" wrapText="1"/>
    </xf>
    <xf numFmtId="0" fontId="1" fillId="5" borderId="41" xfId="0" applyFont="1" applyFill="1" applyBorder="1" applyAlignment="1">
      <alignment horizontal="left" vertical="top"/>
    </xf>
    <xf numFmtId="0" fontId="1" fillId="5" borderId="41" xfId="0" applyFont="1" applyFill="1" applyBorder="1" applyAlignment="1">
      <alignment horizontal="left" vertical="top" wrapText="1"/>
    </xf>
    <xf numFmtId="0" fontId="0" fillId="0" borderId="41" xfId="0" applyBorder="1" applyAlignment="1">
      <alignment horizontal="left" vertical="top"/>
    </xf>
    <xf numFmtId="165" fontId="0" fillId="0" borderId="41" xfId="0" applyNumberFormat="1" applyBorder="1" applyAlignment="1">
      <alignment horizontal="right" vertical="top"/>
    </xf>
    <xf numFmtId="0" fontId="28" fillId="0" borderId="41" xfId="0" applyFont="1" applyBorder="1" applyAlignment="1">
      <alignment horizontal="center" vertical="center"/>
    </xf>
    <xf numFmtId="0" fontId="0" fillId="0" borderId="36" xfId="0" applyBorder="1" applyAlignment="1">
      <alignment horizontal="left" vertical="top"/>
    </xf>
    <xf numFmtId="0" fontId="1" fillId="5" borderId="20" xfId="0" applyFont="1" applyFill="1" applyBorder="1" applyAlignment="1">
      <alignment horizontal="left" vertical="top" wrapText="1"/>
    </xf>
    <xf numFmtId="0" fontId="1" fillId="5" borderId="42" xfId="0" applyFont="1" applyFill="1" applyBorder="1" applyAlignment="1">
      <alignment horizontal="left" vertical="top" wrapText="1"/>
    </xf>
    <xf numFmtId="165" fontId="0" fillId="0" borderId="42" xfId="0" applyNumberFormat="1" applyBorder="1" applyAlignment="1">
      <alignment horizontal="right" vertical="top"/>
    </xf>
    <xf numFmtId="0" fontId="1" fillId="5" borderId="0" xfId="0" applyFont="1" applyFill="1" applyAlignment="1">
      <alignment horizontal="left" vertical="top" wrapText="1"/>
    </xf>
    <xf numFmtId="5" fontId="0" fillId="24" borderId="32" xfId="2" applyNumberFormat="1" applyFont="1" applyFill="1" applyBorder="1" applyAlignment="1">
      <alignment horizontal="center" vertical="center" wrapText="1"/>
    </xf>
    <xf numFmtId="5" fontId="0" fillId="25" borderId="32" xfId="2" applyNumberFormat="1" applyFont="1" applyFill="1" applyBorder="1" applyAlignment="1">
      <alignment horizontal="center" vertical="center" wrapText="1"/>
    </xf>
    <xf numFmtId="5" fontId="0" fillId="22" borderId="3" xfId="2" applyNumberFormat="1" applyFont="1" applyFill="1" applyBorder="1" applyAlignment="1">
      <alignment horizontal="center" vertical="center" wrapText="1"/>
    </xf>
    <xf numFmtId="5" fontId="0" fillId="23" borderId="3" xfId="2" applyNumberFormat="1" applyFont="1" applyFill="1" applyBorder="1" applyAlignment="1">
      <alignment horizontal="center" vertical="center" wrapText="1"/>
    </xf>
    <xf numFmtId="5" fontId="0" fillId="24" borderId="3" xfId="2" applyNumberFormat="1" applyFont="1" applyFill="1" applyBorder="1" applyAlignment="1">
      <alignment horizontal="center" vertical="center" wrapText="1"/>
    </xf>
    <xf numFmtId="5" fontId="0" fillId="25" borderId="3" xfId="2" applyNumberFormat="1" applyFont="1" applyFill="1" applyBorder="1" applyAlignment="1">
      <alignment horizontal="center" vertical="center" wrapText="1"/>
    </xf>
    <xf numFmtId="5" fontId="0" fillId="22" borderId="32" xfId="2" applyNumberFormat="1" applyFont="1" applyFill="1" applyBorder="1" applyAlignment="1">
      <alignment horizontal="center" vertical="top" wrapText="1"/>
    </xf>
    <xf numFmtId="5" fontId="0" fillId="23" borderId="32" xfId="2" applyNumberFormat="1" applyFont="1" applyFill="1" applyBorder="1" applyAlignment="1">
      <alignment horizontal="center" vertical="top" wrapText="1"/>
    </xf>
    <xf numFmtId="5" fontId="0" fillId="24" borderId="30" xfId="2" applyNumberFormat="1" applyFont="1" applyFill="1" applyBorder="1" applyAlignment="1">
      <alignment horizontal="center" vertical="top" wrapText="1"/>
    </xf>
    <xf numFmtId="5" fontId="0" fillId="25" borderId="30" xfId="2" applyNumberFormat="1" applyFont="1" applyFill="1" applyBorder="1" applyAlignment="1">
      <alignment horizontal="center" vertical="top" wrapText="1"/>
    </xf>
    <xf numFmtId="5" fontId="0" fillId="24" borderId="32" xfId="2" applyNumberFormat="1" applyFont="1" applyFill="1" applyBorder="1" applyAlignment="1">
      <alignment horizontal="center" vertical="top" wrapText="1"/>
    </xf>
    <xf numFmtId="5" fontId="0" fillId="25" borderId="32" xfId="2" applyNumberFormat="1" applyFont="1" applyFill="1" applyBorder="1" applyAlignment="1">
      <alignment horizontal="center" vertical="top" wrapText="1"/>
    </xf>
    <xf numFmtId="5" fontId="0" fillId="24" borderId="3" xfId="2" applyNumberFormat="1" applyFont="1" applyFill="1" applyBorder="1" applyAlignment="1">
      <alignment horizontal="center" vertical="top" wrapText="1"/>
    </xf>
    <xf numFmtId="5" fontId="0" fillId="25" borderId="3" xfId="2" applyNumberFormat="1" applyFont="1" applyFill="1" applyBorder="1" applyAlignment="1">
      <alignment horizontal="center" vertical="top" wrapText="1"/>
    </xf>
    <xf numFmtId="5" fontId="0" fillId="22" borderId="3" xfId="2" applyNumberFormat="1" applyFont="1" applyFill="1" applyBorder="1" applyAlignment="1">
      <alignment horizontal="center" vertical="top" wrapText="1"/>
    </xf>
    <xf numFmtId="5" fontId="0" fillId="23" borderId="3" xfId="2" applyNumberFormat="1" applyFont="1" applyFill="1" applyBorder="1" applyAlignment="1">
      <alignment horizontal="center" vertical="top" wrapText="1"/>
    </xf>
    <xf numFmtId="167" fontId="0" fillId="0" borderId="45" xfId="0" applyNumberFormat="1" applyBorder="1" applyAlignment="1">
      <alignment horizontal="left" vertical="top"/>
    </xf>
    <xf numFmtId="0" fontId="30" fillId="0" borderId="0" xfId="0" applyFont="1" applyAlignment="1">
      <alignment wrapText="1"/>
    </xf>
    <xf numFmtId="0" fontId="1" fillId="0" borderId="0" xfId="0" applyFont="1" applyAlignment="1">
      <alignment vertical="center"/>
    </xf>
    <xf numFmtId="0" fontId="1" fillId="5" borderId="47" xfId="0" applyFont="1" applyFill="1" applyBorder="1" applyAlignment="1">
      <alignment horizontal="left" vertical="top" wrapText="1"/>
    </xf>
    <xf numFmtId="167" fontId="0" fillId="0" borderId="3" xfId="0" applyNumberFormat="1" applyBorder="1" applyAlignment="1">
      <alignment horizontal="left" vertical="top"/>
    </xf>
    <xf numFmtId="0" fontId="0" fillId="4" borderId="42" xfId="0" applyFill="1" applyBorder="1" applyAlignment="1" applyProtection="1">
      <alignment horizontal="center" vertical="center"/>
      <protection locked="0"/>
    </xf>
    <xf numFmtId="5" fontId="0" fillId="0" borderId="3" xfId="0" applyNumberFormat="1" applyBorder="1" applyAlignment="1">
      <alignment horizontal="center" vertical="center"/>
    </xf>
    <xf numFmtId="0" fontId="0" fillId="0" borderId="48" xfId="0" applyBorder="1"/>
    <xf numFmtId="3" fontId="0" fillId="0" borderId="0" xfId="0" applyNumberFormat="1"/>
    <xf numFmtId="3" fontId="0" fillId="22" borderId="16" xfId="0" applyNumberFormat="1" applyFill="1" applyBorder="1" applyAlignment="1">
      <alignment horizontal="center" vertical="top"/>
    </xf>
    <xf numFmtId="0" fontId="0" fillId="0" borderId="0" xfId="0" applyAlignment="1">
      <alignment wrapText="1"/>
    </xf>
    <xf numFmtId="0" fontId="4" fillId="0" borderId="1" xfId="0" applyFont="1" applyBorder="1"/>
    <xf numFmtId="0" fontId="4" fillId="27" borderId="1" xfId="0" applyFont="1" applyFill="1" applyBorder="1"/>
    <xf numFmtId="165" fontId="4" fillId="0" borderId="1" xfId="0" applyNumberFormat="1" applyFont="1" applyBorder="1" applyAlignment="1">
      <alignment horizontal="left"/>
    </xf>
    <xf numFmtId="49" fontId="4" fillId="27" borderId="1" xfId="0" applyNumberFormat="1" applyFont="1" applyFill="1" applyBorder="1"/>
    <xf numFmtId="168" fontId="4" fillId="27" borderId="1" xfId="0" applyNumberFormat="1" applyFont="1" applyFill="1" applyBorder="1"/>
    <xf numFmtId="0" fontId="4" fillId="0" borderId="34" xfId="0" applyFont="1" applyBorder="1" applyAlignment="1">
      <alignment vertical="top" wrapText="1"/>
    </xf>
    <xf numFmtId="0" fontId="1" fillId="11" borderId="49" xfId="0" applyFont="1" applyFill="1" applyBorder="1" applyAlignment="1">
      <alignment vertical="top" wrapText="1"/>
    </xf>
    <xf numFmtId="0" fontId="0" fillId="0" borderId="3" xfId="0" applyBorder="1"/>
    <xf numFmtId="164" fontId="0" fillId="0" borderId="3" xfId="0" applyNumberFormat="1" applyBorder="1"/>
    <xf numFmtId="3" fontId="0" fillId="22" borderId="3" xfId="0" applyNumberFormat="1" applyFill="1" applyBorder="1" applyAlignment="1">
      <alignment horizontal="center"/>
    </xf>
    <xf numFmtId="3" fontId="0" fillId="23" borderId="3" xfId="0" applyNumberFormat="1" applyFill="1" applyBorder="1" applyAlignment="1">
      <alignment horizontal="center"/>
    </xf>
    <xf numFmtId="0" fontId="15" fillId="15" borderId="3" xfId="0" applyFont="1" applyFill="1" applyBorder="1" applyAlignment="1">
      <alignment vertical="center"/>
    </xf>
    <xf numFmtId="169" fontId="0" fillId="0" borderId="0" xfId="0" applyNumberFormat="1"/>
    <xf numFmtId="0" fontId="0" fillId="0" borderId="3" xfId="0" applyBorder="1" applyAlignment="1">
      <alignment horizontal="left"/>
    </xf>
    <xf numFmtId="1" fontId="26" fillId="0" borderId="3" xfId="0" applyNumberFormat="1" applyFont="1" applyBorder="1"/>
    <xf numFmtId="0" fontId="8" fillId="11" borderId="3" xfId="0" applyFont="1" applyFill="1" applyBorder="1" applyAlignment="1">
      <alignment horizontal="left" vertical="top" wrapText="1"/>
    </xf>
    <xf numFmtId="0" fontId="8" fillId="11" borderId="8" xfId="0" applyFont="1" applyFill="1" applyBorder="1" applyAlignment="1">
      <alignment horizontal="left" vertical="top" wrapText="1"/>
    </xf>
    <xf numFmtId="0" fontId="1" fillId="5" borderId="0" xfId="0" applyFont="1" applyFill="1" applyAlignment="1">
      <alignment horizontal="center" vertical="center" wrapText="1"/>
    </xf>
    <xf numFmtId="3" fontId="0" fillId="0" borderId="3" xfId="0" applyNumberFormat="1" applyBorder="1"/>
    <xf numFmtId="0" fontId="0" fillId="0" borderId="8" xfId="0" applyBorder="1"/>
    <xf numFmtId="0" fontId="0" fillId="0" borderId="3" xfId="0" applyBorder="1" applyAlignment="1">
      <alignment wrapText="1"/>
    </xf>
    <xf numFmtId="0" fontId="0" fillId="0" borderId="14" xfId="0" applyBorder="1"/>
    <xf numFmtId="1" fontId="26" fillId="0" borderId="14" xfId="0" applyNumberFormat="1" applyFont="1" applyBorder="1"/>
    <xf numFmtId="0" fontId="1" fillId="0" borderId="3" xfId="0" applyFont="1" applyBorder="1"/>
    <xf numFmtId="3" fontId="0" fillId="0" borderId="3" xfId="0" applyNumberFormat="1" applyBorder="1" applyAlignment="1">
      <alignment horizontal="center"/>
    </xf>
    <xf numFmtId="0" fontId="0" fillId="0" borderId="0" xfId="0" applyAlignment="1">
      <alignment wrapText="1"/>
    </xf>
    <xf numFmtId="0" fontId="0" fillId="0" borderId="0" xfId="0"/>
    <xf numFmtId="0" fontId="28" fillId="23" borderId="41" xfId="0" applyFont="1" applyFill="1" applyBorder="1" applyAlignment="1">
      <alignment horizontal="center" vertical="center" wrapText="1"/>
    </xf>
    <xf numFmtId="0" fontId="25" fillId="20" borderId="27" xfId="0" applyFont="1" applyFill="1" applyBorder="1" applyAlignment="1">
      <alignment horizontal="left" vertical="top" wrapText="1"/>
    </xf>
    <xf numFmtId="0" fontId="25" fillId="20" borderId="28" xfId="0" applyFont="1" applyFill="1" applyBorder="1" applyAlignment="1">
      <alignment horizontal="left" vertical="top" wrapText="1"/>
    </xf>
    <xf numFmtId="0" fontId="9" fillId="5" borderId="21" xfId="0" applyFont="1" applyFill="1" applyBorder="1" applyAlignment="1">
      <alignment horizontal="center"/>
    </xf>
    <xf numFmtId="0" fontId="9" fillId="5" borderId="22" xfId="0" applyFont="1" applyFill="1" applyBorder="1" applyAlignment="1">
      <alignment horizontal="center"/>
    </xf>
    <xf numFmtId="0" fontId="3" fillId="3" borderId="13" xfId="0" applyFont="1" applyFill="1" applyBorder="1" applyAlignment="1">
      <alignment horizontal="center" vertical="top"/>
    </xf>
    <xf numFmtId="0" fontId="3" fillId="3" borderId="14" xfId="0" applyFont="1" applyFill="1" applyBorder="1" applyAlignment="1">
      <alignment horizontal="center" vertical="top"/>
    </xf>
    <xf numFmtId="0" fontId="3" fillId="3" borderId="34" xfId="0" applyFont="1" applyFill="1" applyBorder="1" applyAlignment="1">
      <alignment horizontal="center" vertical="top"/>
    </xf>
    <xf numFmtId="0" fontId="3" fillId="3" borderId="35" xfId="0" applyFont="1" applyFill="1" applyBorder="1" applyAlignment="1">
      <alignment horizontal="center" vertical="top"/>
    </xf>
    <xf numFmtId="0" fontId="3" fillId="3" borderId="36" xfId="0" applyFont="1" applyFill="1" applyBorder="1" applyAlignment="1">
      <alignment horizontal="center" vertical="top"/>
    </xf>
    <xf numFmtId="0" fontId="3" fillId="3" borderId="29" xfId="0" applyFont="1" applyFill="1" applyBorder="1" applyAlignment="1">
      <alignment horizontal="center" vertical="top"/>
    </xf>
    <xf numFmtId="0" fontId="1" fillId="5" borderId="22" xfId="0" applyFont="1" applyFill="1" applyBorder="1" applyAlignment="1">
      <alignment horizontal="center"/>
    </xf>
    <xf numFmtId="0" fontId="1" fillId="5" borderId="19" xfId="0" applyFont="1" applyFill="1" applyBorder="1" applyAlignment="1">
      <alignment horizontal="center"/>
    </xf>
    <xf numFmtId="0" fontId="9" fillId="5" borderId="0" xfId="0" applyFont="1" applyFill="1" applyAlignment="1">
      <alignment horizontal="center" vertical="center"/>
    </xf>
    <xf numFmtId="0" fontId="9" fillId="5" borderId="23" xfId="0" applyFont="1" applyFill="1" applyBorder="1" applyAlignment="1">
      <alignment horizontal="center" vertical="center"/>
    </xf>
    <xf numFmtId="0" fontId="3" fillId="3" borderId="0" xfId="0" applyFont="1" applyFill="1" applyAlignment="1">
      <alignment horizontal="center" vertical="top"/>
    </xf>
    <xf numFmtId="0" fontId="1" fillId="5" borderId="22" xfId="0" applyFont="1" applyFill="1" applyBorder="1" applyAlignment="1">
      <alignment horizontal="center" vertical="center"/>
    </xf>
    <xf numFmtId="0" fontId="1" fillId="5" borderId="19"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0" xfId="0" applyFont="1" applyFill="1" applyAlignment="1">
      <alignment horizontal="center" vertical="center"/>
    </xf>
    <xf numFmtId="167" fontId="0" fillId="0" borderId="45" xfId="0" applyNumberFormat="1" applyBorder="1" applyAlignment="1">
      <alignment horizontal="center" vertical="top"/>
    </xf>
    <xf numFmtId="167" fontId="0" fillId="0" borderId="46" xfId="0" applyNumberFormat="1" applyBorder="1" applyAlignment="1">
      <alignment horizontal="center" vertical="top"/>
    </xf>
    <xf numFmtId="0" fontId="24" fillId="0" borderId="0" xfId="0" applyFont="1" applyAlignment="1">
      <alignment horizontal="left" vertical="top"/>
    </xf>
    <xf numFmtId="0" fontId="1" fillId="5" borderId="43" xfId="0" applyFont="1" applyFill="1" applyBorder="1" applyAlignment="1">
      <alignment horizontal="center" vertical="top" wrapText="1"/>
    </xf>
    <xf numFmtId="0" fontId="1" fillId="5" borderId="44" xfId="0" applyFont="1" applyFill="1" applyBorder="1" applyAlignment="1">
      <alignment horizontal="center" vertical="top" wrapText="1"/>
    </xf>
    <xf numFmtId="0" fontId="24" fillId="21" borderId="0" xfId="0" applyFont="1" applyFill="1" applyAlignment="1">
      <alignment horizontal="center"/>
    </xf>
    <xf numFmtId="0" fontId="4" fillId="27" borderId="1" xfId="0" applyFont="1" applyFill="1" applyBorder="1" applyAlignment="1">
      <alignment vertical="top"/>
    </xf>
    <xf numFmtId="0" fontId="0" fillId="27" borderId="1" xfId="0" applyFill="1" applyBorder="1" applyAlignment="1">
      <alignment vertical="top"/>
    </xf>
  </cellXfs>
  <cellStyles count="3">
    <cellStyle name="Normal" xfId="0" builtinId="0"/>
    <cellStyle name="Tabellsumma" xfId="1" xr:uid="{00000000-0005-0000-0000-000001000000}"/>
    <cellStyle name="Valuta" xfId="2" builtinId="4"/>
  </cellStyles>
  <dxfs count="93">
    <dxf>
      <font>
        <color theme="0" tint="-0.34998626667073579"/>
      </font>
    </dxf>
    <dxf>
      <font>
        <color theme="0" tint="-0.34998626667073579"/>
      </font>
    </dxf>
    <dxf>
      <font>
        <color theme="0" tint="-0.34998626667073579"/>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1"/>
      </font>
      <numFmt numFmtId="166" formatCode="#,##0\ &quot;kr&quo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1"/>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numFmt numFmtId="0" formatCode="General"/>
      <fill>
        <patternFill patternType="solid">
          <bgColor rgb="FF43606F"/>
        </patternFill>
      </fill>
      <border>
        <left/>
        <right/>
        <top/>
        <bottom/>
        <vertical/>
        <horizontal/>
      </border>
    </dxf>
    <dxf>
      <font>
        <color theme="1"/>
      </font>
      <numFmt numFmtId="166" formatCode="#,##0\ &quot;kr&quo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1"/>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font>
      <numFmt numFmtId="170" formatCode="&quot;&quot;;&quot;&quot;;&quot;&quot;"/>
      <fill>
        <patternFill patternType="solid">
          <bgColor rgb="FF43606F"/>
        </patternFill>
      </fill>
      <border>
        <left/>
        <right/>
        <top/>
        <bottom/>
        <vertical/>
        <horizontal/>
      </border>
    </dxf>
    <dxf>
      <font>
        <color theme="1"/>
      </font>
      <numFmt numFmtId="166" formatCode="#,##0\ &quot;kr&quo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1"/>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strike val="0"/>
        <color theme="0"/>
      </font>
      <numFmt numFmtId="170" formatCode="&quot;&quot;;&quot;&quot;;&quot;&quot;"/>
      <fill>
        <patternFill patternType="solid">
          <bgColor rgb="FF43606F"/>
        </patternFill>
      </fill>
      <border>
        <left/>
        <right/>
        <top/>
        <bottom/>
        <vertical/>
        <horizontal/>
      </border>
    </dxf>
    <dxf>
      <font>
        <strike val="0"/>
        <color theme="1"/>
      </font>
      <numFmt numFmtId="166" formatCode="#,##0\ &quot;kr&quo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strike val="0"/>
        <color theme="1"/>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strike val="0"/>
        <color theme="0"/>
      </font>
      <numFmt numFmtId="170" formatCode="&quot;&quot;;&quot;&quot;;&quot;&quot;"/>
      <fill>
        <patternFill patternType="solid">
          <bgColor rgb="FF43606F"/>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0" tint="-0.34998626667073579"/>
      </font>
    </dxf>
    <dxf>
      <font>
        <color theme="5" tint="-0.24994659260841701"/>
      </font>
      <fill>
        <patternFill>
          <bgColor theme="5" tint="-0.24994659260841701"/>
        </patternFill>
      </fill>
    </dxf>
    <dxf>
      <font>
        <color rgb="FF006100"/>
      </font>
      <fill>
        <patternFill>
          <bgColor rgb="FFC6EFCE"/>
        </patternFill>
      </fill>
    </dxf>
    <dxf>
      <font>
        <color auto="1"/>
      </font>
      <fill>
        <patternFill patternType="none">
          <bgColor auto="1"/>
        </patternFill>
      </fill>
    </dxf>
    <dxf>
      <fill>
        <patternFill>
          <bgColor theme="0"/>
        </patternFill>
      </fill>
    </dxf>
    <dxf>
      <font>
        <color theme="0" tint="-0.34998626667073579"/>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806000"/>
      </font>
      <fill>
        <patternFill>
          <fgColor indexed="64"/>
          <bgColor rgb="FFFFF2CC"/>
        </patternFill>
      </fill>
    </dxf>
    <dxf>
      <font>
        <color rgb="FF806000"/>
      </font>
      <fill>
        <patternFill>
          <fgColor indexed="64"/>
          <bgColor rgb="FFFFF2CC"/>
        </patternFill>
      </fill>
    </dxf>
    <dxf>
      <font>
        <color rgb="FF806000"/>
      </font>
      <fill>
        <patternFill>
          <fgColor indexed="64"/>
          <bgColor rgb="FFFFF2CC"/>
        </patternFill>
      </fill>
    </dxf>
    <dxf>
      <font>
        <color rgb="FF806000"/>
      </font>
      <fill>
        <patternFill>
          <fgColor indexed="64"/>
          <bgColor rgb="FFFFF2CC"/>
        </patternFill>
      </fill>
    </dxf>
    <dxf>
      <font>
        <color rgb="FF806000"/>
      </font>
      <fill>
        <patternFill>
          <fgColor indexed="64"/>
          <bgColor rgb="FFFFF2CC"/>
        </patternFill>
      </fill>
    </dxf>
    <dxf>
      <font>
        <color rgb="FF806000"/>
      </font>
      <fill>
        <patternFill>
          <fgColor indexed="64"/>
          <bgColor rgb="FFFFF2CC"/>
        </patternFill>
      </fill>
    </dxf>
    <dxf>
      <font>
        <color rgb="FF806000"/>
      </font>
      <fill>
        <patternFill>
          <fgColor indexed="64"/>
          <bgColor rgb="FFFFF2CC"/>
        </patternFill>
      </fill>
    </dxf>
    <dxf>
      <font>
        <color rgb="FF806000"/>
      </font>
      <fill>
        <patternFill>
          <fgColor indexed="64"/>
          <bgColor rgb="FFFFF2CC"/>
        </patternFill>
      </fill>
    </dxf>
    <dxf>
      <font>
        <color rgb="FF806000"/>
      </font>
      <fill>
        <patternFill>
          <fgColor indexed="64"/>
          <bgColor rgb="FFFFF2CC"/>
        </patternFill>
      </fill>
    </dxf>
    <dxf>
      <font>
        <color rgb="FF806000"/>
      </font>
      <fill>
        <patternFill>
          <fgColor indexed="64"/>
          <bgColor rgb="FFFFF2CC"/>
        </patternFill>
      </fill>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
      <font>
        <color theme="9" tint="-0.499984740745262"/>
      </font>
      <fill>
        <patternFill>
          <bgColor theme="0"/>
        </patternFill>
      </fill>
      <border>
        <left/>
        <right/>
        <top/>
        <bottom/>
      </border>
    </dxf>
  </dxfs>
  <tableStyles count="1" defaultTableStyle="TableStyleMedium2" defaultPivotStyle="PivotStyleLight16">
    <tableStyle name="Invisible" pivot="0" table="0" count="0" xr9:uid="{F09308E7-F06D-42A6-97F3-11F1D99D347A}"/>
  </tableStyles>
  <colors>
    <mruColors>
      <color rgb="FFFFF2CC"/>
      <color rgb="FF43606F"/>
      <color rgb="FFFF9F9F"/>
      <color rgb="FFFFBDBD"/>
      <color rgb="FFCCFFCC"/>
      <color rgb="FF54788A"/>
      <color rgb="FFFF6464"/>
      <color rgb="FFFF5050"/>
      <color rgb="FFFFFFCC"/>
      <color rgb="FF80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12</xdr:col>
      <xdr:colOff>0</xdr:colOff>
      <xdr:row>3</xdr:row>
      <xdr:rowOff>28575</xdr:rowOff>
    </xdr:to>
    <xdr:pic>
      <xdr:nvPicPr>
        <xdr:cNvPr id="2" name="Picture 1">
          <a:extLst>
            <a:ext uri="{FF2B5EF4-FFF2-40B4-BE49-F238E27FC236}">
              <a16:creationId xmlns:a16="http://schemas.microsoft.com/office/drawing/2014/main" id="{4CDE3F66-5A25-4CC4-A281-37E3A03001F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333"/>
        <a:stretch/>
      </xdr:blipFill>
      <xdr:spPr bwMode="auto">
        <a:xfrm>
          <a:off x="609600" y="19050"/>
          <a:ext cx="670560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47625</xdr:colOff>
      <xdr:row>1</xdr:row>
      <xdr:rowOff>28575</xdr:rowOff>
    </xdr:from>
    <xdr:to>
      <xdr:col>11</xdr:col>
      <xdr:colOff>319086</xdr:colOff>
      <xdr:row>2</xdr:row>
      <xdr:rowOff>123825</xdr:rowOff>
    </xdr:to>
    <xdr:sp macro="" textlink="">
      <xdr:nvSpPr>
        <xdr:cNvPr id="4" name="Rectangle 3">
          <a:extLst>
            <a:ext uri="{FF2B5EF4-FFF2-40B4-BE49-F238E27FC236}">
              <a16:creationId xmlns:a16="http://schemas.microsoft.com/office/drawing/2014/main" id="{0F0FC268-E93F-4BA0-B122-04D54C1AE6C1}"/>
            </a:ext>
          </a:extLst>
        </xdr:cNvPr>
        <xdr:cNvSpPr/>
      </xdr:nvSpPr>
      <xdr:spPr>
        <a:xfrm>
          <a:off x="6143625" y="219075"/>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twoCellAnchor>
    <xdr:from>
      <xdr:col>1</xdr:col>
      <xdr:colOff>9525</xdr:colOff>
      <xdr:row>4</xdr:row>
      <xdr:rowOff>9524</xdr:rowOff>
    </xdr:from>
    <xdr:to>
      <xdr:col>12</xdr:col>
      <xdr:colOff>0</xdr:colOff>
      <xdr:row>82</xdr:row>
      <xdr:rowOff>153939</xdr:rowOff>
    </xdr:to>
    <xdr:sp macro="" textlink="">
      <xdr:nvSpPr>
        <xdr:cNvPr id="5" name="textruta 4">
          <a:extLst>
            <a:ext uri="{FF2B5EF4-FFF2-40B4-BE49-F238E27FC236}">
              <a16:creationId xmlns:a16="http://schemas.microsoft.com/office/drawing/2014/main" id="{6B03E541-1BC8-4A6C-81D5-19A104EC5EB5}"/>
            </a:ext>
          </a:extLst>
        </xdr:cNvPr>
        <xdr:cNvSpPr txBox="1"/>
      </xdr:nvSpPr>
      <xdr:spPr>
        <a:xfrm>
          <a:off x="149033" y="740736"/>
          <a:ext cx="6710891" cy="14403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1">
              <a:solidFill>
                <a:schemeClr val="dk1"/>
              </a:solidFill>
              <a:effectLst/>
              <a:latin typeface="+mn-lt"/>
              <a:ea typeface="+mn-ea"/>
              <a:cs typeface="+mn-cs"/>
            </a:rPr>
            <a:t>Instruktioner</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Observera. Innan ni börjar använda avropsverktyget, säkerställ att ni hämtat hem den senaste versionen som finns publicerad på </a:t>
          </a:r>
          <a:r>
            <a:rPr lang="en-GB" sz="1100" i="1" u="sng">
              <a:solidFill>
                <a:schemeClr val="dk1"/>
              </a:solidFill>
              <a:effectLst/>
              <a:latin typeface="+mn-lt"/>
              <a:ea typeface="+mn-ea"/>
              <a:cs typeface="+mn-cs"/>
              <a:hlinkClick xmlns:r="http://schemas.openxmlformats.org/officeDocument/2006/relationships" r:id=""/>
            </a:rPr>
            <a:t>ramavtalets webbsida</a:t>
          </a:r>
          <a:r>
            <a:rPr lang="en-GB" sz="1100" i="1">
              <a:solidFill>
                <a:schemeClr val="dk1"/>
              </a:solidFill>
              <a:effectLst/>
              <a:latin typeface="+mn-lt"/>
              <a:ea typeface="+mn-ea"/>
              <a:cs typeface="+mn-cs"/>
            </a:rPr>
            <a:t>, under fliken Stöddokument.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För att fastställa rangordningen, dvs. vilken leverantör den upphandlande myndigheten ska vända sig till vid avrop genom dynamisk rangordning, har inköpscentralen tagit fram detta avropsverktyg. Den upphandlande myndigheten anger i avropsverktyget sitt totala behov av digitala enheter, tillvalsprodukter, tillbehör och tillvalstjänster inklusive eventuella optioner.</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Verktyget beräknar därefter leverantörernas sammanlagda pris för leverans av det som den upphandlande myndigheten har behov av enligt avropet. Den leverantör som kan leverera enligt avropet till lägst totalpris får beställningen. Rangordningen är således dynamisk eftersom det är behovet i varje avrop som styr vilken leverantör som erhåller affären, dvs. olika leverantörer kan ha lägst totalpris vid olika avrop.</a:t>
          </a:r>
        </a:p>
        <a:p>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Observera att det</a:t>
          </a:r>
          <a:r>
            <a:rPr lang="en-GB" sz="1100" i="1" baseline="0">
              <a:solidFill>
                <a:schemeClr val="dk1"/>
              </a:solidFill>
              <a:effectLst/>
              <a:latin typeface="+mn-lt"/>
              <a:ea typeface="+mn-ea"/>
              <a:cs typeface="+mn-cs"/>
            </a:rPr>
            <a:t> </a:t>
          </a:r>
          <a:r>
            <a:rPr lang="en-GB" sz="1100" i="1">
              <a:solidFill>
                <a:schemeClr val="dk1"/>
              </a:solidFill>
              <a:effectLst/>
              <a:latin typeface="+mn-lt"/>
              <a:ea typeface="+mn-ea"/>
              <a:cs typeface="+mn-cs"/>
            </a:rPr>
            <a:t>vid vissa justeringar</a:t>
          </a:r>
          <a:r>
            <a:rPr lang="en-GB" sz="1100" i="1" baseline="0">
              <a:solidFill>
                <a:schemeClr val="dk1"/>
              </a:solidFill>
              <a:effectLst/>
              <a:latin typeface="+mn-lt"/>
              <a:ea typeface="+mn-ea"/>
              <a:cs typeface="+mn-cs"/>
            </a:rPr>
            <a:t> kan ta ett par sekunder</a:t>
          </a:r>
          <a:r>
            <a:rPr lang="en-GB" sz="1100" i="1">
              <a:solidFill>
                <a:schemeClr val="dk1"/>
              </a:solidFill>
              <a:effectLst/>
              <a:latin typeface="+mn-lt"/>
              <a:ea typeface="+mn-ea"/>
              <a:cs typeface="+mn-cs"/>
            </a:rPr>
            <a:t> för avropsverktyget att uppdatera beräkningar.</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Bilagan omfattar åtta flikar:</a:t>
          </a:r>
        </a:p>
        <a:p>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Flik 1.</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Instruktioner</a:t>
          </a:r>
          <a:r>
            <a:rPr lang="en-GB" sz="1100">
              <a:solidFill>
                <a:schemeClr val="dk1"/>
              </a:solidFill>
              <a:effectLst/>
              <a:latin typeface="+mn-lt"/>
              <a:ea typeface="+mn-ea"/>
              <a:cs typeface="+mn-cs"/>
            </a:rPr>
            <a:t>: Redogör hur bilagan är utformad och hur den ska fyllas i av den upphandlande myndigheten.</a:t>
          </a:r>
        </a:p>
        <a:p>
          <a:pPr lvl="0"/>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I flikarna 2-6 anger den upphandlande myndighetens sitt behov: </a:t>
          </a:r>
        </a:p>
        <a:p>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Flik 2. Bärbara datorer (A)</a:t>
          </a:r>
          <a:r>
            <a:rPr lang="en-GB" sz="1100">
              <a:solidFill>
                <a:schemeClr val="dk1"/>
              </a:solidFill>
              <a:effectLst/>
              <a:latin typeface="+mn-lt"/>
              <a:ea typeface="+mn-ea"/>
              <a:cs typeface="+mn-cs"/>
            </a:rPr>
            <a:t>: I denna fliken anges behov av miljömärkta bärbara datorer med tillvalsprodukter och tillvalstjänster. </a:t>
          </a:r>
        </a:p>
        <a:p>
          <a:pPr lvl="0"/>
          <a:endParaRPr lang="en-GB" sz="1100" b="1">
            <a:solidFill>
              <a:schemeClr val="dk1"/>
            </a:solidFill>
            <a:effectLst/>
            <a:latin typeface="+mn-lt"/>
            <a:ea typeface="+mn-ea"/>
            <a:cs typeface="+mn-cs"/>
          </a:endParaRPr>
        </a:p>
        <a:p>
          <a:pPr lvl="0"/>
          <a:r>
            <a:rPr lang="en-GB" sz="1100" b="1">
              <a:solidFill>
                <a:schemeClr val="dk1"/>
              </a:solidFill>
              <a:effectLst/>
              <a:latin typeface="+mn-lt"/>
              <a:ea typeface="+mn-ea"/>
              <a:cs typeface="+mn-cs"/>
            </a:rPr>
            <a:t>Flik 3. Bärbara datorer (B)</a:t>
          </a:r>
          <a:r>
            <a:rPr lang="en-GB" sz="1100">
              <a:solidFill>
                <a:schemeClr val="dk1"/>
              </a:solidFill>
              <a:effectLst/>
              <a:latin typeface="+mn-lt"/>
              <a:ea typeface="+mn-ea"/>
              <a:cs typeface="+mn-cs"/>
            </a:rPr>
            <a:t>: I denna fliken anges behov av miljömärkta bärbara datorer som i huvudsak används inom skola samt behov av tillvalsprodukter och tillvalstjänster till de bärbara datorerna.</a:t>
          </a:r>
        </a:p>
        <a:p>
          <a:pPr lvl="0"/>
          <a:endParaRPr lang="en-GB" sz="1100" b="1">
            <a:solidFill>
              <a:schemeClr val="dk1"/>
            </a:solidFill>
            <a:effectLst/>
            <a:latin typeface="+mn-lt"/>
            <a:ea typeface="+mn-ea"/>
            <a:cs typeface="+mn-cs"/>
          </a:endParaRPr>
        </a:p>
        <a:p>
          <a:pPr lvl="0"/>
          <a:r>
            <a:rPr lang="en-GB" sz="1100" b="1">
              <a:solidFill>
                <a:schemeClr val="dk1"/>
              </a:solidFill>
              <a:effectLst/>
              <a:latin typeface="+mn-lt"/>
              <a:ea typeface="+mn-ea"/>
              <a:cs typeface="+mn-cs"/>
            </a:rPr>
            <a:t>Flik 4. Surfplattor</a:t>
          </a:r>
          <a:r>
            <a:rPr lang="en-GB" sz="1100">
              <a:solidFill>
                <a:schemeClr val="dk1"/>
              </a:solidFill>
              <a:effectLst/>
              <a:latin typeface="+mn-lt"/>
              <a:ea typeface="+mn-ea"/>
              <a:cs typeface="+mn-cs"/>
            </a:rPr>
            <a:t>: I denna fliken anges behov av surfplattor med tillvalsprodukter och tillvalstjänster.</a:t>
          </a:r>
        </a:p>
        <a:p>
          <a:pPr lvl="0"/>
          <a:endParaRPr lang="en-GB" sz="1100" b="1">
            <a:solidFill>
              <a:schemeClr val="dk1"/>
            </a:solidFill>
            <a:effectLst/>
            <a:latin typeface="+mn-lt"/>
            <a:ea typeface="+mn-ea"/>
            <a:cs typeface="+mn-cs"/>
          </a:endParaRPr>
        </a:p>
        <a:p>
          <a:pPr lvl="0"/>
          <a:r>
            <a:rPr lang="en-GB" sz="1100" b="1">
              <a:solidFill>
                <a:schemeClr val="dk1"/>
              </a:solidFill>
              <a:effectLst/>
              <a:latin typeface="+mn-lt"/>
              <a:ea typeface="+mn-ea"/>
              <a:cs typeface="+mn-cs"/>
            </a:rPr>
            <a:t>Flik 5. Bildskärmar</a:t>
          </a:r>
          <a:r>
            <a:rPr lang="en-GB" sz="1100">
              <a:solidFill>
                <a:schemeClr val="dk1"/>
              </a:solidFill>
              <a:effectLst/>
              <a:latin typeface="+mn-lt"/>
              <a:ea typeface="+mn-ea"/>
              <a:cs typeface="+mn-cs"/>
            </a:rPr>
            <a:t>: I denna fliken anges behov av bildskärmar med tillvalsprodukter och tillvalstjänster.</a:t>
          </a:r>
        </a:p>
        <a:p>
          <a:pPr lvl="0"/>
          <a:endParaRPr lang="en-GB" sz="1100" b="1">
            <a:solidFill>
              <a:schemeClr val="dk1"/>
            </a:solidFill>
            <a:effectLst/>
            <a:latin typeface="+mn-lt"/>
            <a:ea typeface="+mn-ea"/>
            <a:cs typeface="+mn-cs"/>
          </a:endParaRPr>
        </a:p>
        <a:p>
          <a:pPr lvl="0"/>
          <a:r>
            <a:rPr lang="en-GB" sz="1100" b="1">
              <a:solidFill>
                <a:schemeClr val="dk1"/>
              </a:solidFill>
              <a:effectLst/>
              <a:latin typeface="+mn-lt"/>
              <a:ea typeface="+mn-ea"/>
              <a:cs typeface="+mn-cs"/>
            </a:rPr>
            <a:t>Flik 6. Tillbehör</a:t>
          </a:r>
          <a:r>
            <a:rPr lang="en-GB" sz="1100">
              <a:solidFill>
                <a:schemeClr val="dk1"/>
              </a:solidFill>
              <a:effectLst/>
              <a:latin typeface="+mn-lt"/>
              <a:ea typeface="+mn-ea"/>
              <a:cs typeface="+mn-cs"/>
            </a:rPr>
            <a:t>: I denna fliken anges behov av tillbehör.</a:t>
          </a:r>
        </a:p>
        <a:p>
          <a:pPr lvl="0"/>
          <a:endParaRPr lang="en-GB" sz="1100">
            <a:solidFill>
              <a:schemeClr val="dk1"/>
            </a:solidFill>
            <a:effectLst/>
            <a:latin typeface="+mn-lt"/>
            <a:ea typeface="+mn-ea"/>
            <a:cs typeface="+mn-cs"/>
          </a:endParaRPr>
        </a:p>
        <a:p>
          <a:pPr lvl="1"/>
          <a:r>
            <a:rPr lang="en-GB" sz="1100" i="1">
              <a:solidFill>
                <a:schemeClr val="dk1"/>
              </a:solidFill>
              <a:effectLst/>
              <a:latin typeface="+mn-lt"/>
              <a:ea typeface="+mn-ea"/>
              <a:cs typeface="+mn-cs"/>
            </a:rPr>
            <a:t>Allmänt om flikarna 2-6:</a:t>
          </a:r>
        </a:p>
        <a:p>
          <a:pPr lvl="1"/>
          <a:endParaRPr lang="en-GB" sz="1100">
            <a:solidFill>
              <a:schemeClr val="dk1"/>
            </a:solidFill>
            <a:effectLst/>
            <a:latin typeface="+mn-lt"/>
            <a:ea typeface="+mn-ea"/>
            <a:cs typeface="+mn-cs"/>
          </a:endParaRPr>
        </a:p>
        <a:p>
          <a:pPr lvl="2"/>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a:t>
          </a:r>
          <a:r>
            <a:rPr lang="en-GB" sz="1100" i="1">
              <a:solidFill>
                <a:schemeClr val="dk1"/>
              </a:solidFill>
              <a:effectLst/>
              <a:latin typeface="+mn-lt"/>
              <a:ea typeface="+mn-ea"/>
              <a:cs typeface="+mn-cs"/>
            </a:rPr>
            <a:t>I de gula fälten i kolumn D anger den upphandlande myndigheten sitt behov. Som utgångspunkt är de minimikrav som ställdes i ramavtalsupphandlingen ifyllt för respektive parameter och produktområde. </a:t>
          </a:r>
          <a:endParaRPr lang="en-GB" sz="1100">
            <a:solidFill>
              <a:schemeClr val="dk1"/>
            </a:solidFill>
            <a:effectLst/>
            <a:latin typeface="+mn-lt"/>
            <a:ea typeface="+mn-ea"/>
            <a:cs typeface="+mn-cs"/>
          </a:endParaRPr>
        </a:p>
        <a:p>
          <a:pPr lvl="2"/>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a:t>
          </a:r>
          <a:r>
            <a:rPr lang="en-GB" sz="1100" i="1">
              <a:solidFill>
                <a:schemeClr val="dk1"/>
              </a:solidFill>
              <a:effectLst/>
              <a:latin typeface="+mn-lt"/>
              <a:ea typeface="+mn-ea"/>
              <a:cs typeface="+mn-cs"/>
            </a:rPr>
            <a:t>Den upphandlande myndigheten kan justera specifikationen utifrån organisationens behov. Svarsalternativen utgår från ramavtalsupphandlingens minimikrav samt produkterna som finns i det aktuella sortimentet för dynamisk rangordning.</a:t>
          </a:r>
          <a:endParaRPr lang="en-GB" sz="1100">
            <a:solidFill>
              <a:schemeClr val="dk1"/>
            </a:solidFill>
            <a:effectLst/>
            <a:latin typeface="+mn-lt"/>
            <a:ea typeface="+mn-ea"/>
            <a:cs typeface="+mn-cs"/>
          </a:endParaRPr>
        </a:p>
        <a:p>
          <a:pPr lvl="2"/>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a:t>
          </a:r>
          <a:r>
            <a:rPr lang="en-GB" sz="1100" i="1">
              <a:solidFill>
                <a:schemeClr val="dk1"/>
              </a:solidFill>
              <a:effectLst/>
              <a:latin typeface="+mn-lt"/>
              <a:ea typeface="+mn-ea"/>
              <a:cs typeface="+mn-cs"/>
            </a:rPr>
            <a:t>I kolumn F redovisas den produkt som ingår i varukorgen utifrån lägsta totalpris</a:t>
          </a:r>
          <a:endParaRPr lang="en-GB" sz="1100">
            <a:solidFill>
              <a:schemeClr val="dk1"/>
            </a:solidFill>
            <a:effectLst/>
            <a:latin typeface="+mn-lt"/>
            <a:ea typeface="+mn-ea"/>
            <a:cs typeface="+mn-cs"/>
          </a:endParaRPr>
        </a:p>
        <a:p>
          <a:pPr lvl="2"/>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a:t>
          </a:r>
          <a:r>
            <a:rPr lang="en-GB" sz="1100" i="1">
              <a:solidFill>
                <a:schemeClr val="dk1"/>
              </a:solidFill>
              <a:effectLst/>
              <a:latin typeface="+mn-lt"/>
              <a:ea typeface="+mn-ea"/>
              <a:cs typeface="+mn-cs"/>
            </a:rPr>
            <a:t>I kolumnerna G, H och I visas de billigaste produkterna inom produktområdet utifrån angivet behov</a:t>
          </a:r>
          <a:endParaRPr lang="en-GB" sz="1100" i="0">
            <a:solidFill>
              <a:schemeClr val="dk1"/>
            </a:solidFill>
            <a:effectLst/>
            <a:latin typeface="+mn-lt"/>
            <a:ea typeface="+mn-ea"/>
            <a:cs typeface="+mn-cs"/>
          </a:endParaRPr>
        </a:p>
        <a:p>
          <a:pPr lvl="2"/>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a:t>
          </a:r>
          <a:r>
            <a:rPr lang="en-GB" sz="1100" i="1">
              <a:solidFill>
                <a:schemeClr val="dk1"/>
              </a:solidFill>
              <a:effectLst/>
              <a:latin typeface="+mn-lt"/>
              <a:ea typeface="+mn-ea"/>
              <a:cs typeface="+mn-cs"/>
            </a:rPr>
            <a:t>Om fler än en variant efterfrågas inom respektive produktområde (t.ex. två  bärbara datorer med två olika storlekar på hårddisken, 256 GB respektive 512 GB), kan en nytt formulär öppnas genom att klicka på +-tecknet som visas under den första varianten. Avropsverktyget är förberett för upp till tio olika varianter per produktområde.</a:t>
          </a:r>
        </a:p>
        <a:p>
          <a:pPr lvl="2"/>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Bärbara datorer (A)/Bärbara datorer (B) - Processor</a:t>
          </a:r>
          <a:r>
            <a:rPr lang="en-GB" sz="1100" b="0" i="1" baseline="0">
              <a:solidFill>
                <a:schemeClr val="dk1"/>
              </a:solidFill>
              <a:effectLst/>
              <a:latin typeface="+mn-lt"/>
              <a:ea typeface="+mn-ea"/>
              <a:cs typeface="+mn-cs"/>
            </a:rPr>
            <a:t>:  Med svarsalternativet "Standard" avses minimikravet "Intel i5 gen. 10, AMD Ryzen 5 eller likvärdig". Med svarsalternativet "Avancerad" avses "Intel i7 gen. 10, AMD Ryzen 7 eller likvärdig".</a:t>
          </a:r>
        </a:p>
        <a:p>
          <a:pPr lvl="2"/>
          <a:r>
            <a:rPr lang="en-GB" sz="1100" b="0" i="1" baseline="0">
              <a:solidFill>
                <a:schemeClr val="dk1"/>
              </a:solidFill>
              <a:effectLst/>
              <a:latin typeface="+mn-lt"/>
              <a:ea typeface="+mn-ea"/>
              <a:cs typeface="+mn-cs"/>
            </a:rPr>
            <a:t>-- </a:t>
          </a:r>
          <a:r>
            <a:rPr lang="en-GB" sz="1100" b="1" i="1" baseline="0">
              <a:solidFill>
                <a:schemeClr val="dk1"/>
              </a:solidFill>
              <a:effectLst/>
              <a:latin typeface="+mn-lt"/>
              <a:ea typeface="+mn-ea"/>
              <a:cs typeface="+mn-cs"/>
            </a:rPr>
            <a:t>Surfplattor</a:t>
          </a:r>
          <a:r>
            <a:rPr lang="en-GB" sz="1100" b="0" i="1" baseline="0">
              <a:solidFill>
                <a:schemeClr val="dk1"/>
              </a:solidFill>
              <a:effectLst/>
              <a:latin typeface="+mn-lt"/>
              <a:ea typeface="+mn-ea"/>
              <a:cs typeface="+mn-cs"/>
            </a:rPr>
            <a:t> - </a:t>
          </a:r>
          <a:r>
            <a:rPr lang="en-GB" sz="1100" b="1" i="1" baseline="0">
              <a:solidFill>
                <a:schemeClr val="dk1"/>
              </a:solidFill>
              <a:effectLst/>
              <a:latin typeface="+mn-lt"/>
              <a:ea typeface="+mn-ea"/>
              <a:cs typeface="+mn-cs"/>
            </a:rPr>
            <a:t>Miljömärkning:</a:t>
          </a:r>
          <a:r>
            <a:rPr lang="en-GB" sz="1100" b="0" i="1" baseline="0">
              <a:solidFill>
                <a:schemeClr val="dk1"/>
              </a:solidFill>
              <a:effectLst/>
              <a:latin typeface="+mn-lt"/>
              <a:ea typeface="+mn-ea"/>
              <a:cs typeface="+mn-cs"/>
            </a:rPr>
            <a:t> Med svarsalternativet "Miljömärkt" avses alla typer av  miljömärkningar. </a:t>
          </a:r>
        </a:p>
        <a:p>
          <a:pPr lvl="2"/>
          <a:r>
            <a:rPr lang="en-GB" sz="1100" b="0" i="1" baseline="0">
              <a:solidFill>
                <a:schemeClr val="dk1"/>
              </a:solidFill>
              <a:effectLst/>
              <a:latin typeface="+mn-lt"/>
              <a:ea typeface="+mn-ea"/>
              <a:cs typeface="+mn-cs"/>
            </a:rPr>
            <a:t>		</a:t>
          </a:r>
          <a:endParaRPr lang="en-GB" sz="1100" i="1">
            <a:solidFill>
              <a:schemeClr val="dk1"/>
            </a:solidFill>
            <a:effectLst/>
            <a:latin typeface="+mn-lt"/>
            <a:ea typeface="+mn-ea"/>
            <a:cs typeface="+mn-cs"/>
          </a:endParaRPr>
        </a:p>
        <a:p>
          <a:pPr lvl="2"/>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Flik 7. Överblick</a:t>
          </a:r>
          <a:r>
            <a:rPr lang="en-GB" sz="1100">
              <a:solidFill>
                <a:schemeClr val="dk1"/>
              </a:solidFill>
              <a:effectLst/>
              <a:latin typeface="+mn-lt"/>
              <a:ea typeface="+mn-ea"/>
              <a:cs typeface="+mn-cs"/>
            </a:rPr>
            <a:t>: I denna fliken redovisas rangordningen för det aktuella avropet, totalpriser och kontaktuppgifter till leverantörerna samt vilka av dem som kan leverera efterfrågat behov (grönmarkerade).</a:t>
          </a:r>
        </a:p>
        <a:p>
          <a:pPr lvl="0"/>
          <a:endParaRPr lang="en-GB" sz="1100">
            <a:solidFill>
              <a:schemeClr val="dk1"/>
            </a:solidFill>
            <a:effectLst/>
            <a:latin typeface="+mn-lt"/>
            <a:ea typeface="+mn-ea"/>
            <a:cs typeface="+mn-cs"/>
          </a:endParaRPr>
        </a:p>
        <a:p>
          <a:pPr lvl="1"/>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a:t>
          </a:r>
          <a:r>
            <a:rPr lang="en-GB" sz="1100" i="1">
              <a:solidFill>
                <a:schemeClr val="dk1"/>
              </a:solidFill>
              <a:effectLst/>
              <a:latin typeface="+mn-lt"/>
              <a:ea typeface="+mn-ea"/>
              <a:cs typeface="+mn-cs"/>
            </a:rPr>
            <a:t>I denna fliken har den upphandlande myndigheten även möjlighet att undanta en specifik leverantör om det är så att den först tillfrågade leverantören inte har återkommit med avropssvar inom två arbetsdagar eller om möjlighet att frångå rangordning är tillämpligt i enlighet med avsnitt 1.3.1.1.1 upphandlingsdokumentet.</a:t>
          </a:r>
        </a:p>
        <a:p>
          <a:pPr lvl="1"/>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Flik 8. Sammanfattning</a:t>
          </a:r>
          <a:r>
            <a:rPr lang="en-GB" sz="1100">
              <a:solidFill>
                <a:schemeClr val="dk1"/>
              </a:solidFill>
              <a:effectLst/>
              <a:latin typeface="+mn-lt"/>
              <a:ea typeface="+mn-ea"/>
              <a:cs typeface="+mn-cs"/>
            </a:rPr>
            <a:t>: I denna fliken redovisas detaljerad information om produkterna i varukorgen för det aktuella avropet. </a:t>
          </a:r>
          <a:r>
            <a:rPr lang="sv-SE" sz="1100">
              <a:solidFill>
                <a:schemeClr val="dk1"/>
              </a:solidFill>
              <a:effectLst/>
              <a:latin typeface="+mn-lt"/>
              <a:ea typeface="+mn-ea"/>
              <a:cs typeface="+mn-cs"/>
            </a:rPr>
            <a:t>I fliken kan den avropande myndigheten även lämna information om leveransadress, fakturainformation etc.</a:t>
          </a:r>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1"/>
          <a:r>
            <a:rPr lang="en-GB" sz="1100" b="1" i="1">
              <a:solidFill>
                <a:schemeClr val="dk1"/>
              </a:solidFill>
              <a:effectLst/>
              <a:latin typeface="+mn-lt"/>
              <a:ea typeface="+mn-ea"/>
              <a:cs typeface="+mn-cs"/>
            </a:rPr>
            <a:t>--</a:t>
          </a:r>
          <a:r>
            <a:rPr lang="en-GB" sz="1100" b="1" i="1" baseline="0">
              <a:solidFill>
                <a:schemeClr val="dk1"/>
              </a:solidFill>
              <a:effectLst/>
              <a:latin typeface="+mn-lt"/>
              <a:ea typeface="+mn-ea"/>
              <a:cs typeface="+mn-cs"/>
            </a:rPr>
            <a:t> </a:t>
          </a:r>
          <a:r>
            <a:rPr lang="en-GB" sz="1100" i="1">
              <a:solidFill>
                <a:schemeClr val="dk1"/>
              </a:solidFill>
              <a:effectLst/>
              <a:latin typeface="+mn-lt"/>
              <a:ea typeface="+mn-ea"/>
              <a:cs typeface="+mn-cs"/>
            </a:rPr>
            <a:t>Klicka på +-tecknet i flikens vänsterkant för att visa/gömma redovisning av respektive produktområde i sammanfattningen.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När avropsverktyget har räknat ut vilken leverantör som kan tillhandahålla efterfrågat behov till lägst totalpris ska den upphandlande myndigheten skicka en skriftlig beställning (ifyllt</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Avropsverktyg för dynamisk rangordning inkluderande information om avropande myndighet, leveransadress, leveransdatum, etc.) till den vinnande leverantören och en kopia till inköpscentralen (de2019@adda.se).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Leverantören är skyldig att besvara avropet inom två arbetsdagar. Om den först tillfrågade leverantören inte har återkommit med avropssvar inom två arbetsdagar får den upphandlande myndigheten vända sig till nästa leverantör i rangordningen.</a:t>
          </a:r>
        </a:p>
        <a:p>
          <a:endParaRPr lang="en-GB" sz="1200">
            <a:solidFill>
              <a:schemeClr val="dk1"/>
            </a:solidFill>
            <a:effectLst/>
            <a:latin typeface="+mn-lt"/>
            <a:ea typeface="+mn-ea"/>
            <a:cs typeface="+mn-cs"/>
          </a:endParaRPr>
        </a:p>
        <a:p>
          <a:r>
            <a:rPr lang="en-GB" sz="1100">
              <a:solidFill>
                <a:schemeClr val="dk1"/>
              </a:solidFill>
              <a:effectLst/>
              <a:latin typeface="+mn-lt"/>
              <a:ea typeface="+mn-ea"/>
              <a:cs typeface="+mn-cs"/>
            </a:rPr>
            <a:t>Den upphandlande myndigheten ska kunna motivera sitt behov och valet av leverantör på begäran.</a:t>
          </a:r>
          <a:endParaRPr lang="en-GB" sz="12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100" i="1">
              <a:solidFill>
                <a:schemeClr val="dk1"/>
              </a:solidFill>
              <a:effectLst/>
              <a:latin typeface="+mn-lt"/>
              <a:ea typeface="+mn-ea"/>
              <a:cs typeface="+mn-cs"/>
            </a:rPr>
            <a:t>För mer information om hur avrop genom dynamisk rangordning genomförs, se punkt 5 Avrop från ramavtalet i avropsvägledningen. </a:t>
          </a:r>
          <a:endParaRPr lang="en-GB" sz="1100">
            <a:solidFill>
              <a:schemeClr val="dk1"/>
            </a:solidFill>
            <a:effectLst/>
            <a:latin typeface="+mn-lt"/>
            <a:ea typeface="+mn-ea"/>
            <a:cs typeface="+mn-cs"/>
          </a:endParaRPr>
        </a:p>
        <a:p>
          <a:pPr marL="171450" lvl="0" indent="-171450">
            <a:buFont typeface="Wingdings" panose="05000000000000000000" pitchFamily="2" charset="2"/>
            <a:buChar char="§"/>
          </a:pPr>
          <a:endParaRPr lang="sv-SE" sz="1100" baseline="0">
            <a:solidFill>
              <a:schemeClr val="dk1"/>
            </a:solidFill>
            <a:effectLst/>
            <a:latin typeface="+mn-lt"/>
            <a:ea typeface="+mn-ea"/>
            <a:cs typeface="+mn-cs"/>
          </a:endParaRPr>
        </a:p>
      </xdr:txBody>
    </xdr:sp>
    <xdr:clientData/>
  </xdr:twoCellAnchor>
  <xdr:twoCellAnchor>
    <xdr:from>
      <xdr:col>10</xdr:col>
      <xdr:colOff>276225</xdr:colOff>
      <xdr:row>1</xdr:row>
      <xdr:rowOff>28575</xdr:rowOff>
    </xdr:from>
    <xdr:to>
      <xdr:col>11</xdr:col>
      <xdr:colOff>547686</xdr:colOff>
      <xdr:row>2</xdr:row>
      <xdr:rowOff>123825</xdr:rowOff>
    </xdr:to>
    <xdr:sp macro="" textlink="Kontaktuppgifter!J1">
      <xdr:nvSpPr>
        <xdr:cNvPr id="3" name="Rectangle 2">
          <a:extLst>
            <a:ext uri="{FF2B5EF4-FFF2-40B4-BE49-F238E27FC236}">
              <a16:creationId xmlns:a16="http://schemas.microsoft.com/office/drawing/2014/main" id="{767AB038-CEE6-4339-BD5F-F481B7958DFF}"/>
            </a:ext>
          </a:extLst>
        </xdr:cNvPr>
        <xdr:cNvSpPr/>
      </xdr:nvSpPr>
      <xdr:spPr>
        <a:xfrm>
          <a:off x="6372225" y="219075"/>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2523E25-0F69-417F-A0EC-AC58FB2FE971}" type="TxLink">
            <a:rPr lang="en-US" sz="1100" b="0" i="0" u="none" strike="noStrike">
              <a:solidFill>
                <a:srgbClr val="000000"/>
              </a:solidFill>
              <a:latin typeface="Calibri"/>
              <a:cs typeface="Calibri"/>
            </a:rPr>
            <a:pPr algn="l"/>
            <a:t>Version 5.0</a:t>
          </a:fld>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10583</xdr:colOff>
      <xdr:row>6</xdr:row>
      <xdr:rowOff>63500</xdr:rowOff>
    </xdr:from>
    <xdr:to>
      <xdr:col>9</xdr:col>
      <xdr:colOff>20108</xdr:colOff>
      <xdr:row>7</xdr:row>
      <xdr:rowOff>907</xdr:rowOff>
    </xdr:to>
    <xdr:pic>
      <xdr:nvPicPr>
        <xdr:cNvPr id="2" name="Picture 1">
          <a:extLst>
            <a:ext uri="{FF2B5EF4-FFF2-40B4-BE49-F238E27FC236}">
              <a16:creationId xmlns:a16="http://schemas.microsoft.com/office/drawing/2014/main" id="{05D27E20-0834-4CDA-89F9-A8A2691F384D}"/>
            </a:ext>
          </a:extLst>
        </xdr:cNvPr>
        <xdr:cNvPicPr>
          <a:picLocks noChangeAspect="1"/>
        </xdr:cNvPicPr>
      </xdr:nvPicPr>
      <xdr:blipFill rotWithShape="1">
        <a:blip xmlns:r="http://schemas.openxmlformats.org/officeDocument/2006/relationships" r:embed="rId1"/>
        <a:srcRect l="5067" t="-1662" r="47844" b="-1388"/>
        <a:stretch/>
      </xdr:blipFill>
      <xdr:spPr>
        <a:xfrm>
          <a:off x="201083" y="63500"/>
          <a:ext cx="11016192" cy="590550"/>
        </a:xfrm>
        <a:prstGeom prst="rect">
          <a:avLst/>
        </a:prstGeom>
      </xdr:spPr>
    </xdr:pic>
    <xdr:clientData/>
  </xdr:twoCellAnchor>
  <xdr:twoCellAnchor>
    <xdr:from>
      <xdr:col>8</xdr:col>
      <xdr:colOff>730250</xdr:colOff>
      <xdr:row>6</xdr:row>
      <xdr:rowOff>264583</xdr:rowOff>
    </xdr:from>
    <xdr:to>
      <xdr:col>8</xdr:col>
      <xdr:colOff>1611311</xdr:colOff>
      <xdr:row>6</xdr:row>
      <xdr:rowOff>550333</xdr:rowOff>
    </xdr:to>
    <xdr:sp macro="" textlink="Kontaktuppgifter!J1">
      <xdr:nvSpPr>
        <xdr:cNvPr id="3" name="Rectangle 2">
          <a:extLst>
            <a:ext uri="{FF2B5EF4-FFF2-40B4-BE49-F238E27FC236}">
              <a16:creationId xmlns:a16="http://schemas.microsoft.com/office/drawing/2014/main" id="{D8EA719E-AC48-499B-83B9-360BE00FC68A}"/>
            </a:ext>
          </a:extLst>
        </xdr:cNvPr>
        <xdr:cNvSpPr/>
      </xdr:nvSpPr>
      <xdr:spPr>
        <a:xfrm>
          <a:off x="10011833" y="264583"/>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2523E25-0F69-417F-A0EC-AC58FB2FE971}" type="TxLink">
            <a:rPr lang="en-US" sz="1100" b="0" i="0" u="none" strike="noStrike">
              <a:solidFill>
                <a:srgbClr val="000000"/>
              </a:solidFill>
              <a:latin typeface="Calibri"/>
              <a:cs typeface="Calibri"/>
            </a:rPr>
            <a:pPr algn="l"/>
            <a:t>Version 5.0</a:t>
          </a:fld>
          <a:endParaRPr lang="en-GB" sz="1100"/>
        </a:p>
      </xdr:txBody>
    </xdr:sp>
    <xdr:clientData/>
  </xdr:twoCellAnchor>
  <xdr:twoCellAnchor>
    <xdr:from>
      <xdr:col>6</xdr:col>
      <xdr:colOff>665691</xdr:colOff>
      <xdr:row>6</xdr:row>
      <xdr:rowOff>317500</xdr:rowOff>
    </xdr:from>
    <xdr:to>
      <xdr:col>6</xdr:col>
      <xdr:colOff>1546752</xdr:colOff>
      <xdr:row>6</xdr:row>
      <xdr:rowOff>603250</xdr:rowOff>
    </xdr:to>
    <xdr:sp macro="" textlink="">
      <xdr:nvSpPr>
        <xdr:cNvPr id="4" name="Rectangle 3">
          <a:extLst>
            <a:ext uri="{FF2B5EF4-FFF2-40B4-BE49-F238E27FC236}">
              <a16:creationId xmlns:a16="http://schemas.microsoft.com/office/drawing/2014/main" id="{8B1C0725-DE69-4F13-B7E9-5644A492A235}"/>
            </a:ext>
          </a:extLst>
        </xdr:cNvPr>
        <xdr:cNvSpPr/>
      </xdr:nvSpPr>
      <xdr:spPr>
        <a:xfrm>
          <a:off x="6116108" y="317500"/>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638175</xdr:colOff>
      <xdr:row>6</xdr:row>
      <xdr:rowOff>257175</xdr:rowOff>
    </xdr:from>
    <xdr:to>
      <xdr:col>6</xdr:col>
      <xdr:colOff>1519236</xdr:colOff>
      <xdr:row>6</xdr:row>
      <xdr:rowOff>542925</xdr:rowOff>
    </xdr:to>
    <xdr:sp macro="" textlink="">
      <xdr:nvSpPr>
        <xdr:cNvPr id="5" name="Rectangle 4">
          <a:extLst>
            <a:ext uri="{FF2B5EF4-FFF2-40B4-BE49-F238E27FC236}">
              <a16:creationId xmlns:a16="http://schemas.microsoft.com/office/drawing/2014/main" id="{B65DBE11-85CE-4724-B4B1-BB6157287089}"/>
            </a:ext>
          </a:extLst>
        </xdr:cNvPr>
        <xdr:cNvSpPr/>
      </xdr:nvSpPr>
      <xdr:spPr>
        <a:xfrm>
          <a:off x="6096000" y="257175"/>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952500</xdr:colOff>
      <xdr:row>6</xdr:row>
      <xdr:rowOff>180975</xdr:rowOff>
    </xdr:from>
    <xdr:to>
      <xdr:col>8</xdr:col>
      <xdr:colOff>1833561</xdr:colOff>
      <xdr:row>6</xdr:row>
      <xdr:rowOff>466725</xdr:rowOff>
    </xdr:to>
    <xdr:sp macro="" textlink="Kontaktuppgifter!J1">
      <xdr:nvSpPr>
        <xdr:cNvPr id="4" name="Rectangle 3">
          <a:extLst>
            <a:ext uri="{FF2B5EF4-FFF2-40B4-BE49-F238E27FC236}">
              <a16:creationId xmlns:a16="http://schemas.microsoft.com/office/drawing/2014/main" id="{F9F41899-FF50-4482-8F48-3A2CBB25F59B}"/>
            </a:ext>
          </a:extLst>
        </xdr:cNvPr>
        <xdr:cNvSpPr/>
      </xdr:nvSpPr>
      <xdr:spPr>
        <a:xfrm>
          <a:off x="11153775" y="180975"/>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2523E25-0F69-417F-A0EC-AC58FB2FE971}" type="TxLink">
            <a:rPr lang="en-US" sz="1100" b="0" i="0" u="none" strike="noStrike">
              <a:solidFill>
                <a:srgbClr val="000000"/>
              </a:solidFill>
              <a:latin typeface="Calibri"/>
              <a:cs typeface="Calibri"/>
            </a:rPr>
            <a:pPr algn="l"/>
            <a:t>Version 5.0</a:t>
          </a:fld>
          <a:endParaRPr lang="en-GB" sz="1100"/>
        </a:p>
      </xdr:txBody>
    </xdr:sp>
    <xdr:clientData/>
  </xdr:twoCellAnchor>
  <xdr:twoCellAnchor>
    <xdr:from>
      <xdr:col>6</xdr:col>
      <xdr:colOff>666750</xdr:colOff>
      <xdr:row>6</xdr:row>
      <xdr:rowOff>285750</xdr:rowOff>
    </xdr:from>
    <xdr:to>
      <xdr:col>6</xdr:col>
      <xdr:colOff>1547811</xdr:colOff>
      <xdr:row>6</xdr:row>
      <xdr:rowOff>571500</xdr:rowOff>
    </xdr:to>
    <xdr:sp macro="" textlink="">
      <xdr:nvSpPr>
        <xdr:cNvPr id="5" name="Rectangle 4">
          <a:extLst>
            <a:ext uri="{FF2B5EF4-FFF2-40B4-BE49-F238E27FC236}">
              <a16:creationId xmlns:a16="http://schemas.microsoft.com/office/drawing/2014/main" id="{519EBE08-2917-47DA-9E30-227760BEA8D3}"/>
            </a:ext>
          </a:extLst>
        </xdr:cNvPr>
        <xdr:cNvSpPr/>
      </xdr:nvSpPr>
      <xdr:spPr>
        <a:xfrm>
          <a:off x="7038975" y="285750"/>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723900</xdr:colOff>
      <xdr:row>6</xdr:row>
      <xdr:rowOff>285750</xdr:rowOff>
    </xdr:from>
    <xdr:to>
      <xdr:col>6</xdr:col>
      <xdr:colOff>1604961</xdr:colOff>
      <xdr:row>6</xdr:row>
      <xdr:rowOff>571500</xdr:rowOff>
    </xdr:to>
    <xdr:sp macro="" textlink="">
      <xdr:nvSpPr>
        <xdr:cNvPr id="5" name="Rectangle 4">
          <a:extLst>
            <a:ext uri="{FF2B5EF4-FFF2-40B4-BE49-F238E27FC236}">
              <a16:creationId xmlns:a16="http://schemas.microsoft.com/office/drawing/2014/main" id="{B1090488-68C8-40A2-ACF0-73791A6CE3D8}"/>
            </a:ext>
          </a:extLst>
        </xdr:cNvPr>
        <xdr:cNvSpPr/>
      </xdr:nvSpPr>
      <xdr:spPr>
        <a:xfrm>
          <a:off x="6153150" y="285750"/>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2073275</xdr:colOff>
      <xdr:row>6</xdr:row>
      <xdr:rowOff>136525</xdr:rowOff>
    </xdr:from>
    <xdr:to>
      <xdr:col>12</xdr:col>
      <xdr:colOff>427566</xdr:colOff>
      <xdr:row>7</xdr:row>
      <xdr:rowOff>355600</xdr:rowOff>
    </xdr:to>
    <xdr:pic>
      <xdr:nvPicPr>
        <xdr:cNvPr id="4" name="Picture 3">
          <a:extLst>
            <a:ext uri="{FF2B5EF4-FFF2-40B4-BE49-F238E27FC236}">
              <a16:creationId xmlns:a16="http://schemas.microsoft.com/office/drawing/2014/main" id="{B0A9CC06-7294-4D1F-AB70-FA74D6889DE1}"/>
            </a:ext>
          </a:extLst>
        </xdr:cNvPr>
        <xdr:cNvPicPr>
          <a:picLocks noChangeAspect="1"/>
        </xdr:cNvPicPr>
      </xdr:nvPicPr>
      <xdr:blipFill rotWithShape="1">
        <a:blip xmlns:r="http://schemas.openxmlformats.org/officeDocument/2006/relationships" r:embed="rId1"/>
        <a:srcRect l="13525" t="-1662" r="36889" b="-1388"/>
        <a:stretch/>
      </xdr:blipFill>
      <xdr:spPr>
        <a:xfrm>
          <a:off x="2263775" y="136525"/>
          <a:ext cx="11742208" cy="589492"/>
        </a:xfrm>
        <a:prstGeom prst="rect">
          <a:avLst/>
        </a:prstGeom>
      </xdr:spPr>
    </xdr:pic>
    <xdr:clientData/>
  </xdr:twoCellAnchor>
  <xdr:twoCellAnchor editAs="oneCell">
    <xdr:from>
      <xdr:col>1</xdr:col>
      <xdr:colOff>256118</xdr:colOff>
      <xdr:row>6</xdr:row>
      <xdr:rowOff>137583</xdr:rowOff>
    </xdr:from>
    <xdr:to>
      <xdr:col>12</xdr:col>
      <xdr:colOff>215901</xdr:colOff>
      <xdr:row>7</xdr:row>
      <xdr:rowOff>356658</xdr:rowOff>
    </xdr:to>
    <xdr:pic>
      <xdr:nvPicPr>
        <xdr:cNvPr id="3" name="Picture 2">
          <a:extLst>
            <a:ext uri="{FF2B5EF4-FFF2-40B4-BE49-F238E27FC236}">
              <a16:creationId xmlns:a16="http://schemas.microsoft.com/office/drawing/2014/main" id="{331E3D54-A521-4E7D-86E2-F05670DA6C47}"/>
            </a:ext>
          </a:extLst>
        </xdr:cNvPr>
        <xdr:cNvPicPr>
          <a:picLocks noChangeAspect="1"/>
        </xdr:cNvPicPr>
      </xdr:nvPicPr>
      <xdr:blipFill rotWithShape="1">
        <a:blip xmlns:r="http://schemas.openxmlformats.org/officeDocument/2006/relationships" r:embed="rId1"/>
        <a:srcRect l="5067" t="-1662" r="38539" b="-1388"/>
        <a:stretch/>
      </xdr:blipFill>
      <xdr:spPr>
        <a:xfrm>
          <a:off x="446618" y="137583"/>
          <a:ext cx="13347700" cy="589492"/>
        </a:xfrm>
        <a:prstGeom prst="rect">
          <a:avLst/>
        </a:prstGeom>
      </xdr:spPr>
    </xdr:pic>
    <xdr:clientData/>
  </xdr:twoCellAnchor>
  <xdr:twoCellAnchor>
    <xdr:from>
      <xdr:col>11</xdr:col>
      <xdr:colOff>516469</xdr:colOff>
      <xdr:row>6</xdr:row>
      <xdr:rowOff>285749</xdr:rowOff>
    </xdr:from>
    <xdr:to>
      <xdr:col>12</xdr:col>
      <xdr:colOff>211667</xdr:colOff>
      <xdr:row>7</xdr:row>
      <xdr:rowOff>200024</xdr:rowOff>
    </xdr:to>
    <xdr:sp macro="" textlink="Kontaktuppgifter!J1">
      <xdr:nvSpPr>
        <xdr:cNvPr id="5" name="Rectangle 4">
          <a:extLst>
            <a:ext uri="{FF2B5EF4-FFF2-40B4-BE49-F238E27FC236}">
              <a16:creationId xmlns:a16="http://schemas.microsoft.com/office/drawing/2014/main" id="{99693F07-32BC-4A1D-B0BF-0CCC15D290B3}"/>
            </a:ext>
          </a:extLst>
        </xdr:cNvPr>
        <xdr:cNvSpPr/>
      </xdr:nvSpPr>
      <xdr:spPr>
        <a:xfrm>
          <a:off x="12835469" y="285749"/>
          <a:ext cx="954615" cy="28469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2523E25-0F69-417F-A0EC-AC58FB2FE971}" type="TxLink">
            <a:rPr lang="en-US" sz="1100" b="0" i="0" u="none" strike="noStrike">
              <a:solidFill>
                <a:srgbClr val="000000"/>
              </a:solidFill>
              <a:latin typeface="Calibri"/>
              <a:cs typeface="Calibri"/>
            </a:rPr>
            <a:pPr algn="l"/>
            <a:t>Version 5.0</a:t>
          </a:fld>
          <a:endParaRPr lang="en-GB" sz="1100"/>
        </a:p>
      </xdr:txBody>
    </xdr:sp>
    <xdr:clientData/>
  </xdr:twoCellAnchor>
  <xdr:twoCellAnchor>
    <xdr:from>
      <xdr:col>5</xdr:col>
      <xdr:colOff>566210</xdr:colOff>
      <xdr:row>6</xdr:row>
      <xdr:rowOff>338666</xdr:rowOff>
    </xdr:from>
    <xdr:to>
      <xdr:col>7</xdr:col>
      <xdr:colOff>6879</xdr:colOff>
      <xdr:row>7</xdr:row>
      <xdr:rowOff>211666</xdr:rowOff>
    </xdr:to>
    <xdr:sp macro="" textlink="">
      <xdr:nvSpPr>
        <xdr:cNvPr id="6" name="Rectangle 5">
          <a:extLst>
            <a:ext uri="{FF2B5EF4-FFF2-40B4-BE49-F238E27FC236}">
              <a16:creationId xmlns:a16="http://schemas.microsoft.com/office/drawing/2014/main" id="{B79A813C-DD3D-408F-8D45-7F1EBC70A154}"/>
            </a:ext>
          </a:extLst>
        </xdr:cNvPr>
        <xdr:cNvSpPr/>
      </xdr:nvSpPr>
      <xdr:spPr>
        <a:xfrm>
          <a:off x="6408210" y="338666"/>
          <a:ext cx="880002" cy="24341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87313</xdr:colOff>
      <xdr:row>7</xdr:row>
      <xdr:rowOff>38100</xdr:rowOff>
    </xdr:from>
    <xdr:to>
      <xdr:col>9</xdr:col>
      <xdr:colOff>88673</xdr:colOff>
      <xdr:row>7</xdr:row>
      <xdr:rowOff>620360</xdr:rowOff>
    </xdr:to>
    <xdr:pic>
      <xdr:nvPicPr>
        <xdr:cNvPr id="2" name="Picture 1">
          <a:extLst>
            <a:ext uri="{FF2B5EF4-FFF2-40B4-BE49-F238E27FC236}">
              <a16:creationId xmlns:a16="http://schemas.microsoft.com/office/drawing/2014/main" id="{8E3AC22D-8348-490B-AC67-971E088CC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313" y="38100"/>
          <a:ext cx="7483474" cy="58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1350819</xdr:colOff>
      <xdr:row>7</xdr:row>
      <xdr:rowOff>38101</xdr:rowOff>
    </xdr:from>
    <xdr:to>
      <xdr:col>12</xdr:col>
      <xdr:colOff>1050470</xdr:colOff>
      <xdr:row>7</xdr:row>
      <xdr:rowOff>611189</xdr:rowOff>
    </xdr:to>
    <xdr:pic>
      <xdr:nvPicPr>
        <xdr:cNvPr id="3" name="Picture 2">
          <a:extLst>
            <a:ext uri="{FF2B5EF4-FFF2-40B4-BE49-F238E27FC236}">
              <a16:creationId xmlns:a16="http://schemas.microsoft.com/office/drawing/2014/main" id="{1344D605-EEB2-4A3F-8DD0-A68D33B1C923}"/>
            </a:ext>
          </a:extLst>
        </xdr:cNvPr>
        <xdr:cNvPicPr>
          <a:picLocks noChangeAspect="1"/>
        </xdr:cNvPicPr>
      </xdr:nvPicPr>
      <xdr:blipFill rotWithShape="1">
        <a:blip xmlns:r="http://schemas.openxmlformats.org/officeDocument/2006/relationships" r:embed="rId2"/>
        <a:srcRect l="13525" t="-1662" r="41733" b="274"/>
        <a:stretch/>
      </xdr:blipFill>
      <xdr:spPr>
        <a:xfrm>
          <a:off x="1827069" y="38101"/>
          <a:ext cx="10380806" cy="573088"/>
        </a:xfrm>
        <a:prstGeom prst="rect">
          <a:avLst/>
        </a:prstGeom>
      </xdr:spPr>
    </xdr:pic>
    <xdr:clientData/>
  </xdr:twoCellAnchor>
  <xdr:twoCellAnchor>
    <xdr:from>
      <xdr:col>12</xdr:col>
      <xdr:colOff>159884</xdr:colOff>
      <xdr:row>7</xdr:row>
      <xdr:rowOff>147411</xdr:rowOff>
    </xdr:from>
    <xdr:to>
      <xdr:col>12</xdr:col>
      <xdr:colOff>993320</xdr:colOff>
      <xdr:row>7</xdr:row>
      <xdr:rowOff>568099</xdr:rowOff>
    </xdr:to>
    <xdr:sp macro="" textlink="Kontaktuppgifter!J1">
      <xdr:nvSpPr>
        <xdr:cNvPr id="4" name="Rectangle 3">
          <a:extLst>
            <a:ext uri="{FF2B5EF4-FFF2-40B4-BE49-F238E27FC236}">
              <a16:creationId xmlns:a16="http://schemas.microsoft.com/office/drawing/2014/main" id="{9A6ADCC0-34AF-4159-B4D7-F5682AEA02D4}"/>
            </a:ext>
          </a:extLst>
        </xdr:cNvPr>
        <xdr:cNvSpPr/>
      </xdr:nvSpPr>
      <xdr:spPr>
        <a:xfrm>
          <a:off x="10977563" y="147411"/>
          <a:ext cx="833436" cy="42068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2523E25-0F69-417F-A0EC-AC58FB2FE971}" type="TxLink">
            <a:rPr lang="en-US" sz="1100" b="0" i="0" u="none" strike="noStrike">
              <a:solidFill>
                <a:srgbClr val="000000"/>
              </a:solidFill>
              <a:latin typeface="Calibri"/>
              <a:cs typeface="Calibri"/>
            </a:rPr>
            <a:pPr algn="l"/>
            <a:t>Version 5.0</a:t>
          </a:fld>
          <a:endParaRPr lang="en-GB" sz="1100"/>
        </a:p>
      </xdr:txBody>
    </xdr:sp>
    <xdr:clientData/>
  </xdr:twoCellAnchor>
  <xdr:twoCellAnchor>
    <xdr:from>
      <xdr:col>7</xdr:col>
      <xdr:colOff>819152</xdr:colOff>
      <xdr:row>7</xdr:row>
      <xdr:rowOff>239712</xdr:rowOff>
    </xdr:from>
    <xdr:to>
      <xdr:col>8</xdr:col>
      <xdr:colOff>223838</xdr:colOff>
      <xdr:row>7</xdr:row>
      <xdr:rowOff>484188</xdr:rowOff>
    </xdr:to>
    <xdr:sp macro="" textlink="">
      <xdr:nvSpPr>
        <xdr:cNvPr id="5" name="Rectangle 4">
          <a:extLst>
            <a:ext uri="{FF2B5EF4-FFF2-40B4-BE49-F238E27FC236}">
              <a16:creationId xmlns:a16="http://schemas.microsoft.com/office/drawing/2014/main" id="{379F3EE9-900A-4114-BE2B-F41BF2D2D363}"/>
            </a:ext>
          </a:extLst>
        </xdr:cNvPr>
        <xdr:cNvSpPr/>
      </xdr:nvSpPr>
      <xdr:spPr>
        <a:xfrm>
          <a:off x="5740402" y="1731962"/>
          <a:ext cx="881061" cy="24447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283572</xdr:colOff>
      <xdr:row>5</xdr:row>
      <xdr:rowOff>586740</xdr:rowOff>
    </xdr:to>
    <xdr:pic>
      <xdr:nvPicPr>
        <xdr:cNvPr id="3" name="Picture 2">
          <a:extLst>
            <a:ext uri="{FF2B5EF4-FFF2-40B4-BE49-F238E27FC236}">
              <a16:creationId xmlns:a16="http://schemas.microsoft.com/office/drawing/2014/main" id="{54551E08-2C35-4D88-8981-E309B4E9ED77}"/>
            </a:ext>
          </a:extLst>
        </xdr:cNvPr>
        <xdr:cNvPicPr>
          <a:picLocks noChangeAspect="1"/>
        </xdr:cNvPicPr>
      </xdr:nvPicPr>
      <xdr:blipFill rotWithShape="1">
        <a:blip xmlns:r="http://schemas.openxmlformats.org/officeDocument/2006/relationships" r:embed="rId1"/>
        <a:srcRect l="5067" t="-1662" r="3293" b="-1388"/>
        <a:stretch/>
      </xdr:blipFill>
      <xdr:spPr>
        <a:xfrm>
          <a:off x="0" y="0"/>
          <a:ext cx="21669374" cy="590550"/>
        </a:xfrm>
        <a:prstGeom prst="rect">
          <a:avLst/>
        </a:prstGeom>
      </xdr:spPr>
    </xdr:pic>
    <xdr:clientData/>
  </xdr:twoCellAnchor>
  <xdr:twoCellAnchor>
    <xdr:from>
      <xdr:col>10</xdr:col>
      <xdr:colOff>809625</xdr:colOff>
      <xdr:row>0</xdr:row>
      <xdr:rowOff>123825</xdr:rowOff>
    </xdr:from>
    <xdr:to>
      <xdr:col>10</xdr:col>
      <xdr:colOff>1690686</xdr:colOff>
      <xdr:row>0</xdr:row>
      <xdr:rowOff>409575</xdr:rowOff>
    </xdr:to>
    <xdr:sp macro="" textlink="Kontaktuppgifter!J1">
      <xdr:nvSpPr>
        <xdr:cNvPr id="4" name="Rectangle 3">
          <a:extLst>
            <a:ext uri="{FF2B5EF4-FFF2-40B4-BE49-F238E27FC236}">
              <a16:creationId xmlns:a16="http://schemas.microsoft.com/office/drawing/2014/main" id="{C3D156CE-A43F-4EEA-9089-AF33EC156B94}"/>
            </a:ext>
          </a:extLst>
        </xdr:cNvPr>
        <xdr:cNvSpPr/>
      </xdr:nvSpPr>
      <xdr:spPr>
        <a:xfrm>
          <a:off x="19764375" y="123825"/>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2523E25-0F69-417F-A0EC-AC58FB2FE971}" type="TxLink">
            <a:rPr lang="en-US" sz="1100" b="0" i="0" u="none" strike="noStrike">
              <a:solidFill>
                <a:srgbClr val="000000"/>
              </a:solidFill>
              <a:latin typeface="Calibri"/>
              <a:cs typeface="Calibri"/>
            </a:rPr>
            <a:pPr algn="l"/>
            <a:t>Version 5.0</a:t>
          </a:fld>
          <a:endParaRPr lang="en-GB" sz="1100"/>
        </a:p>
      </xdr:txBody>
    </xdr:sp>
    <xdr:clientData/>
  </xdr:twoCellAnchor>
  <xdr:twoCellAnchor>
    <xdr:from>
      <xdr:col>3</xdr:col>
      <xdr:colOff>333375</xdr:colOff>
      <xdr:row>0</xdr:row>
      <xdr:rowOff>200025</xdr:rowOff>
    </xdr:from>
    <xdr:to>
      <xdr:col>3</xdr:col>
      <xdr:colOff>1214436</xdr:colOff>
      <xdr:row>0</xdr:row>
      <xdr:rowOff>485775</xdr:rowOff>
    </xdr:to>
    <xdr:sp macro="" textlink="">
      <xdr:nvSpPr>
        <xdr:cNvPr id="5" name="Rectangle 4">
          <a:extLst>
            <a:ext uri="{FF2B5EF4-FFF2-40B4-BE49-F238E27FC236}">
              <a16:creationId xmlns:a16="http://schemas.microsoft.com/office/drawing/2014/main" id="{64208CB7-8B0B-4852-8A79-10B8DA4F1F52}"/>
            </a:ext>
          </a:extLst>
        </xdr:cNvPr>
        <xdr:cNvSpPr/>
      </xdr:nvSpPr>
      <xdr:spPr>
        <a:xfrm>
          <a:off x="5953125" y="200025"/>
          <a:ext cx="881061"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twoCellAnchor>
    <xdr:from>
      <xdr:col>10</xdr:col>
      <xdr:colOff>779462</xdr:colOff>
      <xdr:row>5</xdr:row>
      <xdr:rowOff>38100</xdr:rowOff>
    </xdr:from>
    <xdr:to>
      <xdr:col>10</xdr:col>
      <xdr:colOff>1612898</xdr:colOff>
      <xdr:row>5</xdr:row>
      <xdr:rowOff>323850</xdr:rowOff>
    </xdr:to>
    <xdr:sp macro="" textlink="Kontaktuppgifter!J1">
      <xdr:nvSpPr>
        <xdr:cNvPr id="6" name="Rectangle 5">
          <a:extLst>
            <a:ext uri="{FF2B5EF4-FFF2-40B4-BE49-F238E27FC236}">
              <a16:creationId xmlns:a16="http://schemas.microsoft.com/office/drawing/2014/main" id="{B0A15A9D-702C-4DDF-BC01-4F90FDF353F8}"/>
            </a:ext>
          </a:extLst>
        </xdr:cNvPr>
        <xdr:cNvSpPr/>
      </xdr:nvSpPr>
      <xdr:spPr>
        <a:xfrm>
          <a:off x="20543837" y="38100"/>
          <a:ext cx="833436"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A2523E25-0F69-417F-A0EC-AC58FB2FE971}" type="TxLink">
            <a:rPr lang="en-US" sz="1100" b="0" i="0" u="none" strike="noStrike">
              <a:solidFill>
                <a:srgbClr val="000000"/>
              </a:solidFill>
              <a:latin typeface="Calibri"/>
              <a:cs typeface="Calibri"/>
            </a:rPr>
            <a:pPr algn="l"/>
            <a:t>Version 5.0</a:t>
          </a:fld>
          <a:endParaRPr lang="en-GB" sz="1100"/>
        </a:p>
      </xdr:txBody>
    </xdr:sp>
    <xdr:clientData/>
  </xdr:twoCellAnchor>
  <xdr:twoCellAnchor>
    <xdr:from>
      <xdr:col>2</xdr:col>
      <xdr:colOff>1944459</xdr:colOff>
      <xdr:row>5</xdr:row>
      <xdr:rowOff>222703</xdr:rowOff>
    </xdr:from>
    <xdr:to>
      <xdr:col>3</xdr:col>
      <xdr:colOff>834795</xdr:colOff>
      <xdr:row>5</xdr:row>
      <xdr:rowOff>508453</xdr:rowOff>
    </xdr:to>
    <xdr:sp macro="" textlink="">
      <xdr:nvSpPr>
        <xdr:cNvPr id="7" name="Rectangle 6">
          <a:extLst>
            <a:ext uri="{FF2B5EF4-FFF2-40B4-BE49-F238E27FC236}">
              <a16:creationId xmlns:a16="http://schemas.microsoft.com/office/drawing/2014/main" id="{F347392C-0C33-4D5F-8481-00CF81C7EB11}"/>
            </a:ext>
          </a:extLst>
        </xdr:cNvPr>
        <xdr:cNvSpPr/>
      </xdr:nvSpPr>
      <xdr:spPr>
        <a:xfrm>
          <a:off x="6262459" y="222703"/>
          <a:ext cx="976765" cy="2857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0" i="0" u="none" strike="noStrike">
            <a:solidFill>
              <a:srgbClr val="000000"/>
            </a:solidFill>
            <a:latin typeface="Calibri"/>
            <a:cs typeface="Calibri"/>
          </a:endParaRPr>
        </a:p>
        <a:p>
          <a:pPr algn="l"/>
          <a:endParaRPr lang="en-US" sz="1100" b="0" i="0" u="none" strike="noStrike">
            <a:solidFill>
              <a:srgbClr val="000000"/>
            </a:solidFill>
            <a:latin typeface="Calibri"/>
            <a:cs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37</xdr:col>
      <xdr:colOff>0</xdr:colOff>
      <xdr:row>6</xdr:row>
      <xdr:rowOff>0</xdr:rowOff>
    </xdr:to>
    <xdr:grpSp>
      <xdr:nvGrpSpPr>
        <xdr:cNvPr id="4" name="Group 3">
          <a:extLst>
            <a:ext uri="{FF2B5EF4-FFF2-40B4-BE49-F238E27FC236}">
              <a16:creationId xmlns:a16="http://schemas.microsoft.com/office/drawing/2014/main" id="{2DB4D0C0-46F4-44D1-BC51-82C152C33F97}"/>
            </a:ext>
          </a:extLst>
        </xdr:cNvPr>
        <xdr:cNvGrpSpPr/>
      </xdr:nvGrpSpPr>
      <xdr:grpSpPr>
        <a:xfrm>
          <a:off x="0" y="552450"/>
          <a:ext cx="22555200" cy="552450"/>
          <a:chOff x="0" y="571500"/>
          <a:chExt cx="22555200" cy="571500"/>
        </a:xfrm>
      </xdr:grpSpPr>
      <xdr:sp macro="" textlink="">
        <xdr:nvSpPr>
          <xdr:cNvPr id="3" name="Rectangle 2">
            <a:extLst>
              <a:ext uri="{FF2B5EF4-FFF2-40B4-BE49-F238E27FC236}">
                <a16:creationId xmlns:a16="http://schemas.microsoft.com/office/drawing/2014/main" id="{7626FCA8-4B6B-488F-9842-8083FA699D32}"/>
              </a:ext>
            </a:extLst>
          </xdr:cNvPr>
          <xdr:cNvSpPr/>
        </xdr:nvSpPr>
        <xdr:spPr>
          <a:xfrm>
            <a:off x="0" y="571500"/>
            <a:ext cx="22555200" cy="571500"/>
          </a:xfrm>
          <a:prstGeom prst="rect">
            <a:avLst/>
          </a:prstGeom>
          <a:solidFill>
            <a:schemeClr val="bg1">
              <a:lumMod val="8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pic>
        <xdr:nvPicPr>
          <xdr:cNvPr id="2" name="Picture 1">
            <a:extLst>
              <a:ext uri="{FF2B5EF4-FFF2-40B4-BE49-F238E27FC236}">
                <a16:creationId xmlns:a16="http://schemas.microsoft.com/office/drawing/2014/main" id="{6F9CB62D-A867-4E9D-8DCA-7F00242C7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71500"/>
            <a:ext cx="7467600" cy="5715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wpavrop@advania.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43606F"/>
    <pageSetUpPr fitToPage="1"/>
  </sheetPr>
  <dimension ref="B3:L79"/>
  <sheetViews>
    <sheetView showGridLines="0" zoomScale="90" zoomScaleNormal="90" workbookViewId="0">
      <selection activeCell="AA9" sqref="AA9"/>
    </sheetView>
  </sheetViews>
  <sheetFormatPr defaultRowHeight="14.5" x14ac:dyDescent="0.35"/>
  <cols>
    <col min="1" max="1" width="2" customWidth="1"/>
  </cols>
  <sheetData>
    <row r="3" spans="2:12" x14ac:dyDescent="0.35">
      <c r="D3" t="s">
        <v>260</v>
      </c>
    </row>
    <row r="5" spans="2:12" x14ac:dyDescent="0.35">
      <c r="B5" s="203"/>
      <c r="C5" s="204"/>
      <c r="D5" s="204"/>
      <c r="E5" s="204"/>
      <c r="F5" s="204"/>
      <c r="G5" s="204"/>
      <c r="H5" s="204"/>
      <c r="I5" s="204"/>
      <c r="J5" s="204"/>
      <c r="K5" s="204"/>
      <c r="L5" s="204"/>
    </row>
    <row r="6" spans="2:12" x14ac:dyDescent="0.35">
      <c r="B6" s="204"/>
      <c r="C6" s="204"/>
      <c r="D6" s="204"/>
      <c r="E6" s="204"/>
      <c r="F6" s="204"/>
      <c r="G6" s="204"/>
      <c r="H6" s="204"/>
      <c r="I6" s="204"/>
      <c r="J6" s="204"/>
      <c r="K6" s="204"/>
      <c r="L6" s="204"/>
    </row>
    <row r="7" spans="2:12" x14ac:dyDescent="0.35">
      <c r="B7" s="204"/>
      <c r="C7" s="204"/>
      <c r="D7" s="204"/>
      <c r="E7" s="204"/>
      <c r="F7" s="204"/>
      <c r="G7" s="204"/>
      <c r="H7" s="204"/>
      <c r="I7" s="204"/>
      <c r="J7" s="204"/>
      <c r="K7" s="204"/>
      <c r="L7" s="204"/>
    </row>
    <row r="8" spans="2:12" x14ac:dyDescent="0.35">
      <c r="B8" s="204"/>
      <c r="C8" s="204"/>
      <c r="D8" s="204"/>
      <c r="E8" s="204"/>
      <c r="F8" s="204"/>
      <c r="G8" s="204"/>
      <c r="H8" s="204"/>
      <c r="I8" s="204"/>
      <c r="J8" s="204"/>
      <c r="K8" s="204"/>
      <c r="L8" s="204"/>
    </row>
    <row r="9" spans="2:12" x14ac:dyDescent="0.35">
      <c r="B9" s="204"/>
      <c r="C9" s="204"/>
      <c r="D9" s="204"/>
      <c r="E9" s="204"/>
      <c r="F9" s="204"/>
      <c r="G9" s="204"/>
      <c r="H9" s="204"/>
      <c r="I9" s="204"/>
      <c r="J9" s="204"/>
      <c r="K9" s="204"/>
      <c r="L9" s="204"/>
    </row>
    <row r="10" spans="2:12" x14ac:dyDescent="0.35">
      <c r="B10" s="204"/>
      <c r="C10" s="204"/>
      <c r="D10" s="204"/>
      <c r="E10" s="204"/>
      <c r="F10" s="204"/>
      <c r="G10" s="204"/>
      <c r="H10" s="204"/>
      <c r="I10" s="204"/>
      <c r="J10" s="204"/>
      <c r="K10" s="204"/>
      <c r="L10" s="204"/>
    </row>
    <row r="11" spans="2:12" x14ac:dyDescent="0.35">
      <c r="B11" s="204"/>
      <c r="C11" s="204"/>
      <c r="D11" s="204"/>
      <c r="E11" s="204"/>
      <c r="F11" s="204"/>
      <c r="G11" s="204"/>
      <c r="H11" s="204"/>
      <c r="I11" s="204"/>
      <c r="J11" s="204"/>
      <c r="K11" s="204"/>
      <c r="L11" s="204"/>
    </row>
    <row r="12" spans="2:12" x14ac:dyDescent="0.35">
      <c r="B12" s="204"/>
      <c r="C12" s="204"/>
      <c r="D12" s="204"/>
      <c r="E12" s="204"/>
      <c r="F12" s="204"/>
      <c r="G12" s="204"/>
      <c r="H12" s="204"/>
      <c r="I12" s="204"/>
      <c r="J12" s="204"/>
      <c r="K12" s="204"/>
      <c r="L12" s="204"/>
    </row>
    <row r="13" spans="2:12" x14ac:dyDescent="0.35">
      <c r="B13" s="204"/>
      <c r="C13" s="204"/>
      <c r="D13" s="204"/>
      <c r="E13" s="204"/>
      <c r="F13" s="204"/>
      <c r="G13" s="204"/>
      <c r="H13" s="204"/>
      <c r="I13" s="204"/>
      <c r="J13" s="204"/>
      <c r="K13" s="204"/>
      <c r="L13" s="204"/>
    </row>
    <row r="14" spans="2:12" x14ac:dyDescent="0.35">
      <c r="B14" s="204"/>
      <c r="C14" s="204"/>
      <c r="D14" s="204"/>
      <c r="E14" s="204"/>
      <c r="F14" s="204"/>
      <c r="G14" s="204"/>
      <c r="H14" s="204"/>
      <c r="I14" s="204"/>
      <c r="J14" s="204"/>
      <c r="K14" s="204"/>
      <c r="L14" s="204"/>
    </row>
    <row r="15" spans="2:12" x14ac:dyDescent="0.35">
      <c r="B15" s="204"/>
      <c r="C15" s="204"/>
      <c r="D15" s="204"/>
      <c r="E15" s="204"/>
      <c r="F15" s="204"/>
      <c r="G15" s="204"/>
      <c r="H15" s="204"/>
      <c r="I15" s="204"/>
      <c r="J15" s="204"/>
      <c r="K15" s="204"/>
      <c r="L15" s="204"/>
    </row>
    <row r="16" spans="2:12" x14ac:dyDescent="0.35">
      <c r="B16" s="204"/>
      <c r="C16" s="204"/>
      <c r="D16" s="204"/>
      <c r="E16" s="204"/>
      <c r="F16" s="204"/>
      <c r="G16" s="204"/>
      <c r="H16" s="204"/>
      <c r="I16" s="204"/>
      <c r="J16" s="204"/>
      <c r="K16" s="204"/>
      <c r="L16" s="204"/>
    </row>
    <row r="17" spans="2:12" x14ac:dyDescent="0.35">
      <c r="B17" s="204"/>
      <c r="C17" s="204"/>
      <c r="D17" s="204"/>
      <c r="E17" s="204"/>
      <c r="F17" s="204"/>
      <c r="G17" s="204"/>
      <c r="H17" s="204"/>
      <c r="I17" s="204"/>
      <c r="J17" s="204"/>
      <c r="K17" s="204"/>
      <c r="L17" s="204"/>
    </row>
    <row r="18" spans="2:12" x14ac:dyDescent="0.35">
      <c r="B18" s="204"/>
      <c r="C18" s="204"/>
      <c r="D18" s="204"/>
      <c r="E18" s="204"/>
      <c r="F18" s="204"/>
      <c r="G18" s="204"/>
      <c r="H18" s="204"/>
      <c r="I18" s="204"/>
      <c r="J18" s="204"/>
      <c r="K18" s="204"/>
      <c r="L18" s="204"/>
    </row>
    <row r="19" spans="2:12" x14ac:dyDescent="0.35">
      <c r="B19" s="204"/>
      <c r="C19" s="204"/>
      <c r="D19" s="204"/>
      <c r="E19" s="204"/>
      <c r="F19" s="204"/>
      <c r="G19" s="204"/>
      <c r="H19" s="204"/>
      <c r="I19" s="204"/>
      <c r="J19" s="204"/>
      <c r="K19" s="204"/>
      <c r="L19" s="204"/>
    </row>
    <row r="20" spans="2:12" x14ac:dyDescent="0.35">
      <c r="B20" s="204"/>
      <c r="C20" s="204"/>
      <c r="D20" s="204"/>
      <c r="E20" s="204"/>
      <c r="F20" s="204"/>
      <c r="G20" s="204"/>
      <c r="H20" s="204"/>
      <c r="I20" s="204"/>
      <c r="J20" s="204"/>
      <c r="K20" s="204"/>
      <c r="L20" s="204"/>
    </row>
    <row r="21" spans="2:12" x14ac:dyDescent="0.35">
      <c r="B21" s="204"/>
      <c r="C21" s="204"/>
      <c r="D21" s="204"/>
      <c r="E21" s="204"/>
      <c r="F21" s="204"/>
      <c r="G21" s="204"/>
      <c r="H21" s="204"/>
      <c r="I21" s="204"/>
      <c r="J21" s="204"/>
      <c r="K21" s="204"/>
      <c r="L21" s="204"/>
    </row>
    <row r="22" spans="2:12" x14ac:dyDescent="0.35">
      <c r="B22" s="204"/>
      <c r="C22" s="204"/>
      <c r="D22" s="204"/>
      <c r="E22" s="204"/>
      <c r="F22" s="204"/>
      <c r="G22" s="204"/>
      <c r="H22" s="204"/>
      <c r="I22" s="204"/>
      <c r="J22" s="204"/>
      <c r="K22" s="204"/>
      <c r="L22" s="204"/>
    </row>
    <row r="23" spans="2:12" x14ac:dyDescent="0.35">
      <c r="B23" s="204"/>
      <c r="C23" s="204"/>
      <c r="D23" s="204"/>
      <c r="E23" s="204"/>
      <c r="F23" s="204"/>
      <c r="G23" s="204"/>
      <c r="H23" s="204"/>
      <c r="I23" s="204"/>
      <c r="J23" s="204"/>
      <c r="K23" s="204"/>
      <c r="L23" s="204"/>
    </row>
    <row r="24" spans="2:12" x14ac:dyDescent="0.35">
      <c r="B24" s="204"/>
      <c r="C24" s="204"/>
      <c r="D24" s="204"/>
      <c r="E24" s="204"/>
      <c r="F24" s="204"/>
      <c r="G24" s="204"/>
      <c r="H24" s="204"/>
      <c r="I24" s="204"/>
      <c r="J24" s="204"/>
      <c r="K24" s="204"/>
      <c r="L24" s="204"/>
    </row>
    <row r="25" spans="2:12" x14ac:dyDescent="0.35">
      <c r="B25" s="204"/>
      <c r="C25" s="204"/>
      <c r="D25" s="204"/>
      <c r="E25" s="204"/>
      <c r="F25" s="204"/>
      <c r="G25" s="204"/>
      <c r="H25" s="204"/>
      <c r="I25" s="204"/>
      <c r="J25" s="204"/>
      <c r="K25" s="204"/>
      <c r="L25" s="204"/>
    </row>
    <row r="26" spans="2:12" x14ac:dyDescent="0.35">
      <c r="B26" s="204"/>
      <c r="C26" s="204"/>
      <c r="D26" s="204"/>
      <c r="E26" s="204"/>
      <c r="F26" s="204"/>
      <c r="G26" s="204"/>
      <c r="H26" s="204"/>
      <c r="I26" s="204"/>
      <c r="J26" s="204"/>
      <c r="K26" s="204"/>
      <c r="L26" s="204"/>
    </row>
    <row r="27" spans="2:12" x14ac:dyDescent="0.35">
      <c r="B27" s="204"/>
      <c r="C27" s="204"/>
      <c r="D27" s="204"/>
      <c r="E27" s="204"/>
      <c r="F27" s="204"/>
      <c r="G27" s="204"/>
      <c r="H27" s="204"/>
      <c r="I27" s="204"/>
      <c r="J27" s="204"/>
      <c r="K27" s="204"/>
      <c r="L27" s="204"/>
    </row>
    <row r="28" spans="2:12" x14ac:dyDescent="0.35">
      <c r="B28" s="204"/>
      <c r="C28" s="204"/>
      <c r="D28" s="204"/>
      <c r="E28" s="204"/>
      <c r="F28" s="204"/>
      <c r="G28" s="204"/>
      <c r="H28" s="204"/>
      <c r="I28" s="204"/>
      <c r="J28" s="204"/>
      <c r="K28" s="204"/>
      <c r="L28" s="204"/>
    </row>
    <row r="29" spans="2:12" x14ac:dyDescent="0.35">
      <c r="B29" s="204"/>
      <c r="C29" s="204"/>
      <c r="D29" s="204"/>
      <c r="E29" s="204"/>
      <c r="F29" s="204"/>
      <c r="G29" s="204"/>
      <c r="H29" s="204"/>
      <c r="I29" s="204"/>
      <c r="J29" s="204"/>
      <c r="K29" s="204"/>
      <c r="L29" s="204"/>
    </row>
    <row r="30" spans="2:12" x14ac:dyDescent="0.35">
      <c r="B30" s="204"/>
      <c r="C30" s="204"/>
      <c r="D30" s="204"/>
      <c r="E30" s="204"/>
      <c r="F30" s="204"/>
      <c r="G30" s="204"/>
      <c r="H30" s="204"/>
      <c r="I30" s="204"/>
      <c r="J30" s="204"/>
      <c r="K30" s="204"/>
      <c r="L30" s="204"/>
    </row>
    <row r="31" spans="2:12" x14ac:dyDescent="0.35">
      <c r="B31" s="204"/>
      <c r="C31" s="204"/>
      <c r="D31" s="204"/>
      <c r="E31" s="204"/>
      <c r="F31" s="204"/>
      <c r="G31" s="204"/>
      <c r="H31" s="204"/>
      <c r="I31" s="204"/>
      <c r="J31" s="204"/>
      <c r="K31" s="204"/>
      <c r="L31" s="204"/>
    </row>
    <row r="32" spans="2:12" x14ac:dyDescent="0.35">
      <c r="B32" s="204"/>
      <c r="C32" s="204"/>
      <c r="D32" s="204"/>
      <c r="E32" s="204"/>
      <c r="F32" s="204"/>
      <c r="G32" s="204"/>
      <c r="H32" s="204"/>
      <c r="I32" s="204"/>
      <c r="J32" s="204"/>
      <c r="K32" s="204"/>
      <c r="L32" s="204"/>
    </row>
    <row r="33" spans="2:12" x14ac:dyDescent="0.35">
      <c r="B33" s="204"/>
      <c r="C33" s="204"/>
      <c r="D33" s="204"/>
      <c r="E33" s="204"/>
      <c r="F33" s="204"/>
      <c r="G33" s="204"/>
      <c r="H33" s="204"/>
      <c r="I33" s="204"/>
      <c r="J33" s="204"/>
      <c r="K33" s="204"/>
      <c r="L33" s="204"/>
    </row>
    <row r="34" spans="2:12" x14ac:dyDescent="0.35">
      <c r="B34" s="204"/>
      <c r="C34" s="204"/>
      <c r="D34" s="204"/>
      <c r="E34" s="204"/>
      <c r="F34" s="204"/>
      <c r="G34" s="204"/>
      <c r="H34" s="204"/>
      <c r="I34" s="204"/>
      <c r="J34" s="204"/>
      <c r="K34" s="204"/>
      <c r="L34" s="204"/>
    </row>
    <row r="35" spans="2:12" x14ac:dyDescent="0.35">
      <c r="B35" s="204"/>
      <c r="C35" s="204"/>
      <c r="D35" s="204"/>
      <c r="E35" s="204"/>
      <c r="F35" s="204"/>
      <c r="G35" s="204"/>
      <c r="H35" s="204"/>
      <c r="I35" s="204"/>
      <c r="J35" s="204"/>
      <c r="K35" s="204"/>
      <c r="L35" s="204"/>
    </row>
    <row r="36" spans="2:12" x14ac:dyDescent="0.35">
      <c r="B36" s="204"/>
      <c r="C36" s="204"/>
      <c r="D36" s="204"/>
      <c r="E36" s="204"/>
      <c r="F36" s="204"/>
      <c r="G36" s="204"/>
      <c r="H36" s="204"/>
      <c r="I36" s="204"/>
      <c r="J36" s="204"/>
      <c r="K36" s="204"/>
      <c r="L36" s="204"/>
    </row>
    <row r="37" spans="2:12" x14ac:dyDescent="0.35">
      <c r="B37" s="204"/>
      <c r="C37" s="204"/>
      <c r="D37" s="204"/>
      <c r="E37" s="204"/>
      <c r="F37" s="204"/>
      <c r="G37" s="204"/>
      <c r="H37" s="204"/>
      <c r="I37" s="204"/>
      <c r="J37" s="204"/>
      <c r="K37" s="204"/>
      <c r="L37" s="204"/>
    </row>
    <row r="38" spans="2:12" x14ac:dyDescent="0.35">
      <c r="B38" s="204"/>
      <c r="C38" s="204"/>
      <c r="D38" s="204"/>
      <c r="E38" s="204"/>
      <c r="F38" s="204"/>
      <c r="G38" s="204"/>
      <c r="H38" s="204"/>
      <c r="I38" s="204"/>
      <c r="J38" s="204"/>
      <c r="K38" s="204"/>
      <c r="L38" s="204"/>
    </row>
    <row r="39" spans="2:12" x14ac:dyDescent="0.35">
      <c r="B39" s="204"/>
      <c r="C39" s="204"/>
      <c r="D39" s="204"/>
      <c r="E39" s="204"/>
      <c r="F39" s="204"/>
      <c r="G39" s="204"/>
      <c r="H39" s="204"/>
      <c r="I39" s="204"/>
      <c r="J39" s="204"/>
      <c r="K39" s="204"/>
      <c r="L39" s="204"/>
    </row>
    <row r="40" spans="2:12" x14ac:dyDescent="0.35">
      <c r="B40" s="204"/>
      <c r="C40" s="204"/>
      <c r="D40" s="204"/>
      <c r="E40" s="204"/>
      <c r="F40" s="204"/>
      <c r="G40" s="204"/>
      <c r="H40" s="204"/>
      <c r="I40" s="204"/>
      <c r="J40" s="204"/>
      <c r="K40" s="204"/>
      <c r="L40" s="204"/>
    </row>
    <row r="41" spans="2:12" x14ac:dyDescent="0.35">
      <c r="B41" s="204"/>
      <c r="C41" s="204"/>
      <c r="D41" s="204"/>
      <c r="E41" s="204"/>
      <c r="F41" s="204"/>
      <c r="G41" s="204"/>
      <c r="H41" s="204"/>
      <c r="I41" s="204"/>
      <c r="J41" s="204"/>
      <c r="K41" s="204"/>
      <c r="L41" s="204"/>
    </row>
    <row r="42" spans="2:12" x14ac:dyDescent="0.35">
      <c r="B42" s="204"/>
      <c r="C42" s="204"/>
      <c r="D42" s="204"/>
      <c r="E42" s="204"/>
      <c r="F42" s="204"/>
      <c r="G42" s="204"/>
      <c r="H42" s="204"/>
      <c r="I42" s="204"/>
      <c r="J42" s="204"/>
      <c r="K42" s="204"/>
      <c r="L42" s="204"/>
    </row>
    <row r="43" spans="2:12" x14ac:dyDescent="0.35">
      <c r="B43" s="204"/>
      <c r="C43" s="204"/>
      <c r="D43" s="204"/>
      <c r="E43" s="204"/>
      <c r="F43" s="204"/>
      <c r="G43" s="204"/>
      <c r="H43" s="204"/>
      <c r="I43" s="204"/>
      <c r="J43" s="204"/>
      <c r="K43" s="204"/>
      <c r="L43" s="204"/>
    </row>
    <row r="44" spans="2:12" x14ac:dyDescent="0.35">
      <c r="B44" s="204"/>
      <c r="C44" s="204"/>
      <c r="D44" s="204"/>
      <c r="E44" s="204"/>
      <c r="F44" s="204"/>
      <c r="G44" s="204"/>
      <c r="H44" s="204"/>
      <c r="I44" s="204"/>
      <c r="J44" s="204"/>
      <c r="K44" s="204"/>
      <c r="L44" s="204"/>
    </row>
    <row r="45" spans="2:12" x14ac:dyDescent="0.35">
      <c r="B45" s="204"/>
      <c r="C45" s="204"/>
      <c r="D45" s="204"/>
      <c r="E45" s="204"/>
      <c r="F45" s="204"/>
      <c r="G45" s="204"/>
      <c r="H45" s="204"/>
      <c r="I45" s="204"/>
      <c r="J45" s="204"/>
      <c r="K45" s="204"/>
      <c r="L45" s="204"/>
    </row>
    <row r="46" spans="2:12" x14ac:dyDescent="0.35">
      <c r="B46" s="204"/>
      <c r="C46" s="204"/>
      <c r="D46" s="204"/>
      <c r="E46" s="204"/>
      <c r="F46" s="204"/>
      <c r="G46" s="204"/>
      <c r="H46" s="204"/>
      <c r="I46" s="204"/>
      <c r="J46" s="204"/>
      <c r="K46" s="204"/>
      <c r="L46" s="204"/>
    </row>
    <row r="47" spans="2:12" x14ac:dyDescent="0.35">
      <c r="B47" s="204"/>
      <c r="C47" s="204"/>
      <c r="D47" s="204"/>
      <c r="E47" s="204"/>
      <c r="F47" s="204"/>
      <c r="G47" s="204"/>
      <c r="H47" s="204"/>
      <c r="I47" s="204"/>
      <c r="J47" s="204"/>
      <c r="K47" s="204"/>
      <c r="L47" s="204"/>
    </row>
    <row r="48" spans="2:12" x14ac:dyDescent="0.35">
      <c r="B48" s="204"/>
      <c r="C48" s="204"/>
      <c r="D48" s="204"/>
      <c r="E48" s="204"/>
      <c r="F48" s="204"/>
      <c r="G48" s="204"/>
      <c r="H48" s="204"/>
      <c r="I48" s="204"/>
      <c r="J48" s="204"/>
      <c r="K48" s="204"/>
      <c r="L48" s="204"/>
    </row>
    <row r="49" spans="2:12" x14ac:dyDescent="0.35">
      <c r="B49" s="204"/>
      <c r="C49" s="204"/>
      <c r="D49" s="204"/>
      <c r="E49" s="204"/>
      <c r="F49" s="204"/>
      <c r="G49" s="204"/>
      <c r="H49" s="204"/>
      <c r="I49" s="204"/>
      <c r="J49" s="204"/>
      <c r="K49" s="204"/>
      <c r="L49" s="204"/>
    </row>
    <row r="50" spans="2:12" x14ac:dyDescent="0.35">
      <c r="B50" s="204"/>
      <c r="C50" s="204"/>
      <c r="D50" s="204"/>
      <c r="E50" s="204"/>
      <c r="F50" s="204"/>
      <c r="G50" s="204"/>
      <c r="H50" s="204"/>
      <c r="I50" s="204"/>
      <c r="J50" s="204"/>
      <c r="K50" s="204"/>
      <c r="L50" s="204"/>
    </row>
    <row r="51" spans="2:12" x14ac:dyDescent="0.35">
      <c r="B51" s="204"/>
      <c r="C51" s="204"/>
      <c r="D51" s="204"/>
      <c r="E51" s="204"/>
      <c r="F51" s="204"/>
      <c r="G51" s="204"/>
      <c r="H51" s="204"/>
      <c r="I51" s="204"/>
      <c r="J51" s="204"/>
      <c r="K51" s="204"/>
      <c r="L51" s="204"/>
    </row>
    <row r="52" spans="2:12" x14ac:dyDescent="0.35">
      <c r="B52" s="204"/>
      <c r="C52" s="204"/>
      <c r="D52" s="204"/>
      <c r="E52" s="204"/>
      <c r="F52" s="204"/>
      <c r="G52" s="204"/>
      <c r="H52" s="204"/>
      <c r="I52" s="204"/>
      <c r="J52" s="204"/>
      <c r="K52" s="204"/>
      <c r="L52" s="204"/>
    </row>
    <row r="53" spans="2:12" x14ac:dyDescent="0.35">
      <c r="B53" s="204"/>
      <c r="C53" s="204"/>
      <c r="D53" s="204"/>
      <c r="E53" s="204"/>
      <c r="F53" s="204"/>
      <c r="G53" s="204"/>
      <c r="H53" s="204"/>
      <c r="I53" s="204"/>
      <c r="J53" s="204"/>
      <c r="K53" s="204"/>
      <c r="L53" s="204"/>
    </row>
    <row r="54" spans="2:12" x14ac:dyDescent="0.35">
      <c r="B54" s="204"/>
      <c r="C54" s="204"/>
      <c r="D54" s="204"/>
      <c r="E54" s="204"/>
      <c r="F54" s="204"/>
      <c r="G54" s="204"/>
      <c r="H54" s="204"/>
      <c r="I54" s="204"/>
      <c r="J54" s="204"/>
      <c r="K54" s="204"/>
      <c r="L54" s="204"/>
    </row>
    <row r="55" spans="2:12" x14ac:dyDescent="0.35">
      <c r="B55" s="204"/>
      <c r="C55" s="204"/>
      <c r="D55" s="204"/>
      <c r="E55" s="204"/>
      <c r="F55" s="204"/>
      <c r="G55" s="204"/>
      <c r="H55" s="204"/>
      <c r="I55" s="204"/>
      <c r="J55" s="204"/>
      <c r="K55" s="204"/>
      <c r="L55" s="204"/>
    </row>
    <row r="56" spans="2:12" x14ac:dyDescent="0.35">
      <c r="B56" s="204"/>
      <c r="C56" s="204"/>
      <c r="D56" s="204"/>
      <c r="E56" s="204"/>
      <c r="F56" s="204"/>
      <c r="G56" s="204"/>
      <c r="H56" s="204"/>
      <c r="I56" s="204"/>
      <c r="J56" s="204"/>
      <c r="K56" s="204"/>
      <c r="L56" s="204"/>
    </row>
    <row r="57" spans="2:12" x14ac:dyDescent="0.35">
      <c r="B57" s="204"/>
      <c r="C57" s="204"/>
      <c r="D57" s="204"/>
      <c r="E57" s="204"/>
      <c r="F57" s="204"/>
      <c r="G57" s="204"/>
      <c r="H57" s="204"/>
      <c r="I57" s="204"/>
      <c r="J57" s="204"/>
      <c r="K57" s="204"/>
      <c r="L57" s="204"/>
    </row>
    <row r="58" spans="2:12" x14ac:dyDescent="0.35">
      <c r="B58" s="204"/>
      <c r="C58" s="204"/>
      <c r="D58" s="204"/>
      <c r="E58" s="204"/>
      <c r="F58" s="204"/>
      <c r="G58" s="204"/>
      <c r="H58" s="204"/>
      <c r="I58" s="204"/>
      <c r="J58" s="204"/>
      <c r="K58" s="204"/>
      <c r="L58" s="204"/>
    </row>
    <row r="59" spans="2:12" x14ac:dyDescent="0.35">
      <c r="B59" s="204"/>
      <c r="C59" s="204"/>
      <c r="D59" s="204"/>
      <c r="E59" s="204"/>
      <c r="F59" s="204"/>
      <c r="G59" s="204"/>
      <c r="H59" s="204"/>
      <c r="I59" s="204"/>
      <c r="J59" s="204"/>
      <c r="K59" s="204"/>
      <c r="L59" s="204"/>
    </row>
    <row r="60" spans="2:12" x14ac:dyDescent="0.35">
      <c r="B60" s="204"/>
      <c r="C60" s="204"/>
      <c r="D60" s="204"/>
      <c r="E60" s="204"/>
      <c r="F60" s="204"/>
      <c r="G60" s="204"/>
      <c r="H60" s="204"/>
      <c r="I60" s="204"/>
      <c r="J60" s="204"/>
      <c r="K60" s="204"/>
      <c r="L60" s="204"/>
    </row>
    <row r="61" spans="2:12" x14ac:dyDescent="0.35">
      <c r="B61" s="204"/>
      <c r="C61" s="204"/>
      <c r="D61" s="204"/>
      <c r="E61" s="204"/>
      <c r="F61" s="204"/>
      <c r="G61" s="204"/>
      <c r="H61" s="204"/>
      <c r="I61" s="204"/>
      <c r="J61" s="204"/>
      <c r="K61" s="204"/>
      <c r="L61" s="204"/>
    </row>
    <row r="62" spans="2:12" x14ac:dyDescent="0.35">
      <c r="B62" s="204"/>
      <c r="C62" s="204"/>
      <c r="D62" s="204"/>
      <c r="E62" s="204"/>
      <c r="F62" s="204"/>
      <c r="G62" s="204"/>
      <c r="H62" s="204"/>
      <c r="I62" s="204"/>
      <c r="J62" s="204"/>
      <c r="K62" s="204"/>
      <c r="L62" s="204"/>
    </row>
    <row r="63" spans="2:12" x14ac:dyDescent="0.35">
      <c r="B63" s="204"/>
      <c r="C63" s="204"/>
      <c r="D63" s="204"/>
      <c r="E63" s="204"/>
      <c r="F63" s="204"/>
      <c r="G63" s="204"/>
      <c r="H63" s="204"/>
      <c r="I63" s="204"/>
      <c r="J63" s="204"/>
      <c r="K63" s="204"/>
      <c r="L63" s="204"/>
    </row>
    <row r="64" spans="2:12" x14ac:dyDescent="0.35">
      <c r="B64" s="204"/>
      <c r="C64" s="204"/>
      <c r="D64" s="204"/>
      <c r="E64" s="204"/>
      <c r="F64" s="204"/>
      <c r="G64" s="204"/>
      <c r="H64" s="204"/>
      <c r="I64" s="204"/>
      <c r="J64" s="204"/>
      <c r="K64" s="204"/>
      <c r="L64" s="204"/>
    </row>
    <row r="65" spans="2:12" x14ac:dyDescent="0.35">
      <c r="B65" s="204"/>
      <c r="C65" s="204"/>
      <c r="D65" s="204"/>
      <c r="E65" s="204"/>
      <c r="F65" s="204"/>
      <c r="G65" s="204"/>
      <c r="H65" s="204"/>
      <c r="I65" s="204"/>
      <c r="J65" s="204"/>
      <c r="K65" s="204"/>
      <c r="L65" s="204"/>
    </row>
    <row r="66" spans="2:12" x14ac:dyDescent="0.35">
      <c r="B66" s="204"/>
      <c r="C66" s="204"/>
      <c r="D66" s="204"/>
      <c r="E66" s="204"/>
      <c r="F66" s="204"/>
      <c r="G66" s="204"/>
      <c r="H66" s="204"/>
      <c r="I66" s="204"/>
      <c r="J66" s="204"/>
      <c r="K66" s="204"/>
      <c r="L66" s="204"/>
    </row>
    <row r="67" spans="2:12" x14ac:dyDescent="0.35">
      <c r="B67" s="204"/>
      <c r="C67" s="204"/>
      <c r="D67" s="204"/>
      <c r="E67" s="204"/>
      <c r="F67" s="204"/>
      <c r="G67" s="204"/>
      <c r="H67" s="204"/>
      <c r="I67" s="204"/>
      <c r="J67" s="204"/>
      <c r="K67" s="204"/>
      <c r="L67" s="204"/>
    </row>
    <row r="68" spans="2:12" x14ac:dyDescent="0.35">
      <c r="B68" s="204"/>
      <c r="C68" s="204"/>
      <c r="D68" s="204"/>
      <c r="E68" s="204"/>
      <c r="F68" s="204"/>
      <c r="G68" s="204"/>
      <c r="H68" s="204"/>
      <c r="I68" s="204"/>
      <c r="J68" s="204"/>
      <c r="K68" s="204"/>
      <c r="L68" s="204"/>
    </row>
    <row r="69" spans="2:12" x14ac:dyDescent="0.35">
      <c r="B69" s="204"/>
      <c r="C69" s="204"/>
      <c r="D69" s="204"/>
      <c r="E69" s="204"/>
      <c r="F69" s="204"/>
      <c r="G69" s="204"/>
      <c r="H69" s="204"/>
      <c r="I69" s="204"/>
      <c r="J69" s="204"/>
      <c r="K69" s="204"/>
      <c r="L69" s="204"/>
    </row>
    <row r="70" spans="2:12" x14ac:dyDescent="0.35">
      <c r="B70" s="204"/>
      <c r="C70" s="204"/>
      <c r="D70" s="204"/>
      <c r="E70" s="204"/>
      <c r="F70" s="204"/>
      <c r="G70" s="204"/>
      <c r="H70" s="204"/>
      <c r="I70" s="204"/>
      <c r="J70" s="204"/>
      <c r="K70" s="204"/>
      <c r="L70" s="204"/>
    </row>
    <row r="71" spans="2:12" x14ac:dyDescent="0.35">
      <c r="B71" s="204"/>
      <c r="C71" s="204"/>
      <c r="D71" s="204"/>
      <c r="E71" s="204"/>
      <c r="F71" s="204"/>
      <c r="G71" s="204"/>
      <c r="H71" s="204"/>
      <c r="I71" s="204"/>
      <c r="J71" s="204"/>
      <c r="K71" s="204"/>
      <c r="L71" s="204"/>
    </row>
    <row r="72" spans="2:12" x14ac:dyDescent="0.35">
      <c r="B72" s="204"/>
      <c r="C72" s="204"/>
      <c r="D72" s="204"/>
      <c r="E72" s="204"/>
      <c r="F72" s="204"/>
      <c r="G72" s="204"/>
      <c r="H72" s="204"/>
      <c r="I72" s="204"/>
      <c r="J72" s="204"/>
      <c r="K72" s="204"/>
      <c r="L72" s="204"/>
    </row>
    <row r="73" spans="2:12" x14ac:dyDescent="0.35">
      <c r="B73" s="204"/>
      <c r="C73" s="204"/>
      <c r="D73" s="204"/>
      <c r="E73" s="204"/>
      <c r="F73" s="204"/>
      <c r="G73" s="204"/>
      <c r="H73" s="204"/>
      <c r="I73" s="204"/>
      <c r="J73" s="204"/>
      <c r="K73" s="204"/>
      <c r="L73" s="204"/>
    </row>
    <row r="74" spans="2:12" x14ac:dyDescent="0.35">
      <c r="B74" s="204"/>
      <c r="C74" s="204"/>
      <c r="D74" s="204"/>
      <c r="E74" s="204"/>
      <c r="F74" s="204"/>
      <c r="G74" s="204"/>
      <c r="H74" s="204"/>
      <c r="I74" s="204"/>
      <c r="J74" s="204"/>
      <c r="K74" s="204"/>
      <c r="L74" s="204"/>
    </row>
    <row r="75" spans="2:12" x14ac:dyDescent="0.35">
      <c r="B75" s="204"/>
      <c r="C75" s="204"/>
      <c r="D75" s="204"/>
      <c r="E75" s="204"/>
      <c r="F75" s="204"/>
      <c r="G75" s="204"/>
      <c r="H75" s="204"/>
      <c r="I75" s="204"/>
      <c r="J75" s="204"/>
      <c r="K75" s="204"/>
      <c r="L75" s="204"/>
    </row>
    <row r="76" spans="2:12" x14ac:dyDescent="0.35">
      <c r="B76" s="204"/>
      <c r="C76" s="204"/>
      <c r="D76" s="204"/>
      <c r="E76" s="204"/>
      <c r="F76" s="204"/>
      <c r="G76" s="204"/>
      <c r="H76" s="204"/>
      <c r="I76" s="204"/>
      <c r="J76" s="204"/>
      <c r="K76" s="204"/>
      <c r="L76" s="204"/>
    </row>
    <row r="77" spans="2:12" x14ac:dyDescent="0.35">
      <c r="B77" s="204"/>
      <c r="C77" s="204"/>
      <c r="D77" s="204"/>
      <c r="E77" s="204"/>
      <c r="F77" s="204"/>
      <c r="G77" s="204"/>
      <c r="H77" s="204"/>
      <c r="I77" s="204"/>
      <c r="J77" s="204"/>
      <c r="K77" s="204"/>
      <c r="L77" s="204"/>
    </row>
    <row r="78" spans="2:12" x14ac:dyDescent="0.35">
      <c r="B78" s="204"/>
      <c r="C78" s="204"/>
      <c r="D78" s="204"/>
      <c r="E78" s="204"/>
      <c r="F78" s="204"/>
      <c r="G78" s="204"/>
      <c r="H78" s="204"/>
      <c r="I78" s="204"/>
      <c r="J78" s="204"/>
      <c r="K78" s="204"/>
      <c r="L78" s="204"/>
    </row>
    <row r="79" spans="2:12" x14ac:dyDescent="0.35">
      <c r="B79" s="204"/>
      <c r="C79" s="204"/>
      <c r="D79" s="204"/>
      <c r="E79" s="204"/>
      <c r="F79" s="204"/>
      <c r="G79" s="204"/>
      <c r="H79" s="204"/>
      <c r="I79" s="204"/>
      <c r="J79" s="204"/>
      <c r="K79" s="204"/>
      <c r="L79" s="204"/>
    </row>
  </sheetData>
  <sheetProtection algorithmName="SHA-512" hashValue="oEehGmbT9hj44TEyuE526xdOm5hegoqNDYgqN7KilUcmwI5frXNJZVsXoOn33OmhbDgLTc8xZ0AQ+Ia8KuRpcQ==" saltValue="XGbE/tB/eZE2gp5hncfWxQ==" spinCount="100000" sheet="1" objects="1" scenarios="1"/>
  <mergeCells count="1">
    <mergeCell ref="B5:L79"/>
  </mergeCells>
  <pageMargins left="0.7" right="0.7" top="0.75" bottom="0.75" header="0.3" footer="0.3"/>
  <pageSetup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2CC"/>
    <outlinePr summaryBelow="0"/>
    <pageSetUpPr fitToPage="1"/>
  </sheetPr>
  <dimension ref="B1:CU476"/>
  <sheetViews>
    <sheetView showGridLines="0" tabSelected="1" topLeftCell="A7" zoomScale="70" zoomScaleNormal="70" workbookViewId="0">
      <selection activeCell="DA51" sqref="DA51"/>
    </sheetView>
  </sheetViews>
  <sheetFormatPr defaultColWidth="9.1796875" defaultRowHeight="14.5" outlineLevelRow="1" x14ac:dyDescent="0.35"/>
  <cols>
    <col min="1" max="1" width="2.81640625" customWidth="1"/>
    <col min="2" max="2" width="22" hidden="1" customWidth="1"/>
    <col min="3" max="3" width="23.54296875" customWidth="1" collapsed="1"/>
    <col min="4" max="4" width="23.54296875" customWidth="1"/>
    <col min="5" max="5" width="2.81640625" customWidth="1"/>
    <col min="6" max="9" width="28.7265625" customWidth="1"/>
    <col min="10" max="10" width="7.26953125" customWidth="1"/>
    <col min="11" max="11" width="10.7265625" hidden="1" customWidth="1"/>
    <col min="12" max="12" width="7.26953125" hidden="1" customWidth="1"/>
    <col min="13" max="13" width="32.7265625" hidden="1" customWidth="1"/>
    <col min="14" max="14" width="22.81640625" hidden="1" customWidth="1"/>
    <col min="15" max="15" width="15" hidden="1" customWidth="1"/>
    <col min="16" max="26" width="7.26953125" hidden="1" customWidth="1"/>
    <col min="27" max="27" width="44" hidden="1" customWidth="1"/>
    <col min="28" max="28" width="15.26953125" hidden="1" customWidth="1"/>
    <col min="29" max="38" width="16" hidden="1" customWidth="1"/>
    <col min="39" max="39" width="13.81640625" hidden="1" customWidth="1"/>
    <col min="40" max="41" width="7.26953125" hidden="1" customWidth="1"/>
    <col min="42" max="42" width="21.453125" hidden="1" customWidth="1"/>
    <col min="43" max="51" width="7.26953125" hidden="1" customWidth="1"/>
    <col min="52" max="52" width="22.453125" hidden="1" customWidth="1"/>
    <col min="53" max="54" width="7.26953125" hidden="1" customWidth="1"/>
    <col min="55" max="55" width="15.453125" hidden="1" customWidth="1"/>
    <col min="56" max="78" width="7.26953125" hidden="1" customWidth="1"/>
    <col min="79" max="92" width="16.54296875" hidden="1" customWidth="1"/>
    <col min="93" max="94" width="7.26953125" hidden="1" customWidth="1"/>
    <col min="95" max="98" width="9.1796875" hidden="1" customWidth="1"/>
    <col min="99" max="99" width="0" hidden="1" customWidth="1" collapsed="1"/>
    <col min="100" max="100" width="0" hidden="1" customWidth="1"/>
  </cols>
  <sheetData>
    <row r="1" spans="2:92" ht="24.75" hidden="1" customHeight="1" x14ac:dyDescent="0.35">
      <c r="M1" s="195" t="s">
        <v>162</v>
      </c>
      <c r="O1" s="196">
        <f ca="1">SUMIF($M:$M,M1,K:K)</f>
        <v>0</v>
      </c>
      <c r="P1" t="b">
        <f t="shared" ref="P1:P6" si="0">IF(COUNTIFS(L:L,FALSE,M:M,M1)&gt;0,FALSE,TRUE)</f>
        <v>1</v>
      </c>
    </row>
    <row r="2" spans="2:92" ht="24.75" hidden="1" customHeight="1" x14ac:dyDescent="0.35">
      <c r="M2" s="195" t="s">
        <v>150</v>
      </c>
      <c r="O2" s="196">
        <f t="shared" ref="O2:O5" ca="1" si="1">SUMIF($M:$M,M2,K:K)</f>
        <v>0</v>
      </c>
      <c r="P2" t="b">
        <f t="shared" si="0"/>
        <v>1</v>
      </c>
    </row>
    <row r="3" spans="2:92" ht="24.75" hidden="1" customHeight="1" x14ac:dyDescent="0.35">
      <c r="M3" s="195" t="s">
        <v>128</v>
      </c>
      <c r="O3" s="196">
        <f t="shared" ca="1" si="1"/>
        <v>0</v>
      </c>
      <c r="P3" t="b">
        <f t="shared" si="0"/>
        <v>1</v>
      </c>
    </row>
    <row r="4" spans="2:92" ht="24.75" hidden="1" customHeight="1" x14ac:dyDescent="0.35">
      <c r="M4" s="195" t="s">
        <v>169</v>
      </c>
      <c r="O4" s="196">
        <f t="shared" ca="1" si="1"/>
        <v>0</v>
      </c>
      <c r="P4" t="b">
        <f t="shared" si="0"/>
        <v>1</v>
      </c>
    </row>
    <row r="5" spans="2:92" ht="24.75" hidden="1" customHeight="1" x14ac:dyDescent="0.35">
      <c r="M5" s="195" t="s">
        <v>167</v>
      </c>
      <c r="O5" s="196">
        <f t="shared" ca="1" si="1"/>
        <v>0</v>
      </c>
      <c r="P5" t="b">
        <f t="shared" si="0"/>
        <v>1</v>
      </c>
    </row>
    <row r="6" spans="2:92" ht="24.75" hidden="1" customHeight="1" x14ac:dyDescent="0.35">
      <c r="M6" s="195" t="s">
        <v>546</v>
      </c>
      <c r="O6" s="196">
        <f ca="1">SUMIF($M:$M,M6,K:K)</f>
        <v>0</v>
      </c>
      <c r="P6" t="b">
        <f t="shared" si="0"/>
        <v>1</v>
      </c>
    </row>
    <row r="7" spans="2:92" ht="51.75" customHeight="1" collapsed="1" x14ac:dyDescent="0.35">
      <c r="C7" s="53"/>
      <c r="D7" s="53"/>
      <c r="F7" s="169" t="e">
        <f ca="1">N11</f>
        <v>#N/A</v>
      </c>
      <c r="G7" s="169" t="str">
        <f ca="1">INDEX(AA12:AA38,MATCH(P12,Z12:Z38,0))</f>
        <v>Offererad produktnr. 01Qlosr Göteborg AB</v>
      </c>
      <c r="H7" s="169" t="str">
        <f ca="1">INDEX(AA12:AA38,MATCH(P13,Z12:Z38,0))</f>
        <v>Offererad produktnr. 01Dustin Sverige AB</v>
      </c>
      <c r="I7" s="169" t="str">
        <f ca="1">INDEX(AA12:AA38,MATCH(P14,Z12:Z38,0))</f>
        <v>Offererad produktnr. 03Qlosr Göteborg AB</v>
      </c>
      <c r="J7" s="54"/>
      <c r="AR7" s="12" t="s">
        <v>124</v>
      </c>
      <c r="AS7" s="12" t="s">
        <v>124</v>
      </c>
      <c r="AT7" s="12" t="s">
        <v>124</v>
      </c>
      <c r="AU7" s="12" t="s">
        <v>124</v>
      </c>
      <c r="AV7" s="12" t="s">
        <v>124</v>
      </c>
      <c r="AW7" s="12" t="s">
        <v>124</v>
      </c>
      <c r="AX7" s="12" t="s">
        <v>124</v>
      </c>
      <c r="AY7" s="12" t="s">
        <v>124</v>
      </c>
      <c r="AZ7" s="12" t="s">
        <v>124</v>
      </c>
      <c r="BA7" s="12" t="s">
        <v>124</v>
      </c>
      <c r="BB7" s="12" t="s">
        <v>124</v>
      </c>
      <c r="BC7" s="12" t="s">
        <v>124</v>
      </c>
      <c r="BD7" s="12" t="s">
        <v>124</v>
      </c>
      <c r="BE7" s="12" t="s">
        <v>124</v>
      </c>
      <c r="BF7" s="12" t="s">
        <v>124</v>
      </c>
      <c r="BG7" s="12" t="s">
        <v>124</v>
      </c>
      <c r="BH7" s="12" t="s">
        <v>124</v>
      </c>
      <c r="BI7" s="12" t="s">
        <v>124</v>
      </c>
      <c r="BJ7" s="12" t="s">
        <v>124</v>
      </c>
      <c r="BK7" s="12" t="s">
        <v>124</v>
      </c>
      <c r="BL7" s="12" t="s">
        <v>124</v>
      </c>
      <c r="BM7" s="12" t="s">
        <v>124</v>
      </c>
      <c r="BN7" s="12" t="s">
        <v>124</v>
      </c>
      <c r="BO7" s="12" t="s">
        <v>124</v>
      </c>
      <c r="BP7" s="12" t="s">
        <v>124</v>
      </c>
      <c r="BQ7" s="12" t="s">
        <v>124</v>
      </c>
      <c r="BR7" s="12" t="s">
        <v>124</v>
      </c>
      <c r="BS7" s="12" t="s">
        <v>124</v>
      </c>
      <c r="BT7" s="12" t="s">
        <v>124</v>
      </c>
      <c r="BU7" s="12" t="s">
        <v>124</v>
      </c>
      <c r="BV7" s="12" t="s">
        <v>124</v>
      </c>
      <c r="BW7" s="12" t="s">
        <v>124</v>
      </c>
      <c r="BX7" s="12"/>
      <c r="BY7" s="12" t="s">
        <v>124</v>
      </c>
      <c r="BZ7" s="12" t="s">
        <v>124</v>
      </c>
      <c r="CA7" s="12"/>
      <c r="CB7" s="12"/>
      <c r="CC7" s="12"/>
      <c r="CD7" s="12"/>
      <c r="CE7" s="12"/>
      <c r="CF7" s="12"/>
      <c r="CG7" s="12"/>
      <c r="CH7" s="12"/>
      <c r="CI7" s="12"/>
      <c r="CJ7" s="12"/>
      <c r="CK7" s="12"/>
      <c r="CL7" s="12"/>
      <c r="CM7" s="12"/>
      <c r="CN7" s="12"/>
    </row>
    <row r="8" spans="2:92" ht="33" customHeight="1" thickBot="1" x14ac:dyDescent="0.4">
      <c r="C8" s="53"/>
      <c r="D8" s="53"/>
      <c r="F8" s="140" t="s">
        <v>446</v>
      </c>
      <c r="G8" s="205" t="s">
        <v>447</v>
      </c>
      <c r="H8" s="205"/>
      <c r="I8" s="205"/>
      <c r="J8" s="54"/>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row>
    <row r="9" spans="2:92" ht="51.75" customHeight="1" thickBot="1" x14ac:dyDescent="0.4">
      <c r="B9" t="str">
        <f ca="1" xml:space="preserve"> "Produkt "  &amp; B10</f>
        <v>Produkt 1</v>
      </c>
      <c r="C9" s="206" t="str">
        <f>IF(F10="Ingen produkt motsvarar","Felmeddelande",IF(COUNTIF($P$1:$P$6,TRUE)&gt;0,"","Felmeddelande"))</f>
        <v/>
      </c>
      <c r="D9" s="207"/>
      <c r="F9" s="208" t="s">
        <v>271</v>
      </c>
      <c r="G9" s="209"/>
      <c r="H9" s="209"/>
      <c r="I9" s="209"/>
      <c r="J9" s="55"/>
      <c r="O9">
        <v>1</v>
      </c>
      <c r="AR9" s="13" t="str">
        <f>AR11</f>
        <v>Upplösning</v>
      </c>
      <c r="AS9" s="13" t="str">
        <f t="shared" ref="AS9:BF9" si="2">AS11</f>
        <v>Processor</v>
      </c>
      <c r="AT9" s="13" t="str">
        <f t="shared" si="2"/>
        <v>Internminne (GB)</v>
      </c>
      <c r="AU9" s="13" t="str">
        <f t="shared" si="2"/>
        <v>Hårddisk</v>
      </c>
      <c r="AV9" s="13" t="str">
        <f t="shared" si="2"/>
        <v>Skärmstorlek (tum)</v>
      </c>
      <c r="AW9" s="13" t="str">
        <f t="shared" si="2"/>
        <v>Portar USB</v>
      </c>
      <c r="AX9" s="13" t="str">
        <f t="shared" si="2"/>
        <v>Portar USB C</v>
      </c>
      <c r="AY9" s="13" t="str">
        <f t="shared" si="2"/>
        <v>Portar HDMI/Display</v>
      </c>
      <c r="AZ9" s="13" t="str">
        <f t="shared" si="2"/>
        <v>Kommunikation WLAN</v>
      </c>
      <c r="BA9" s="13" t="str">
        <f t="shared" si="2"/>
        <v>Kommunikation Bluetooth</v>
      </c>
      <c r="BB9" s="13" t="str">
        <f t="shared" si="2"/>
        <v>Batteritid (tim)</v>
      </c>
      <c r="BC9" s="13" t="str">
        <f t="shared" si="2"/>
        <v>Energiprestanda</v>
      </c>
      <c r="BD9" s="13" t="str">
        <f t="shared" si="2"/>
        <v>Låsskydd</v>
      </c>
      <c r="BE9" s="13" t="str">
        <f t="shared" si="2"/>
        <v>Operativsystem</v>
      </c>
      <c r="BF9" s="13" t="str">
        <f t="shared" si="2"/>
        <v>Modellbenämning</v>
      </c>
      <c r="BG9" t="s">
        <v>224</v>
      </c>
      <c r="BH9" s="56" t="s">
        <v>53</v>
      </c>
      <c r="BI9" s="56" t="s">
        <v>54</v>
      </c>
      <c r="BJ9" s="56" t="s">
        <v>55</v>
      </c>
      <c r="BK9" s="56" t="s">
        <v>59</v>
      </c>
      <c r="BL9" s="57" t="s">
        <v>228</v>
      </c>
      <c r="BM9" s="57" t="s">
        <v>229</v>
      </c>
      <c r="BN9" s="57" t="s">
        <v>230</v>
      </c>
      <c r="BO9" s="57" t="s">
        <v>231</v>
      </c>
      <c r="BP9" s="57" t="s">
        <v>340</v>
      </c>
      <c r="BQ9" s="57" t="s">
        <v>341</v>
      </c>
      <c r="BR9" s="57" t="s">
        <v>342</v>
      </c>
      <c r="BS9" s="57" t="s">
        <v>343</v>
      </c>
      <c r="BT9" s="57" t="s">
        <v>345</v>
      </c>
      <c r="BU9" s="57" t="s">
        <v>346</v>
      </c>
      <c r="BV9" s="57" t="s">
        <v>347</v>
      </c>
      <c r="BW9" s="57" t="s">
        <v>348</v>
      </c>
      <c r="BX9" s="57"/>
      <c r="BY9" s="57" t="s">
        <v>6</v>
      </c>
      <c r="BZ9" s="4" t="s">
        <v>51</v>
      </c>
      <c r="CA9" s="13"/>
      <c r="CB9" s="13"/>
      <c r="CC9" s="13"/>
      <c r="CD9" s="13"/>
      <c r="CE9" s="13"/>
      <c r="CF9" s="13"/>
      <c r="CG9" s="13"/>
      <c r="CH9" s="13"/>
      <c r="CI9" s="13"/>
      <c r="CJ9" s="13"/>
      <c r="CK9" s="13"/>
      <c r="CL9" s="13"/>
      <c r="CM9" s="13"/>
      <c r="CN9" s="13"/>
    </row>
    <row r="10" spans="2:92" ht="22.5" customHeight="1" x14ac:dyDescent="0.35">
      <c r="B10">
        <f ca="1">COUNTIF($F$7:F13,"Produkt I varukorg*")</f>
        <v>1</v>
      </c>
      <c r="C10" t="s">
        <v>474</v>
      </c>
      <c r="F10" s="187" t="str" cm="1">
        <f t="array" ref="F10">IF(D49&lt;1,"Inget antal angivet",IFERROR(INDEX($Z12:$Z38,MATCH(F7,$AA12:$AA38,0),0),"Ingen produkt motsvarar"))</f>
        <v>Inget antal angivet</v>
      </c>
      <c r="G10" s="188">
        <f ca="1">IFERROR(P12,"Ingen produkt motsvarar")</f>
        <v>6420</v>
      </c>
      <c r="H10" s="188">
        <f ca="1">IFERROR(P13,"")</f>
        <v>7599</v>
      </c>
      <c r="I10" s="188">
        <f ca="1">IFERROR(P14,"")</f>
        <v>7640</v>
      </c>
      <c r="J10" s="54"/>
      <c r="AA10" t="str">
        <f>IF(COUNTIF(AB10:AK10,FALSE)&gt;0,AP10,"")</f>
        <v/>
      </c>
      <c r="AB10" t="b">
        <f>IF($D$15="",TRUE,IF(AR10=$D$15,TRUE,FALSE))</f>
        <v>1</v>
      </c>
      <c r="AC10" t="b">
        <f>IF(D12="",TRUE,IF(AS10=$D$16,TRUE,FALSE))</f>
        <v>1</v>
      </c>
      <c r="AD10" t="b">
        <f>IF(D15="",TRUE,IF(AT10=D15,TRUE,FALSE))</f>
        <v>1</v>
      </c>
      <c r="AE10" t="b">
        <f>IF(D16="",TRUE,IF(AU10=D16,TRUE,FALSE))</f>
        <v>1</v>
      </c>
      <c r="AF10" t="b">
        <f>IF(D17="",TRUE,IF(AV10=D17,TRUE,FALSE))</f>
        <v>1</v>
      </c>
      <c r="AG10" t="b">
        <f>IF(D18="",TRUE,IF(AW10=D18,TRUE,FALSE))</f>
        <v>1</v>
      </c>
      <c r="AH10" t="b">
        <f>IF(D14="",TRUE,IF(AX10=D14,TRUE,FALSE))</f>
        <v>1</v>
      </c>
      <c r="AI10" t="b">
        <f>IF(D19="",TRUE,IF(AY10=D19,TRUE,FALSE))</f>
        <v>1</v>
      </c>
      <c r="AJ10" t="b">
        <f>IF(D20="",TRUE,IF(AZ10=D20,TRUE,FALSE))</f>
        <v>1</v>
      </c>
      <c r="AK10" t="b">
        <f>IF(D21="",TRUE,IF(BA10=D21,TRUE,FALSE))</f>
        <v>1</v>
      </c>
      <c r="AP10" t="s">
        <v>126</v>
      </c>
      <c r="AR10" s="58" t="str">
        <f t="shared" ref="AR10:BW10" ca="1" si="3">IFERROR(INDEX(INDIRECT(AR$7&amp;"!$A$10:CC100000"),MATCH($AP10,INDIRECT(AR$7&amp;"!BH$10:BH100000"),0),MATCH(AR$9,INDIRECT(AR$7&amp;"!a10:CC10"),0)),"False")</f>
        <v>False</v>
      </c>
      <c r="AS10" s="58" t="str">
        <f t="shared" ca="1" si="3"/>
        <v>False</v>
      </c>
      <c r="AT10" s="58" t="str">
        <f t="shared" ca="1" si="3"/>
        <v>False</v>
      </c>
      <c r="AU10" s="58" t="str">
        <f t="shared" ca="1" si="3"/>
        <v>False</v>
      </c>
      <c r="AV10" s="58" t="str">
        <f t="shared" ca="1" si="3"/>
        <v>False</v>
      </c>
      <c r="AW10" s="58" t="str">
        <f t="shared" ca="1" si="3"/>
        <v>False</v>
      </c>
      <c r="AX10" s="58" t="str">
        <f t="shared" ca="1" si="3"/>
        <v>False</v>
      </c>
      <c r="AY10" s="58" t="str">
        <f t="shared" ca="1" si="3"/>
        <v>False</v>
      </c>
      <c r="AZ10" s="58" t="str">
        <f t="shared" ca="1" si="3"/>
        <v>False</v>
      </c>
      <c r="BA10" s="58" t="str">
        <f t="shared" ca="1" si="3"/>
        <v>False</v>
      </c>
      <c r="BB10" s="58" t="str">
        <f t="shared" ca="1" si="3"/>
        <v>False</v>
      </c>
      <c r="BC10" s="58" t="str">
        <f t="shared" ca="1" si="3"/>
        <v>False</v>
      </c>
      <c r="BD10" s="58" t="str">
        <f t="shared" ca="1" si="3"/>
        <v>False</v>
      </c>
      <c r="BE10" s="58" t="str">
        <f t="shared" ca="1" si="3"/>
        <v>False</v>
      </c>
      <c r="BF10" s="58" t="str">
        <f t="shared" ca="1" si="3"/>
        <v>False</v>
      </c>
      <c r="BG10" s="58" t="str">
        <f t="shared" ca="1" si="3"/>
        <v>False</v>
      </c>
      <c r="BH10" s="58" t="str">
        <f t="shared" ca="1" si="3"/>
        <v>False</v>
      </c>
      <c r="BI10" s="58" t="str">
        <f t="shared" ca="1" si="3"/>
        <v>False</v>
      </c>
      <c r="BJ10" s="58" t="str">
        <f t="shared" ca="1" si="3"/>
        <v>False</v>
      </c>
      <c r="BK10" s="58" t="str">
        <f t="shared" ca="1" si="3"/>
        <v>False</v>
      </c>
      <c r="BL10" s="58" t="str">
        <f t="shared" ca="1" si="3"/>
        <v>False</v>
      </c>
      <c r="BM10" s="58" t="str">
        <f t="shared" ca="1" si="3"/>
        <v>False</v>
      </c>
      <c r="BN10" s="58" t="str">
        <f t="shared" ca="1" si="3"/>
        <v>False</v>
      </c>
      <c r="BO10" s="58" t="str">
        <f t="shared" ca="1" si="3"/>
        <v>False</v>
      </c>
      <c r="BP10" s="58" t="str">
        <f t="shared" ca="1" si="3"/>
        <v>False</v>
      </c>
      <c r="BQ10" s="58" t="str">
        <f t="shared" ca="1" si="3"/>
        <v>False</v>
      </c>
      <c r="BR10" s="58" t="str">
        <f t="shared" ca="1" si="3"/>
        <v>False</v>
      </c>
      <c r="BS10" s="58" t="str">
        <f t="shared" ca="1" si="3"/>
        <v>False</v>
      </c>
      <c r="BT10" s="58" t="str">
        <f t="shared" ca="1" si="3"/>
        <v>False</v>
      </c>
      <c r="BU10" s="58" t="str">
        <f t="shared" ca="1" si="3"/>
        <v>False</v>
      </c>
      <c r="BV10" s="58" t="str">
        <f t="shared" ca="1" si="3"/>
        <v>False</v>
      </c>
      <c r="BW10" s="58" t="str">
        <f t="shared" ca="1" si="3"/>
        <v>False</v>
      </c>
      <c r="BX10" s="58"/>
      <c r="BY10" s="58" t="str">
        <f ca="1">IFERROR(INDEX(INDIRECT(BY$7&amp;"!$A$10:CC100000"),MATCH($AP10,INDIRECT(BY$7&amp;"!BH$10:BH100000"),0),MATCH(BY$9,INDIRECT(BY$7&amp;"!a10:CC10"),0)),"False")</f>
        <v>False</v>
      </c>
      <c r="BZ10" s="58" t="str">
        <f ca="1">IFERROR(INDEX(INDIRECT(BZ$7&amp;"!$A$10:CC100000"),MATCH($AP10,INDIRECT(BZ$7&amp;"!BH$10:BH100000"),0),MATCH(BZ$9,INDIRECT(BZ$7&amp;"!a10:CC10"),0)),"False")</f>
        <v>False</v>
      </c>
      <c r="CA10" s="58"/>
      <c r="CB10" s="58"/>
      <c r="CC10" s="58"/>
      <c r="CD10" s="58"/>
      <c r="CE10" s="58"/>
      <c r="CF10" s="58"/>
      <c r="CG10" s="58"/>
      <c r="CH10" s="58"/>
      <c r="CI10" s="58"/>
      <c r="CJ10" s="58"/>
      <c r="CK10" s="58"/>
      <c r="CL10" s="58"/>
      <c r="CM10" s="58"/>
      <c r="CN10" s="58"/>
    </row>
    <row r="11" spans="2:92" ht="51" customHeight="1" x14ac:dyDescent="0.35">
      <c r="C11" s="210" t="str">
        <f ca="1" xml:space="preserve"> "Bärbar dator (A) "  &amp; RIGHT("00" &amp; B10,2)</f>
        <v>Bärbar dator (A) 01</v>
      </c>
      <c r="D11" s="211"/>
      <c r="F11" s="59" t="str">
        <f>IF(F$10="Inget antal angivet","",IFERROR(INDEX($AR$11:$BZ$38,MATCH(F$7,$AP$11:$AP$38,0),MATCH("Modellbenämning",$AR$11:$BZ$11,0)),""))</f>
        <v/>
      </c>
      <c r="G11" s="59" t="str">
        <f ca="1">IFERROR(INDEX($AR$11:$BZ$38,MATCH(G$7,$AP$11:$AP$38,0),MATCH("Modellbenämning",$AR$11:$BZ$11,0)),"")</f>
        <v>ProBook 445 G8</v>
      </c>
      <c r="H11" s="59" t="str">
        <f ca="1">IFERROR(INDEX($AR$11:$BZ$38,MATCH(H$7,$AP$11:$AP$38,0),MATCH("Modellbenämning",$AR$11:$BZ$11,0)),"")</f>
        <v>ProBook 445 G10</v>
      </c>
      <c r="I11" s="59" t="str">
        <f ca="1">IFERROR(INDEX($AR$11:$BZ$38,MATCH(I$7,$AP$11:$AP$38,0),MATCH("Modellbenämning",$AR$11:$BZ$11,0)),"")</f>
        <v>ProBook 445 G8</v>
      </c>
      <c r="J11" s="60"/>
      <c r="K11" s="195"/>
      <c r="L11" s="195"/>
      <c r="M11" s="195"/>
      <c r="N11" s="195" t="e">
        <f ca="1">INDEX($N$12:$N$17,MATCH(Överblick!$L$2,$M$12:$M$17,0))</f>
        <v>#N/A</v>
      </c>
      <c r="O11" s="195"/>
      <c r="P11" s="195"/>
      <c r="Q11" s="195"/>
      <c r="R11" s="195">
        <v>1</v>
      </c>
      <c r="S11" s="195">
        <v>2</v>
      </c>
      <c r="T11" s="195">
        <v>3</v>
      </c>
      <c r="U11" s="195">
        <v>4</v>
      </c>
      <c r="V11" s="195">
        <v>5</v>
      </c>
      <c r="W11" s="195">
        <v>6</v>
      </c>
      <c r="X11" s="195">
        <v>7</v>
      </c>
      <c r="Y11" s="195">
        <v>8</v>
      </c>
      <c r="Z11" s="195"/>
      <c r="AA11" s="195" t="s">
        <v>122</v>
      </c>
      <c r="AB11" s="195" t="s">
        <v>2</v>
      </c>
      <c r="AC11" s="195" t="s">
        <v>4</v>
      </c>
      <c r="AD11" s="195" t="s">
        <v>119</v>
      </c>
      <c r="AE11" s="195" t="s">
        <v>16</v>
      </c>
      <c r="AF11" s="195" t="s">
        <v>7</v>
      </c>
      <c r="AG11" s="195" t="s">
        <v>67</v>
      </c>
      <c r="AH11" s="195" t="s">
        <v>74</v>
      </c>
      <c r="AI11" s="195" t="s">
        <v>97</v>
      </c>
      <c r="AJ11" s="195" t="s">
        <v>103</v>
      </c>
      <c r="AK11" s="195" t="s">
        <v>75</v>
      </c>
      <c r="AL11" s="195" t="s">
        <v>38</v>
      </c>
      <c r="AM11" s="195" t="s">
        <v>120</v>
      </c>
      <c r="AN11" s="195"/>
      <c r="AO11" s="195"/>
      <c r="AP11" s="195" t="s">
        <v>222</v>
      </c>
      <c r="AQ11" s="195">
        <v>1</v>
      </c>
      <c r="AR11" s="195" t="s">
        <v>2</v>
      </c>
      <c r="AS11" s="195" t="s">
        <v>4</v>
      </c>
      <c r="AT11" s="195" t="s">
        <v>119</v>
      </c>
      <c r="AU11" s="195" t="s">
        <v>16</v>
      </c>
      <c r="AV11" s="195" t="s">
        <v>7</v>
      </c>
      <c r="AW11" s="195" t="s">
        <v>67</v>
      </c>
      <c r="AX11" s="195" t="s">
        <v>74</v>
      </c>
      <c r="AY11" s="195" t="s">
        <v>97</v>
      </c>
      <c r="AZ11" s="195" t="s">
        <v>103</v>
      </c>
      <c r="BA11" s="195" t="s">
        <v>75</v>
      </c>
      <c r="BB11" s="195" t="s">
        <v>120</v>
      </c>
      <c r="BC11" s="195" t="s">
        <v>38</v>
      </c>
      <c r="BD11" s="195" t="s">
        <v>37</v>
      </c>
      <c r="BE11" s="195" t="s">
        <v>3</v>
      </c>
      <c r="BF11" s="195" t="s">
        <v>52</v>
      </c>
      <c r="BG11" s="195" t="s">
        <v>25</v>
      </c>
      <c r="BH11" s="195" t="s">
        <v>53</v>
      </c>
      <c r="BI11" s="195" t="s">
        <v>54</v>
      </c>
      <c r="BJ11" s="195" t="s">
        <v>55</v>
      </c>
      <c r="BK11" s="195" t="s">
        <v>59</v>
      </c>
      <c r="BL11" s="195" t="s">
        <v>228</v>
      </c>
      <c r="BM11" s="195" t="s">
        <v>229</v>
      </c>
      <c r="BN11" s="195" t="s">
        <v>230</v>
      </c>
      <c r="BO11" s="195" t="s">
        <v>231</v>
      </c>
      <c r="BP11" s="195" t="s">
        <v>340</v>
      </c>
      <c r="BQ11" s="195" t="s">
        <v>341</v>
      </c>
      <c r="BR11" s="195" t="s">
        <v>342</v>
      </c>
      <c r="BS11" s="195" t="s">
        <v>343</v>
      </c>
      <c r="BT11" s="195" t="s">
        <v>345</v>
      </c>
      <c r="BU11" s="195" t="s">
        <v>346</v>
      </c>
      <c r="BV11" s="195" t="s">
        <v>347</v>
      </c>
      <c r="BW11" s="195" t="s">
        <v>348</v>
      </c>
      <c r="BX11" s="195"/>
      <c r="BY11" s="195" t="s">
        <v>6</v>
      </c>
      <c r="BZ11" s="195" t="s">
        <v>51</v>
      </c>
      <c r="CA11" s="184" t="s">
        <v>2</v>
      </c>
      <c r="CB11" s="184" t="s">
        <v>4</v>
      </c>
      <c r="CC11" s="184" t="s">
        <v>119</v>
      </c>
      <c r="CD11" s="184" t="s">
        <v>16</v>
      </c>
      <c r="CE11" s="184" t="s">
        <v>7</v>
      </c>
      <c r="CF11" s="184" t="s">
        <v>67</v>
      </c>
      <c r="CG11" s="184" t="s">
        <v>74</v>
      </c>
      <c r="CH11" s="184" t="s">
        <v>97</v>
      </c>
      <c r="CI11" s="184" t="s">
        <v>103</v>
      </c>
      <c r="CJ11" s="184" t="s">
        <v>75</v>
      </c>
      <c r="CK11" s="184" t="s">
        <v>120</v>
      </c>
      <c r="CL11" s="184" t="s">
        <v>38</v>
      </c>
      <c r="CM11" s="184" t="s">
        <v>37</v>
      </c>
      <c r="CN11" s="184" t="s">
        <v>3</v>
      </c>
    </row>
    <row r="12" spans="2:92" ht="22.5" customHeight="1" outlineLevel="1" x14ac:dyDescent="0.35">
      <c r="C12" s="210" t="s">
        <v>261</v>
      </c>
      <c r="D12" s="211"/>
      <c r="F12" s="82" t="str">
        <f>IF(F$10="Inget antal angivet","",IFERROR(INDEX($AR$11:$BZ$38,MATCH(F$7,$AP$11:$AP$38,0),MATCH("Varumärke",$AR$11:$BZ$11,0)),""))</f>
        <v/>
      </c>
      <c r="G12" s="83" t="str">
        <f ca="1">IFERROR(INDEX($AR$11:$BZ$38,MATCH(G$7,$AP$11:$AP$38,0),MATCH("Varumärke",$AR$11:$BZ$11,0)),"")</f>
        <v>HP</v>
      </c>
      <c r="H12" s="83" t="str">
        <f ca="1">IFERROR(INDEX($AR$11:$BZ$38,MATCH(H$7,$AP$11:$AP$38,0),MATCH("Varumärke",$AR$11:$BZ$11,0)),"")</f>
        <v>HP</v>
      </c>
      <c r="I12" s="119" t="str">
        <f ca="1">IFERROR(INDEX($AR$11:$BZ$38,MATCH(I$7,$AP$11:$AP$38,0),MATCH("Varumärke",$AR$11:$BZ$11,0)),"")</f>
        <v>HP</v>
      </c>
      <c r="J12" s="62"/>
      <c r="K12" s="196">
        <f t="shared" ref="K12:K17" ca="1" si="4">O12*$D$49</f>
        <v>0</v>
      </c>
      <c r="L12" s="185" t="b">
        <f>IF($D$49=0,TRUE,IF(K12=0,FALSE,TRUE))</f>
        <v>1</v>
      </c>
      <c r="M12" s="185" t="s">
        <v>162</v>
      </c>
      <c r="N12" s="185" t="str">
        <f ca="1">INDEX($AA$12:$AA$38,MATCH(O12,$Z$12:$Z$38,0))</f>
        <v>Offererad produktnr. 01Advania Sverige AB</v>
      </c>
      <c r="O12" s="196" cm="1">
        <f t="array" aca="1" ref="O12" ca="1">MIN(IF(($BY$12:$BY$35=M12)*($AQ$12:$AQ$35=$O$9),$Z$12:$Z$35))</f>
        <v>8880</v>
      </c>
      <c r="P12" s="197">
        <f ca="1">SMALL($Z$12:$Z$38,1)</f>
        <v>6420</v>
      </c>
      <c r="Q12" s="185">
        <f t="shared" ref="Q12:Q26" si="5">SUM(R12:Y12)</f>
        <v>0</v>
      </c>
      <c r="R12" s="185">
        <f t="shared" ref="R12:R26" si="6">IF($D$29="",0,BH12)</f>
        <v>0</v>
      </c>
      <c r="S12" s="185">
        <f t="shared" ref="S12:S29" si="7">IF($D$32="",0,BI12)</f>
        <v>0</v>
      </c>
      <c r="T12" s="185">
        <f t="shared" ref="T12:T29" si="8">IF($D$35="",0,BJ12)</f>
        <v>0</v>
      </c>
      <c r="U12" s="185">
        <f t="shared" ref="U12:U29" si="9">IF($D$38="",0,BK12)</f>
        <v>0</v>
      </c>
      <c r="V12" s="185">
        <f t="shared" ref="V12:V29" si="10">IF($D$42="",0,BL12)</f>
        <v>0</v>
      </c>
      <c r="W12" s="185">
        <f t="shared" ref="W12:W29" si="11">IF($D$43="",0,BM12)</f>
        <v>0</v>
      </c>
      <c r="X12" s="185">
        <f t="shared" ref="X12:X29" si="12">IF($D$44="",0,BN12)</f>
        <v>0</v>
      </c>
      <c r="Y12" s="185">
        <f t="shared" ref="Y12:Y29" si="13">IF($D$45="",0,BO12)</f>
        <v>0</v>
      </c>
      <c r="Z12" s="196">
        <f t="shared" ref="Z12:Z31" ca="1" si="14">IF(AA12="","",SUM(BG12,R12:Y12))</f>
        <v>8880</v>
      </c>
      <c r="AA12" s="185" t="str">
        <f t="shared" ref="AA12:AA31" ca="1" si="15">IF(COUNTIF(AB12:AO12,FALSE)&gt;0,"",AP12)</f>
        <v>Offererad produktnr. 01Advania Sverige AB</v>
      </c>
      <c r="AB12" s="185"/>
      <c r="AC12" s="185" t="b">
        <f ca="1">IFERROR(IF(D16="",TRUE,
IF(OR(D16=$CB$12,D16=$CB$13),IF(LEFT(AS12,FIND(" ",AS12)-1)=D16,TRUE,FALSE),
IF(OFFSET(Processor!$AB$1,MATCH($AS12,Processor!$AA$2:$AA$23,0),MATCH(LEFT(D16,FIND(" ",D16)-1),Processor!$AC$1:$AG$1,0))&gt;=
OFFSET(Processor!$AB$1,MATCH(D16,Processor!$AA$2:$AA$23,0),MATCH(LEFT(D16,FIND(" ",D16)-1),Processor!$AC$1:$AG$1,0)),TRUE,FALSE))),FALSE)</f>
        <v>1</v>
      </c>
      <c r="AD12" s="185" t="b">
        <f t="shared" ref="AD12:AD31" si="16">IF($D$17="",TRUE,IF(AT12&gt;=$D$17,TRUE,FALSE))</f>
        <v>1</v>
      </c>
      <c r="AE12" s="185" t="b">
        <f t="shared" ref="AE12:AE31" si="17">IF($D$18="",TRUE,IF(AU12&gt;=$D$18,TRUE,FALSE))</f>
        <v>1</v>
      </c>
      <c r="AF12" s="185" t="b">
        <f>IF($D$14="",TRUE,IF(COUNTIF(Processor!$I$2:$I$9,$D$14)&gt;0,AND(AV12&gt;INDEX(Processor!$J$2:$J$9,MATCH($D$14,Processor!$I$2:$I$9,0)),AV12&lt;INDEX(Processor!$K$2:$K$9,MATCH($D$14,Processor!$I$2:$I$9,0))),IF(AV12=$D$14,TRUE,FALSE)))</f>
        <v>1</v>
      </c>
      <c r="AG12" s="185" t="b">
        <f t="shared" ref="AG12:AG31" si="18">IF($D$19="",TRUE,IF(AW12&gt;=$D$19,TRUE,FALSE))</f>
        <v>1</v>
      </c>
      <c r="AH12" s="185" t="b">
        <f t="shared" ref="AH12:AH31" si="19">IF($D$20="",TRUE,IF(AX12&gt;=$D$20,TRUE,FALSE))</f>
        <v>1</v>
      </c>
      <c r="AI12" s="185" t="b">
        <f t="shared" ref="AI12:AI31" si="20">IF($D$21="",TRUE,IF(AY12=$D$21,TRUE,FALSE))</f>
        <v>1</v>
      </c>
      <c r="AJ12" s="185" t="b">
        <f>IF($D$22="",TRUE,IF($D$22="802.11a/b/g/n/ac",TRUE,IF(AZ12&gt;=$D$22,TRUE,FALSE)))</f>
        <v>1</v>
      </c>
      <c r="AK12" s="185" t="b">
        <f t="shared" ref="AK12:AK31" si="21">IF($D$23="",TRUE,IF(BA12&gt;=$D$23,TRUE,FALSE))</f>
        <v>1</v>
      </c>
      <c r="AL12" s="185" t="b">
        <f>IFERROR(IF($D25="",TRUE,IF(MID(BC12,LEN(BC12)-2,1)*1&gt;=MID($D25,LEN($D25)-2,1)*1,TRUE,FALSE)),FALSE)</f>
        <v>1</v>
      </c>
      <c r="AM12" s="185" t="b">
        <f>IF(D24="",TRUE,IF(BB12&gt;=D24,TRUE,FALSE))</f>
        <v>1</v>
      </c>
      <c r="AN12" s="185"/>
      <c r="AO12" s="185"/>
      <c r="AP12" s="185" t="s">
        <v>198</v>
      </c>
      <c r="AQ12" s="185">
        <v>1</v>
      </c>
      <c r="AR12" s="185" t="str">
        <f ca="1">IFERROR(INDEX(INDIRECT(AR$7&amp;"!$A$10:CC100000"),MATCH($AP12,INDIRECT(AR$7&amp;"!BH$10:BH100000"),0),MATCH(AR$9,INDIRECT(AR$7&amp;"!a10:CC10"),0)),"False")</f>
        <v>1920x1080</v>
      </c>
      <c r="AS12" s="185" t="str">
        <f t="shared" ref="AR12:BA21" ca="1" si="22">IFERROR(INDEX(INDIRECT(AS$7&amp;"!$A$10:CC100000"),MATCH($AP12,INDIRECT(AS$7&amp;"!BH$10:BH100000"),0),MATCH(AS$9,INDIRECT(AS$7&amp;"!a10:CC10"),0)),"False")</f>
        <v>AMD Ryzen 5</v>
      </c>
      <c r="AT12" s="185">
        <f t="shared" ca="1" si="22"/>
        <v>16</v>
      </c>
      <c r="AU12" s="185">
        <f t="shared" ca="1" si="22"/>
        <v>256</v>
      </c>
      <c r="AV12" s="185">
        <f t="shared" ca="1" si="22"/>
        <v>14</v>
      </c>
      <c r="AW12" s="185">
        <f t="shared" ca="1" si="22"/>
        <v>4</v>
      </c>
      <c r="AX12" s="185">
        <f t="shared" ca="1" si="22"/>
        <v>1</v>
      </c>
      <c r="AY12" s="185" t="str">
        <f t="shared" ca="1" si="22"/>
        <v>Ja, HDMI-port finns</v>
      </c>
      <c r="AZ12" s="185" t="str">
        <f t="shared" ca="1" si="22"/>
        <v>802.11a/b/g/n/ac/ax</v>
      </c>
      <c r="BA12" s="185">
        <f t="shared" ca="1" si="22"/>
        <v>5.3</v>
      </c>
      <c r="BB12" s="185">
        <f t="shared" ref="BB12:BK21" ca="1" si="23">IFERROR(INDEX(INDIRECT(BB$7&amp;"!$A$10:CC100000"),MATCH($AP12,INDIRECT(BB$7&amp;"!BH$10:BH100000"),0),MATCH(BB$9,INDIRECT(BB$7&amp;"!a10:CC10"),0)),"False")</f>
        <v>11</v>
      </c>
      <c r="BC12" s="185" t="str">
        <f t="shared" ca="1" si="23"/>
        <v>Version 8.0</v>
      </c>
      <c r="BD12" s="185" t="str">
        <f t="shared" ca="1" si="23"/>
        <v>Ja</v>
      </c>
      <c r="BE12" s="185" t="str">
        <f t="shared" ca="1" si="23"/>
        <v>Windows 11 Pro</v>
      </c>
      <c r="BF12" s="185" t="str">
        <f t="shared" ca="1" si="23"/>
        <v>ProBook 445 G10</v>
      </c>
      <c r="BG12" s="185">
        <f t="shared" ca="1" si="23"/>
        <v>8880</v>
      </c>
      <c r="BH12" s="192">
        <f t="shared" ca="1" si="23"/>
        <v>60</v>
      </c>
      <c r="BI12" s="192">
        <f t="shared" ca="1" si="23"/>
        <v>218</v>
      </c>
      <c r="BJ12" s="192">
        <f t="shared" ca="1" si="23"/>
        <v>251</v>
      </c>
      <c r="BK12" s="192">
        <f t="shared" ca="1" si="23"/>
        <v>1462</v>
      </c>
      <c r="BL12" s="192">
        <f t="shared" ref="BL12:BW21" ca="1" si="24">IFERROR(INDEX(INDIRECT(BL$7&amp;"!$A$10:CC100000"),MATCH($AP12,INDIRECT(BL$7&amp;"!BH$10:BH100000"),0),MATCH(BL$9,INDIRECT(BL$7&amp;"!a10:CC10"),0)),"False")</f>
        <v>226</v>
      </c>
      <c r="BM12" s="192">
        <f t="shared" ca="1" si="24"/>
        <v>112</v>
      </c>
      <c r="BN12" s="192">
        <f t="shared" ca="1" si="24"/>
        <v>50</v>
      </c>
      <c r="BO12" s="192">
        <f t="shared" ca="1" si="24"/>
        <v>50</v>
      </c>
      <c r="BP12" s="192" t="str">
        <f t="shared" ca="1" si="24"/>
        <v>V7</v>
      </c>
      <c r="BQ12" s="192" t="str">
        <f t="shared" ca="1" si="24"/>
        <v>PORT Designs</v>
      </c>
      <c r="BR12" s="192" t="str">
        <f t="shared" ca="1" si="24"/>
        <v>CoreParts</v>
      </c>
      <c r="BS12" s="192" t="str">
        <f t="shared" ca="1" si="24"/>
        <v>HP</v>
      </c>
      <c r="BT12" s="192" t="str">
        <f t="shared" ca="1" si="24"/>
        <v xml:space="preserve"> CSE14-BLK-3E  -Fodral för bärbar dator - 14" - svart</v>
      </c>
      <c r="BU12" s="192" t="str">
        <f t="shared" ca="1" si="24"/>
        <v>900003 - Professional - filter för personlig integritet - 14"</v>
      </c>
      <c r="BV12" s="192" t="str">
        <f t="shared" ca="1" si="24"/>
        <v>MBXUSBC-AC0005 - USB-C - strömadapter 45 Watt</v>
      </c>
      <c r="BW12" s="192" t="str">
        <f t="shared" ca="1" si="24"/>
        <v>72C71AA#ABB - Essential - dockningsstation</v>
      </c>
      <c r="BX12" s="192"/>
      <c r="BY12" s="192" t="str">
        <f t="shared" ref="BY12:BZ31" ca="1" si="25">IFERROR(INDEX(INDIRECT(BY$7&amp;"!$A$10:CC100000"),MATCH($AP12,INDIRECT(BY$7&amp;"!BH$10:BH100000"),0),MATCH(BY$9,INDIRECT(BY$7&amp;"!a10:CC10"),0)),"False")</f>
        <v>Advania Sverige AB</v>
      </c>
      <c r="BZ12" s="192" t="str">
        <f t="shared" ca="1" si="25"/>
        <v>HP</v>
      </c>
      <c r="CA12" s="185" t="s">
        <v>71</v>
      </c>
      <c r="CB12" s="185" t="s">
        <v>687</v>
      </c>
      <c r="CC12" s="185">
        <v>8</v>
      </c>
      <c r="CD12" s="185">
        <v>256</v>
      </c>
      <c r="CE12" s="185">
        <v>14</v>
      </c>
      <c r="CF12" s="185">
        <v>2</v>
      </c>
      <c r="CG12" s="185">
        <v>1</v>
      </c>
      <c r="CH12" s="185" t="s">
        <v>84</v>
      </c>
      <c r="CI12" s="185" t="s">
        <v>86</v>
      </c>
      <c r="CJ12" s="186">
        <v>5</v>
      </c>
      <c r="CK12" s="185">
        <v>11</v>
      </c>
      <c r="CL12" s="185"/>
      <c r="CM12" s="185" t="s">
        <v>69</v>
      </c>
      <c r="CN12" s="185" t="s">
        <v>567</v>
      </c>
    </row>
    <row r="13" spans="2:92" ht="22.5" customHeight="1" outlineLevel="1" x14ac:dyDescent="0.35">
      <c r="C13" s="61" t="s">
        <v>3</v>
      </c>
      <c r="D13" s="64"/>
      <c r="F13" s="80" t="str">
        <f t="shared" ref="F13:F26" si="26">IF(F$10="Inget antal angivet","",IFERROR(INDEX($AR$11:$BZ$38,MATCH(F$7,$AP$11:$AP$38,0),MATCH($C13,$AR$11:$BZ$11,0)),""))</f>
        <v/>
      </c>
      <c r="G13" s="81" t="str">
        <f t="shared" ref="G13:I26" ca="1" si="27">IFERROR(INDEX($AR$11:$BZ$38,MATCH(G$7,$AP$11:$AP$38,0),MATCH($C13,$AR$11:$BZ$11,0)),"")</f>
        <v>Windows 10 Pro</v>
      </c>
      <c r="H13" s="81" t="str">
        <f t="shared" ca="1" si="27"/>
        <v>Windows 11 Pro</v>
      </c>
      <c r="I13" s="120" t="str">
        <f t="shared" ca="1" si="27"/>
        <v>Windows 10 Pro</v>
      </c>
      <c r="J13" s="62"/>
      <c r="K13" s="196">
        <f t="shared" ca="1" si="4"/>
        <v>0</v>
      </c>
      <c r="L13" s="185" t="b">
        <f t="shared" ref="L13:L15" si="28">IF($D$49=0,TRUE,IF(K13=0,FALSE,TRUE))</f>
        <v>1</v>
      </c>
      <c r="M13" s="185" t="s">
        <v>150</v>
      </c>
      <c r="N13" s="185" t="str">
        <f t="shared" ref="N13:N17" ca="1" si="29">INDEX($AA$12:$AA$38,MATCH(O13,$Z$12:$Z$38,0))</f>
        <v>Offererad produktnr. 01Atea Sverige AB</v>
      </c>
      <c r="O13" s="196" cm="1">
        <f t="array" aca="1" ref="O13" ca="1">MIN(IF(($BY$12:$BY$35=M13)*($AQ$12:$AQ$35=$O$9),$Z$12:$Z$35))</f>
        <v>11724</v>
      </c>
      <c r="P13" s="197">
        <f ca="1">SMALL($Z$12:$Z$38,2)</f>
        <v>7599</v>
      </c>
      <c r="Q13" s="185">
        <f t="shared" si="5"/>
        <v>0</v>
      </c>
      <c r="R13" s="185">
        <f t="shared" si="6"/>
        <v>0</v>
      </c>
      <c r="S13" s="185">
        <f t="shared" si="7"/>
        <v>0</v>
      </c>
      <c r="T13" s="185">
        <f t="shared" si="8"/>
        <v>0</v>
      </c>
      <c r="U13" s="185">
        <f t="shared" si="9"/>
        <v>0</v>
      </c>
      <c r="V13" s="185">
        <f t="shared" si="10"/>
        <v>0</v>
      </c>
      <c r="W13" s="185">
        <f t="shared" si="11"/>
        <v>0</v>
      </c>
      <c r="X13" s="185">
        <f t="shared" si="12"/>
        <v>0</v>
      </c>
      <c r="Y13" s="185">
        <f t="shared" si="13"/>
        <v>0</v>
      </c>
      <c r="Z13" s="196">
        <f t="shared" ca="1" si="14"/>
        <v>9324</v>
      </c>
      <c r="AA13" s="185" t="str">
        <f ca="1">IF(COUNTIF(AB13:AO13,FALSE)&gt;0,"",AP13)</f>
        <v>Offererad produktnr. 02Advania Sverige AB</v>
      </c>
      <c r="AB13" s="185"/>
      <c r="AC13" s="185" t="b">
        <f ca="1">IFERROR(IF(D16="",TRUE,
IF(OR(D16=$CB$12,D16=$CB$13),IF(LEFT(AS13,FIND(" ",AS13)-1)=D16,TRUE,FALSE),
IF(OFFSET(Processor!$AB$1,MATCH($AS13,Processor!$AA$2:$AA$23,0),MATCH(LEFT(D16,FIND(" ",D16)-1),Processor!$AC$1:$AG$1,0))&gt;=
OFFSET(Processor!$AB$1,MATCH(D16,Processor!$AA$2:$AA$23,0),MATCH(LEFT(D16,FIND(" ",D16)-1),Processor!$AC$1:$AG$1,0)),TRUE,FALSE))),FALSE)</f>
        <v>1</v>
      </c>
      <c r="AD13" s="185" t="b">
        <f t="shared" si="16"/>
        <v>1</v>
      </c>
      <c r="AE13" s="185" t="b">
        <f t="shared" si="17"/>
        <v>1</v>
      </c>
      <c r="AF13" s="185" t="b">
        <f>IF($D$14="",TRUE,IF(COUNTIF(Processor!$I$2:$I$9,$D$14)&gt;0,AND(AV13&gt;INDEX(Processor!$J$2:$J$9,MATCH($D$14,Processor!$I$2:$I$9,0)),AV13&lt;INDEX(Processor!$K$2:$K$9,MATCH($D$14,Processor!$I$2:$I$9,0))),IF(AV13=$D$14,TRUE,FALSE)))</f>
        <v>1</v>
      </c>
      <c r="AG13" s="185" t="b">
        <f t="shared" si="18"/>
        <v>1</v>
      </c>
      <c r="AH13" s="185" t="b">
        <f t="shared" si="19"/>
        <v>1</v>
      </c>
      <c r="AI13" s="185" t="b">
        <f t="shared" si="20"/>
        <v>1</v>
      </c>
      <c r="AJ13" s="185" t="b">
        <f t="shared" ref="AJ13:AJ29" si="30">IF($D$22="",TRUE,IF($D$22="802.11a/b/g/n/ac",TRUE,IF(AZ13&gt;=$D$22,TRUE,FALSE)))</f>
        <v>1</v>
      </c>
      <c r="AK13" s="185" t="b">
        <f t="shared" si="21"/>
        <v>1</v>
      </c>
      <c r="AL13" s="185" t="b">
        <f>IFERROR(IF($D25="",TRUE,IF(MID(BC13,LEN(BC13)-2,1)*1&gt;=MID($D25,LEN($D25)-2,1)*1,TRUE,FALSE)),FALSE)</f>
        <v>1</v>
      </c>
      <c r="AM13" s="185" t="b">
        <f>IF(D24="",TRUE,IF(BB13&gt;=D24,TRUE,FALSE))</f>
        <v>1</v>
      </c>
      <c r="AN13" s="185"/>
      <c r="AO13" s="185"/>
      <c r="AP13" s="185" t="s">
        <v>199</v>
      </c>
      <c r="AQ13" s="185">
        <v>1</v>
      </c>
      <c r="AR13" s="185" t="str">
        <f t="shared" ca="1" si="22"/>
        <v>1920x1080</v>
      </c>
      <c r="AS13" s="185" t="str">
        <f t="shared" ca="1" si="22"/>
        <v>Intel i5 Gen 12</v>
      </c>
      <c r="AT13" s="185">
        <f ca="1">IFERROR(INDEX(INDIRECT(AT$7&amp;"!$A$10:CC100000"),MATCH($AP13,INDIRECT(AT$7&amp;"!BH$10:BH100000"),0),MATCH(AT$9,INDIRECT(AT$7&amp;"!a10:CC10"),0)),"False")</f>
        <v>16</v>
      </c>
      <c r="AU13" s="185">
        <f t="shared" ca="1" si="22"/>
        <v>256</v>
      </c>
      <c r="AV13" s="185">
        <f t="shared" ca="1" si="22"/>
        <v>14</v>
      </c>
      <c r="AW13" s="185">
        <f t="shared" ca="1" si="22"/>
        <v>4</v>
      </c>
      <c r="AX13" s="185">
        <f t="shared" ca="1" si="22"/>
        <v>1</v>
      </c>
      <c r="AY13" s="185" t="str">
        <f t="shared" ca="1" si="22"/>
        <v>Ja, HDMI-port finns</v>
      </c>
      <c r="AZ13" s="185" t="str">
        <f t="shared" ca="1" si="22"/>
        <v>802.11a/b/g/n/ac</v>
      </c>
      <c r="BA13" s="185">
        <f t="shared" ca="1" si="22"/>
        <v>5.2</v>
      </c>
      <c r="BB13" s="185">
        <f t="shared" ca="1" si="23"/>
        <v>11</v>
      </c>
      <c r="BC13" s="185" t="str">
        <f t="shared" ca="1" si="23"/>
        <v>Version 8.0</v>
      </c>
      <c r="BD13" s="185" t="str">
        <f t="shared" ca="1" si="23"/>
        <v>Ja</v>
      </c>
      <c r="BE13" s="185" t="str">
        <f t="shared" ca="1" si="23"/>
        <v>Windows 11 Pro</v>
      </c>
      <c r="BF13" s="185" t="str">
        <f t="shared" ca="1" si="23"/>
        <v>ProBook 440 G10</v>
      </c>
      <c r="BG13" s="185">
        <f t="shared" ca="1" si="23"/>
        <v>9324</v>
      </c>
      <c r="BH13" s="192">
        <f t="shared" ca="1" si="23"/>
        <v>60</v>
      </c>
      <c r="BI13" s="192">
        <f t="shared" ca="1" si="23"/>
        <v>218</v>
      </c>
      <c r="BJ13" s="192">
        <f t="shared" ca="1" si="23"/>
        <v>251</v>
      </c>
      <c r="BK13" s="192">
        <f t="shared" ca="1" si="23"/>
        <v>1462</v>
      </c>
      <c r="BL13" s="192">
        <f t="shared" ca="1" si="24"/>
        <v>226</v>
      </c>
      <c r="BM13" s="192">
        <f t="shared" ca="1" si="24"/>
        <v>112</v>
      </c>
      <c r="BN13" s="192">
        <f t="shared" ca="1" si="24"/>
        <v>50</v>
      </c>
      <c r="BO13" s="192">
        <f t="shared" ca="1" si="24"/>
        <v>50</v>
      </c>
      <c r="BP13" s="192" t="str">
        <f t="shared" ca="1" si="24"/>
        <v>V7</v>
      </c>
      <c r="BQ13" s="192" t="str">
        <f t="shared" ca="1" si="24"/>
        <v>PORT Designs</v>
      </c>
      <c r="BR13" s="192" t="str">
        <f t="shared" ca="1" si="24"/>
        <v>CoreParts</v>
      </c>
      <c r="BS13" s="192" t="str">
        <f t="shared" ca="1" si="24"/>
        <v>HP</v>
      </c>
      <c r="BT13" s="192" t="str">
        <f t="shared" ca="1" si="24"/>
        <v xml:space="preserve"> CSE14-BLK-3E  -Fodral för bärbar dator - 14" - svart</v>
      </c>
      <c r="BU13" s="192" t="str">
        <f t="shared" ca="1" si="24"/>
        <v>900003 - Professional - filter för personlig integritet - 14"</v>
      </c>
      <c r="BV13" s="192" t="str">
        <f t="shared" ca="1" si="24"/>
        <v>MBXUSBC-AC0005 - USB-C - strömadapter 45 Watt</v>
      </c>
      <c r="BW13" s="192" t="str">
        <f t="shared" ca="1" si="24"/>
        <v>72C71AA#ABB - Essential - dockningsstation</v>
      </c>
      <c r="BX13" s="192"/>
      <c r="BY13" s="192" t="str">
        <f t="shared" ca="1" si="25"/>
        <v>Advania Sverige AB</v>
      </c>
      <c r="BZ13" s="192" t="str">
        <f t="shared" ca="1" si="25"/>
        <v>HP</v>
      </c>
      <c r="CA13" s="185" t="s">
        <v>163</v>
      </c>
      <c r="CB13" s="185" t="s">
        <v>688</v>
      </c>
      <c r="CC13" s="185">
        <v>16</v>
      </c>
      <c r="CD13" s="185">
        <v>512</v>
      </c>
      <c r="CE13" s="185"/>
      <c r="CF13" s="185">
        <v>3</v>
      </c>
      <c r="CG13" s="185">
        <v>2</v>
      </c>
      <c r="CH13" s="185"/>
      <c r="CI13" s="185" t="s">
        <v>79</v>
      </c>
      <c r="CJ13" s="186">
        <v>5.2</v>
      </c>
      <c r="CK13" s="185">
        <v>8</v>
      </c>
      <c r="CL13" s="185" t="s">
        <v>527</v>
      </c>
      <c r="CM13" s="185"/>
      <c r="CN13" s="185" t="s">
        <v>80</v>
      </c>
    </row>
    <row r="14" spans="2:92" ht="22.5" customHeight="1" outlineLevel="1" x14ac:dyDescent="0.35">
      <c r="C14" s="61" t="s">
        <v>7</v>
      </c>
      <c r="D14" s="64"/>
      <c r="F14" s="80" t="str">
        <f t="shared" si="26"/>
        <v/>
      </c>
      <c r="G14" s="81">
        <f t="shared" ca="1" si="27"/>
        <v>14</v>
      </c>
      <c r="H14" s="81">
        <f t="shared" ca="1" si="27"/>
        <v>14</v>
      </c>
      <c r="I14" s="120">
        <f t="shared" ca="1" si="27"/>
        <v>14</v>
      </c>
      <c r="J14" s="62"/>
      <c r="K14" s="196">
        <f t="shared" ca="1" si="4"/>
        <v>0</v>
      </c>
      <c r="L14" s="185" t="b">
        <f t="shared" si="28"/>
        <v>1</v>
      </c>
      <c r="M14" s="185" t="s">
        <v>128</v>
      </c>
      <c r="N14" s="185" t="str">
        <f t="shared" ca="1" si="29"/>
        <v>Offererad produktnr. 01Dustin Sverige AB</v>
      </c>
      <c r="O14" s="196" cm="1">
        <f t="array" aca="1" ref="O14" ca="1">MIN(IF(($BY$12:$BY$35=M14)*($AQ$12:$AQ$35=$O$9),$Z$12:$Z$35))</f>
        <v>7599</v>
      </c>
      <c r="P14" s="197">
        <f ca="1">SMALL($Z$12:$Z$38,3)</f>
        <v>7640</v>
      </c>
      <c r="Q14" s="185">
        <f t="shared" si="5"/>
        <v>0</v>
      </c>
      <c r="R14" s="185">
        <f t="shared" si="6"/>
        <v>0</v>
      </c>
      <c r="S14" s="185">
        <f t="shared" si="7"/>
        <v>0</v>
      </c>
      <c r="T14" s="185">
        <f t="shared" si="8"/>
        <v>0</v>
      </c>
      <c r="U14" s="185">
        <f t="shared" si="9"/>
        <v>0</v>
      </c>
      <c r="V14" s="185">
        <f t="shared" si="10"/>
        <v>0</v>
      </c>
      <c r="W14" s="185">
        <f t="shared" si="11"/>
        <v>0</v>
      </c>
      <c r="X14" s="185">
        <f t="shared" si="12"/>
        <v>0</v>
      </c>
      <c r="Y14" s="185">
        <f t="shared" si="13"/>
        <v>0</v>
      </c>
      <c r="Z14" s="196">
        <f t="shared" ca="1" si="14"/>
        <v>10608</v>
      </c>
      <c r="AA14" s="185" t="str">
        <f ca="1">IF(COUNTIF(AB14:AO14,FALSE)&gt;0,"",AP14)</f>
        <v>Offererad produktnr. 03Advania Sverige AB</v>
      </c>
      <c r="AB14" s="185"/>
      <c r="AC14" s="185" t="b">
        <f ca="1">IFERROR(IF(D16="",TRUE,
IF(OR(D16=$CB$12,D16=$CB$13),IF(LEFT(AS14,FIND(" ",AS14)-1)=D16,TRUE,FALSE),
IF(OFFSET(Processor!$AB$1,MATCH($AS14,Processor!$AA$2:$AA$23,0),MATCH(LEFT(D16,FIND(" ",D16)-1),Processor!$AC$1:$AG$1,0))&gt;=
OFFSET(Processor!$AB$1,MATCH(D16,Processor!$AA$2:$AA$23,0),MATCH(LEFT(D16,FIND(" ",D16)-1),Processor!$AC$1:$AG$1,0)),TRUE,FALSE))),FALSE)</f>
        <v>1</v>
      </c>
      <c r="AD14" s="185" t="b">
        <f t="shared" si="16"/>
        <v>1</v>
      </c>
      <c r="AE14" s="185" t="b">
        <f t="shared" si="17"/>
        <v>1</v>
      </c>
      <c r="AF14" s="185" t="b">
        <f>IF($D$14="",TRUE,IF(COUNTIF(Processor!$I$2:$I$9,$D$14)&gt;0,AND(AV14&gt;INDEX(Processor!$J$2:$J$9,MATCH($D$14,Processor!$I$2:$I$9,0)),AV14&lt;INDEX(Processor!$K$2:$K$9,MATCH($D$14,Processor!$I$2:$I$9,0))),IF(AV14=$D$14,TRUE,FALSE)))</f>
        <v>1</v>
      </c>
      <c r="AG14" s="185" t="b">
        <f t="shared" si="18"/>
        <v>1</v>
      </c>
      <c r="AH14" s="185" t="b">
        <f t="shared" si="19"/>
        <v>1</v>
      </c>
      <c r="AI14" s="185" t="b">
        <f t="shared" si="20"/>
        <v>1</v>
      </c>
      <c r="AJ14" s="185" t="b">
        <f t="shared" si="30"/>
        <v>1</v>
      </c>
      <c r="AK14" s="185" t="b">
        <f t="shared" si="21"/>
        <v>1</v>
      </c>
      <c r="AL14" s="185" t="b">
        <f>IFERROR(IF($D25="",TRUE,IF(MID(BC14,LEN(BC14)-2,1)*1&gt;=MID($D25,LEN($D25)-2,1)*1,TRUE,FALSE)),FALSE)</f>
        <v>1</v>
      </c>
      <c r="AM14" s="185" t="b">
        <f>IF(D24="",TRUE,IF(BB14&gt;=D24,TRUE,FALSE))</f>
        <v>1</v>
      </c>
      <c r="AN14" s="185"/>
      <c r="AO14" s="185"/>
      <c r="AP14" s="185" t="s">
        <v>200</v>
      </c>
      <c r="AQ14" s="185">
        <v>1</v>
      </c>
      <c r="AR14" s="185" t="str">
        <f t="shared" ca="1" si="22"/>
        <v>1920x1080</v>
      </c>
      <c r="AS14" s="185" t="str">
        <f t="shared" ca="1" si="22"/>
        <v>AMD Ryzen 7</v>
      </c>
      <c r="AT14" s="185">
        <f t="shared" ca="1" si="22"/>
        <v>16</v>
      </c>
      <c r="AU14" s="185">
        <f t="shared" ca="1" si="22"/>
        <v>512</v>
      </c>
      <c r="AV14" s="185">
        <f t="shared" ca="1" si="22"/>
        <v>14</v>
      </c>
      <c r="AW14" s="185">
        <f t="shared" ca="1" si="22"/>
        <v>4</v>
      </c>
      <c r="AX14" s="185">
        <f t="shared" ca="1" si="22"/>
        <v>1</v>
      </c>
      <c r="AY14" s="185" t="str">
        <f t="shared" ca="1" si="22"/>
        <v>Ja, HDMI-port finns</v>
      </c>
      <c r="AZ14" s="185" t="str">
        <f t="shared" ca="1" si="22"/>
        <v>802.11a/b/g/n/ac/ax</v>
      </c>
      <c r="BA14" s="185">
        <f t="shared" ca="1" si="22"/>
        <v>5.2</v>
      </c>
      <c r="BB14" s="185">
        <f t="shared" ca="1" si="23"/>
        <v>11</v>
      </c>
      <c r="BC14" s="185" t="str">
        <f t="shared" ca="1" si="23"/>
        <v>Version 8.0</v>
      </c>
      <c r="BD14" s="185" t="str">
        <f t="shared" ca="1" si="23"/>
        <v>Ja</v>
      </c>
      <c r="BE14" s="185" t="str">
        <f t="shared" ca="1" si="23"/>
        <v>Windows 11 Pro</v>
      </c>
      <c r="BF14" s="185" t="str">
        <f t="shared" ca="1" si="23"/>
        <v>HP ProBook 445 G10</v>
      </c>
      <c r="BG14" s="185">
        <f t="shared" ca="1" si="23"/>
        <v>10608</v>
      </c>
      <c r="BH14" s="192">
        <f t="shared" ca="1" si="23"/>
        <v>60</v>
      </c>
      <c r="BI14" s="192">
        <f t="shared" ca="1" si="23"/>
        <v>218</v>
      </c>
      <c r="BJ14" s="192">
        <f t="shared" ca="1" si="23"/>
        <v>251</v>
      </c>
      <c r="BK14" s="192">
        <f t="shared" ca="1" si="23"/>
        <v>1462</v>
      </c>
      <c r="BL14" s="192">
        <f t="shared" ca="1" si="24"/>
        <v>226</v>
      </c>
      <c r="BM14" s="192">
        <f t="shared" ca="1" si="24"/>
        <v>112</v>
      </c>
      <c r="BN14" s="192">
        <f t="shared" ca="1" si="24"/>
        <v>50</v>
      </c>
      <c r="BO14" s="192">
        <f t="shared" ca="1" si="24"/>
        <v>50</v>
      </c>
      <c r="BP14" s="192" t="str">
        <f t="shared" ca="1" si="24"/>
        <v>V7</v>
      </c>
      <c r="BQ14" s="192" t="str">
        <f t="shared" ca="1" si="24"/>
        <v>PORT Designs</v>
      </c>
      <c r="BR14" s="192" t="str">
        <f t="shared" ca="1" si="24"/>
        <v>CoreParts</v>
      </c>
      <c r="BS14" s="192" t="str">
        <f t="shared" ca="1" si="24"/>
        <v>HP</v>
      </c>
      <c r="BT14" s="192" t="str">
        <f t="shared" ca="1" si="24"/>
        <v xml:space="preserve"> CSE14-BLK-3E  -Fodral för bärbar dator - 14" - svart</v>
      </c>
      <c r="BU14" s="192" t="str">
        <f t="shared" ca="1" si="24"/>
        <v>900003 - Professional - filter för personlig integritet - 14"</v>
      </c>
      <c r="BV14" s="192" t="str">
        <f t="shared" ca="1" si="24"/>
        <v>MBXUSBC-AC0005 - USB-C - strömadapter 45 Watt</v>
      </c>
      <c r="BW14" s="192" t="str">
        <f t="shared" ca="1" si="24"/>
        <v>72C71AA#ABB - Essential - dockningsstation</v>
      </c>
      <c r="BX14" s="192"/>
      <c r="BY14" s="192" t="str">
        <f t="shared" ca="1" si="25"/>
        <v>Advania Sverige AB</v>
      </c>
      <c r="BZ14" s="192" t="str">
        <f t="shared" ca="1" si="25"/>
        <v>HP</v>
      </c>
      <c r="CA14" s="185"/>
      <c r="CB14" s="185"/>
      <c r="CC14" s="185">
        <v>32</v>
      </c>
      <c r="CD14" s="185"/>
      <c r="CE14" s="185"/>
      <c r="CF14" s="185">
        <v>4</v>
      </c>
      <c r="CG14" s="185"/>
      <c r="CH14" s="185"/>
      <c r="CI14" s="185"/>
      <c r="CJ14" s="186">
        <v>5.3</v>
      </c>
      <c r="CK14" s="185"/>
      <c r="CL14" s="185"/>
      <c r="CM14" s="185"/>
      <c r="CN14" s="185"/>
    </row>
    <row r="15" spans="2:92" ht="22.5" customHeight="1" outlineLevel="1" x14ac:dyDescent="0.35">
      <c r="C15" s="61" t="s">
        <v>2</v>
      </c>
      <c r="D15" s="64"/>
      <c r="F15" s="80" t="str">
        <f t="shared" si="26"/>
        <v/>
      </c>
      <c r="G15" s="81" t="str">
        <f t="shared" ca="1" si="27"/>
        <v>1920x1080</v>
      </c>
      <c r="H15" s="81" t="str">
        <f t="shared" ca="1" si="27"/>
        <v>1920x1080</v>
      </c>
      <c r="I15" s="120" t="str">
        <f t="shared" ca="1" si="27"/>
        <v>1920x1080</v>
      </c>
      <c r="J15" s="62"/>
      <c r="K15" s="196">
        <f t="shared" ca="1" si="4"/>
        <v>0</v>
      </c>
      <c r="L15" s="185" t="b">
        <f t="shared" si="28"/>
        <v>1</v>
      </c>
      <c r="M15" s="185" t="s">
        <v>169</v>
      </c>
      <c r="N15" s="185" t="str">
        <f t="shared" ca="1" si="29"/>
        <v>Offererad produktnr. 01Foxway Education AB</v>
      </c>
      <c r="O15" s="196" cm="1">
        <f t="array" aca="1" ref="O15" ca="1">MIN(IF(($BY$12:$BY$35=M15)*($AQ$12:$AQ$35=$O$9),$Z$12:$Z$35))</f>
        <v>8848</v>
      </c>
      <c r="P15" s="197"/>
      <c r="Q15" s="185">
        <f t="shared" si="5"/>
        <v>0</v>
      </c>
      <c r="R15" s="185">
        <f t="shared" si="6"/>
        <v>0</v>
      </c>
      <c r="S15" s="185">
        <f t="shared" si="7"/>
        <v>0</v>
      </c>
      <c r="T15" s="185">
        <f t="shared" si="8"/>
        <v>0</v>
      </c>
      <c r="U15" s="185">
        <f t="shared" si="9"/>
        <v>0</v>
      </c>
      <c r="V15" s="185">
        <f t="shared" si="10"/>
        <v>0</v>
      </c>
      <c r="W15" s="185">
        <f t="shared" si="11"/>
        <v>0</v>
      </c>
      <c r="X15" s="185">
        <f t="shared" si="12"/>
        <v>0</v>
      </c>
      <c r="Y15" s="185">
        <f t="shared" si="13"/>
        <v>0</v>
      </c>
      <c r="Z15" s="196">
        <f t="shared" ca="1" si="14"/>
        <v>11474</v>
      </c>
      <c r="AA15" s="185" t="str">
        <f t="shared" ca="1" si="15"/>
        <v>Offererad produktnr. 04Advania Sverige AB</v>
      </c>
      <c r="AB15" s="185"/>
      <c r="AC15" s="185" t="b">
        <f ca="1">IFERROR(IF(D16="",TRUE,
IF(OR(D16=$CB$12,D16=$CB$13),IF(LEFT(AS15,FIND(" ",AS15)-1)=D16,TRUE,FALSE),
IF(OFFSET(Processor!$AB$1,MATCH($AS15,Processor!$AA$2:$AA$23,0),MATCH(LEFT(D16,FIND(" ",D16)-1),Processor!$AC$1:$AG$1,0))&gt;=
OFFSET(Processor!$AB$1,MATCH(D16,Processor!$AA$2:$AA$23,0),MATCH(LEFT(D16,FIND(" ",D16)-1),Processor!$AC$1:$AG$1,0)),TRUE,FALSE))),FALSE)</f>
        <v>1</v>
      </c>
      <c r="AD15" s="185" t="b">
        <f t="shared" si="16"/>
        <v>1</v>
      </c>
      <c r="AE15" s="185" t="b">
        <f t="shared" si="17"/>
        <v>1</v>
      </c>
      <c r="AF15" s="185" t="b">
        <f>IF($D$14="",TRUE,IF(COUNTIF(Processor!$I$2:$I$9,$D$14)&gt;0,AND(AV15&gt;INDEX(Processor!$J$2:$J$9,MATCH($D$14,Processor!$I$2:$I$9,0)),AV15&lt;INDEX(Processor!$K$2:$K$9,MATCH($D$14,Processor!$I$2:$I$9,0))),IF(AV15=$D$14,TRUE,FALSE)))</f>
        <v>1</v>
      </c>
      <c r="AG15" s="185" t="b">
        <f t="shared" si="18"/>
        <v>1</v>
      </c>
      <c r="AH15" s="185" t="b">
        <f t="shared" si="19"/>
        <v>1</v>
      </c>
      <c r="AI15" s="185" t="b">
        <f t="shared" si="20"/>
        <v>1</v>
      </c>
      <c r="AJ15" s="185" t="b">
        <f t="shared" si="30"/>
        <v>1</v>
      </c>
      <c r="AK15" s="185" t="b">
        <f t="shared" si="21"/>
        <v>1</v>
      </c>
      <c r="AL15" s="185" t="b">
        <f>IFERROR(IF($D25="",TRUE,IF(MID(BC15,LEN(BC15)-2,1)*1&gt;=MID($D25,LEN($D25)-2,1)*1,TRUE,FALSE)),FALSE)</f>
        <v>1</v>
      </c>
      <c r="AM15" s="185" t="b">
        <f>IF(D24="",TRUE,IF(BB15&gt;=D24,TRUE,FALSE))</f>
        <v>1</v>
      </c>
      <c r="AN15" s="185"/>
      <c r="AO15" s="185"/>
      <c r="AP15" s="185" t="s">
        <v>201</v>
      </c>
      <c r="AQ15" s="185">
        <v>1</v>
      </c>
      <c r="AR15" s="185" t="str">
        <f t="shared" ca="1" si="22"/>
        <v>1920x1080</v>
      </c>
      <c r="AS15" s="185" t="str">
        <f t="shared" ca="1" si="22"/>
        <v>Intel i7 Gen 12</v>
      </c>
      <c r="AT15" s="185">
        <f t="shared" ca="1" si="22"/>
        <v>16</v>
      </c>
      <c r="AU15" s="185">
        <f t="shared" ca="1" si="22"/>
        <v>512</v>
      </c>
      <c r="AV15" s="185">
        <f t="shared" ca="1" si="22"/>
        <v>14</v>
      </c>
      <c r="AW15" s="185">
        <f t="shared" ca="1" si="22"/>
        <v>4</v>
      </c>
      <c r="AX15" s="185">
        <f t="shared" ca="1" si="22"/>
        <v>2</v>
      </c>
      <c r="AY15" s="185" t="str">
        <f t="shared" ca="1" si="22"/>
        <v>Ja, HDMI-port finns</v>
      </c>
      <c r="AZ15" s="185" t="str">
        <f t="shared" ca="1" si="22"/>
        <v>802.11a/b/g/n/ac/ax</v>
      </c>
      <c r="BA15" s="185">
        <f t="shared" ca="1" si="22"/>
        <v>5.2</v>
      </c>
      <c r="BB15" s="185">
        <f t="shared" ca="1" si="23"/>
        <v>11</v>
      </c>
      <c r="BC15" s="185" t="str">
        <f t="shared" ca="1" si="23"/>
        <v>Version 8.0</v>
      </c>
      <c r="BD15" s="185" t="str">
        <f t="shared" ca="1" si="23"/>
        <v>Ja</v>
      </c>
      <c r="BE15" s="185" t="str">
        <f t="shared" ca="1" si="23"/>
        <v>Windows 11 Pro</v>
      </c>
      <c r="BF15" s="185" t="str">
        <f t="shared" ca="1" si="23"/>
        <v>ProBook 440 G11</v>
      </c>
      <c r="BG15" s="185">
        <f t="shared" ca="1" si="23"/>
        <v>11474</v>
      </c>
      <c r="BH15" s="192">
        <f t="shared" ca="1" si="23"/>
        <v>60</v>
      </c>
      <c r="BI15" s="192">
        <f t="shared" ca="1" si="23"/>
        <v>218</v>
      </c>
      <c r="BJ15" s="192">
        <f t="shared" ca="1" si="23"/>
        <v>251</v>
      </c>
      <c r="BK15" s="192">
        <f t="shared" ca="1" si="23"/>
        <v>1462</v>
      </c>
      <c r="BL15" s="192">
        <f t="shared" ca="1" si="24"/>
        <v>226</v>
      </c>
      <c r="BM15" s="192">
        <f t="shared" ca="1" si="24"/>
        <v>112</v>
      </c>
      <c r="BN15" s="192">
        <f t="shared" ca="1" si="24"/>
        <v>50</v>
      </c>
      <c r="BO15" s="192">
        <f t="shared" ca="1" si="24"/>
        <v>50</v>
      </c>
      <c r="BP15" s="192" t="str">
        <f t="shared" ca="1" si="24"/>
        <v>V7</v>
      </c>
      <c r="BQ15" s="192" t="str">
        <f t="shared" ca="1" si="24"/>
        <v>DICOTA</v>
      </c>
      <c r="BR15" s="192" t="str">
        <f t="shared" ca="1" si="24"/>
        <v>CoreParts</v>
      </c>
      <c r="BS15" s="192" t="str">
        <f t="shared" ca="1" si="24"/>
        <v>HP</v>
      </c>
      <c r="BT15" s="192" t="str">
        <f t="shared" ca="1" si="24"/>
        <v xml:space="preserve"> CSE14-BLK-3E  -Fodral för bärbar dator - 14" - svart</v>
      </c>
      <c r="BU15" s="192" t="str">
        <f t="shared" ca="1" si="24"/>
        <v>D70513 - Sekretessfilter till bärbar dator - 2-vägs - borttagbar - lim - 14 tum bred - svart</v>
      </c>
      <c r="BV15" s="192" t="str">
        <f t="shared" ca="1" si="24"/>
        <v>MBXUSBC-AC0005 - USB-C - strömadapter 45 Watt</v>
      </c>
      <c r="BW15" s="192" t="str">
        <f t="shared" ca="1" si="24"/>
        <v>72C71AA#ABB - Essential - dockningsstation</v>
      </c>
      <c r="BX15" s="192"/>
      <c r="BY15" s="192" t="str">
        <f t="shared" ca="1" si="25"/>
        <v>Advania Sverige AB</v>
      </c>
      <c r="BZ15" s="192" t="str">
        <f t="shared" ca="1" si="25"/>
        <v>HP</v>
      </c>
      <c r="CA15" s="185"/>
      <c r="CB15" s="185" t="s">
        <v>65</v>
      </c>
      <c r="CC15" s="185"/>
      <c r="CD15" s="185"/>
      <c r="CE15" s="185"/>
      <c r="CF15" s="185"/>
      <c r="CG15" s="185"/>
      <c r="CH15" s="185"/>
      <c r="CI15" s="185"/>
      <c r="CJ15" s="186"/>
      <c r="CK15" s="185"/>
      <c r="CL15" s="185"/>
      <c r="CM15" s="185"/>
      <c r="CN15" s="185"/>
    </row>
    <row r="16" spans="2:92" ht="22.5" customHeight="1" outlineLevel="1" x14ac:dyDescent="0.35">
      <c r="C16" s="61" t="s">
        <v>4</v>
      </c>
      <c r="D16" s="64"/>
      <c r="F16" s="80" t="str">
        <f t="shared" si="26"/>
        <v/>
      </c>
      <c r="G16" s="81" t="str">
        <f t="shared" ca="1" si="27"/>
        <v>AMD Ryzen 5</v>
      </c>
      <c r="H16" s="81" t="str">
        <f t="shared" ca="1" si="27"/>
        <v>AMD Ryzen 5</v>
      </c>
      <c r="I16" s="120" t="str">
        <f t="shared" ca="1" si="27"/>
        <v>AMD Ryzen 7</v>
      </c>
      <c r="J16" s="62"/>
      <c r="K16" s="196">
        <f t="shared" ca="1" si="4"/>
        <v>0</v>
      </c>
      <c r="L16" s="185" t="b">
        <f t="shared" ref="L16:L17" si="31">IF($D$45=0,TRUE,IF(K16=0,FALSE,TRUE))</f>
        <v>1</v>
      </c>
      <c r="M16" s="185" t="s">
        <v>167</v>
      </c>
      <c r="N16" s="185" t="e">
        <f t="shared" ca="1" si="29"/>
        <v>#N/A</v>
      </c>
      <c r="O16" s="196" cm="1">
        <f t="array" aca="1" ref="O16" ca="1">MIN(IF(($BY$12:$BY$35=M16)*($AQ$12:$AQ$35=$O$9),$Z$12:$Z$35))</f>
        <v>0</v>
      </c>
      <c r="P16" s="197"/>
      <c r="Q16" s="185">
        <f t="shared" si="5"/>
        <v>0</v>
      </c>
      <c r="R16" s="185">
        <f t="shared" si="6"/>
        <v>0</v>
      </c>
      <c r="S16" s="185">
        <f t="shared" si="7"/>
        <v>0</v>
      </c>
      <c r="T16" s="185">
        <f t="shared" si="8"/>
        <v>0</v>
      </c>
      <c r="U16" s="185">
        <f t="shared" si="9"/>
        <v>0</v>
      </c>
      <c r="V16" s="185">
        <f t="shared" si="10"/>
        <v>0</v>
      </c>
      <c r="W16" s="185">
        <f t="shared" si="11"/>
        <v>0</v>
      </c>
      <c r="X16" s="185">
        <f t="shared" si="12"/>
        <v>0</v>
      </c>
      <c r="Y16" s="185">
        <f t="shared" si="13"/>
        <v>0</v>
      </c>
      <c r="Z16" s="196">
        <f t="shared" ca="1" si="14"/>
        <v>11724</v>
      </c>
      <c r="AA16" s="185" t="str">
        <f t="shared" ca="1" si="15"/>
        <v>Offererad produktnr. 01Atea Sverige AB</v>
      </c>
      <c r="AB16" s="185"/>
      <c r="AC16" s="185" t="b">
        <f ca="1">IFERROR(IF(D16="",TRUE,
IF(OR(D16=$CB$12,D16=$CB$13),IF(LEFT(AS16,FIND(" ",AS16)-1)=D16,TRUE,FALSE),
IF(OFFSET(Processor!$AB$1,MATCH($AS16,Processor!$AA$2:$AA$23,0),MATCH(LEFT(D16,FIND(" ",D16)-1),Processor!$AC$1:$AG$1,0))&gt;=
OFFSET(Processor!$AB$1,MATCH(D16,Processor!$AA$2:$AA$23,0),MATCH(LEFT(D16,FIND(" ",D16)-1),Processor!$AC$1:$AG$1,0)),TRUE,FALSE))),FALSE)</f>
        <v>1</v>
      </c>
      <c r="AD16" s="185" t="b">
        <f t="shared" si="16"/>
        <v>1</v>
      </c>
      <c r="AE16" s="185" t="b">
        <f t="shared" si="17"/>
        <v>1</v>
      </c>
      <c r="AF16" s="185" t="b">
        <f>IF($D$14="",TRUE,IF(COUNTIF(Processor!$I$2:$I$9,$D$14)&gt;0,AND(AV16&gt;INDEX(Processor!$J$2:$J$9,MATCH($D$14,Processor!$I$2:$I$9,0)),AV16&lt;INDEX(Processor!$K$2:$K$9,MATCH($D$14,Processor!$I$2:$I$9,0))),IF(AV16=$D$14,TRUE,FALSE)))</f>
        <v>1</v>
      </c>
      <c r="AG16" s="185" t="b">
        <f t="shared" si="18"/>
        <v>1</v>
      </c>
      <c r="AH16" s="185" t="b">
        <f t="shared" si="19"/>
        <v>1</v>
      </c>
      <c r="AI16" s="185" t="b">
        <f t="shared" si="20"/>
        <v>1</v>
      </c>
      <c r="AJ16" s="185" t="b">
        <f t="shared" si="30"/>
        <v>1</v>
      </c>
      <c r="AK16" s="185" t="b">
        <f t="shared" si="21"/>
        <v>1</v>
      </c>
      <c r="AL16" s="185" t="b">
        <f>IFERROR(IF($D25="",TRUE,IF(MID(BC16,LEN(BC16)-2,1)*1&gt;=MID($D25,LEN($D25)-2,1)*1,TRUE,FALSE)),FALSE)</f>
        <v>1</v>
      </c>
      <c r="AM16" s="185" t="b">
        <f>IF(D24="",TRUE,IF(BB16&gt;=D24,TRUE,FALSE))</f>
        <v>1</v>
      </c>
      <c r="AN16" s="185"/>
      <c r="AO16" s="185"/>
      <c r="AP16" s="185" t="s">
        <v>186</v>
      </c>
      <c r="AQ16" s="185">
        <v>1</v>
      </c>
      <c r="AR16" s="185" t="str">
        <f t="shared" ca="1" si="22"/>
        <v>1920x1080</v>
      </c>
      <c r="AS16" s="185" t="str">
        <f t="shared" ca="1" si="22"/>
        <v>Intel i5 Gen 13</v>
      </c>
      <c r="AT16" s="185">
        <f t="shared" ca="1" si="22"/>
        <v>16</v>
      </c>
      <c r="AU16" s="185">
        <f t="shared" ca="1" si="22"/>
        <v>256</v>
      </c>
      <c r="AV16" s="185">
        <f t="shared" ca="1" si="22"/>
        <v>14</v>
      </c>
      <c r="AW16" s="185">
        <f t="shared" ca="1" si="22"/>
        <v>4</v>
      </c>
      <c r="AX16" s="185">
        <f t="shared" ca="1" si="22"/>
        <v>2</v>
      </c>
      <c r="AY16" s="185" t="str">
        <f t="shared" ca="1" si="22"/>
        <v>Ja, HDMI-port finns</v>
      </c>
      <c r="AZ16" s="185" t="str">
        <f t="shared" ca="1" si="22"/>
        <v>802.11a/b/g/n/ac/ax</v>
      </c>
      <c r="BA16" s="185">
        <f t="shared" ca="1" si="22"/>
        <v>5.2</v>
      </c>
      <c r="BB16" s="185">
        <f t="shared" ca="1" si="23"/>
        <v>8</v>
      </c>
      <c r="BC16" s="185" t="str">
        <f t="shared" ca="1" si="23"/>
        <v>Version 8.0</v>
      </c>
      <c r="BD16" s="185" t="str">
        <f t="shared" ca="1" si="23"/>
        <v>Ja</v>
      </c>
      <c r="BE16" s="185" t="str">
        <f t="shared" ca="1" si="23"/>
        <v>Windows 11 Pro</v>
      </c>
      <c r="BF16" s="185" t="str">
        <f t="shared" ca="1" si="23"/>
        <v>Elitebook 640 G10</v>
      </c>
      <c r="BG16" s="185">
        <f t="shared" ca="1" si="23"/>
        <v>11724</v>
      </c>
      <c r="BH16" s="192">
        <f t="shared" ca="1" si="23"/>
        <v>134</v>
      </c>
      <c r="BI16" s="192">
        <f t="shared" ca="1" si="23"/>
        <v>449</v>
      </c>
      <c r="BJ16" s="192">
        <f t="shared" ca="1" si="23"/>
        <v>241</v>
      </c>
      <c r="BK16" s="192">
        <f t="shared" ca="1" si="23"/>
        <v>1788</v>
      </c>
      <c r="BL16" s="192">
        <f t="shared" ca="1" si="24"/>
        <v>706</v>
      </c>
      <c r="BM16" s="192">
        <f t="shared" ca="1" si="24"/>
        <v>120</v>
      </c>
      <c r="BN16" s="192">
        <f t="shared" ca="1" si="24"/>
        <v>85</v>
      </c>
      <c r="BO16" s="192">
        <f t="shared" ca="1" si="24"/>
        <v>100</v>
      </c>
      <c r="BP16" s="192" t="str">
        <f t="shared" ca="1" si="24"/>
        <v>DELTACO</v>
      </c>
      <c r="BQ16" s="192" t="str">
        <f t="shared" ca="1" si="24"/>
        <v>Targus</v>
      </c>
      <c r="BR16" s="192" t="str">
        <f t="shared" ca="1" si="24"/>
        <v>HP</v>
      </c>
      <c r="BS16" s="192" t="str">
        <f t="shared" ca="1" si="24"/>
        <v>HP</v>
      </c>
      <c r="BT16" s="192" t="str">
        <f t="shared" ca="1" si="24"/>
        <v>Fodral för bärbar dator</v>
      </c>
      <c r="BU16" s="192" t="str">
        <f t="shared" ca="1" si="24"/>
        <v>Targus Privacy Screen 14" Widescreen</v>
      </c>
      <c r="BV16" s="192" t="str">
        <f t="shared" ca="1" si="24"/>
        <v>HP 65W Smart AC Adapter</v>
      </c>
      <c r="BW16" s="192" t="str">
        <f t="shared" ca="1" si="24"/>
        <v>HP USB-C Dock G5 Essential</v>
      </c>
      <c r="BX16" s="192"/>
      <c r="BY16" s="192" t="str">
        <f t="shared" ca="1" si="25"/>
        <v>Atea Sverige AB</v>
      </c>
      <c r="BZ16" s="192" t="str">
        <f t="shared" ca="1" si="25"/>
        <v>HP</v>
      </c>
      <c r="CA16" s="185"/>
      <c r="CB16" s="185" t="s">
        <v>66</v>
      </c>
      <c r="CC16" s="185"/>
      <c r="CD16" s="185"/>
      <c r="CE16" s="185"/>
      <c r="CF16" s="185"/>
      <c r="CG16" s="185"/>
      <c r="CH16" s="185"/>
      <c r="CI16" s="185"/>
      <c r="CJ16" s="185"/>
      <c r="CK16" s="185"/>
      <c r="CL16" s="185"/>
      <c r="CM16" s="185"/>
      <c r="CN16" s="185"/>
    </row>
    <row r="17" spans="2:92" ht="22.5" customHeight="1" outlineLevel="1" x14ac:dyDescent="0.35">
      <c r="C17" s="61" t="s">
        <v>119</v>
      </c>
      <c r="D17" s="64"/>
      <c r="F17" s="80" t="str">
        <f t="shared" si="26"/>
        <v/>
      </c>
      <c r="G17" s="81">
        <f t="shared" ca="1" si="27"/>
        <v>8</v>
      </c>
      <c r="H17" s="81">
        <f t="shared" ca="1" si="27"/>
        <v>8</v>
      </c>
      <c r="I17" s="120">
        <f t="shared" ca="1" si="27"/>
        <v>16</v>
      </c>
      <c r="J17" s="62"/>
      <c r="K17" s="196">
        <f t="shared" ca="1" si="4"/>
        <v>0</v>
      </c>
      <c r="L17" s="185" t="b">
        <f t="shared" si="31"/>
        <v>1</v>
      </c>
      <c r="M17" s="185" t="s">
        <v>546</v>
      </c>
      <c r="N17" s="185" t="str">
        <f t="shared" ca="1" si="29"/>
        <v>Offererad produktnr. 01Qlosr Göteborg AB</v>
      </c>
      <c r="O17" s="196" cm="1">
        <f t="array" aca="1" ref="O17" ca="1">MIN(IF(($BY$12:$BY$35=M17)*($AQ$12:$AQ$35=$O$9),$Z$12:$Z$35))</f>
        <v>6420</v>
      </c>
      <c r="P17" s="197"/>
      <c r="Q17" s="185">
        <f t="shared" si="5"/>
        <v>0</v>
      </c>
      <c r="R17" s="185">
        <f t="shared" si="6"/>
        <v>0</v>
      </c>
      <c r="S17" s="185">
        <f t="shared" si="7"/>
        <v>0</v>
      </c>
      <c r="T17" s="185">
        <f t="shared" si="8"/>
        <v>0</v>
      </c>
      <c r="U17" s="185">
        <f t="shared" si="9"/>
        <v>0</v>
      </c>
      <c r="V17" s="185">
        <f t="shared" si="10"/>
        <v>0</v>
      </c>
      <c r="W17" s="185">
        <f t="shared" si="11"/>
        <v>0</v>
      </c>
      <c r="X17" s="185">
        <f t="shared" si="12"/>
        <v>0</v>
      </c>
      <c r="Y17" s="185">
        <f t="shared" si="13"/>
        <v>0</v>
      </c>
      <c r="Z17" s="196">
        <f t="shared" ca="1" si="14"/>
        <v>14238</v>
      </c>
      <c r="AA17" s="185" t="str">
        <f t="shared" ca="1" si="15"/>
        <v>Offererad produktnr. 02Atea Sverige AB</v>
      </c>
      <c r="AB17" s="185"/>
      <c r="AC17" s="185" t="b">
        <f ca="1">IFERROR(IF(D16="",TRUE,
IF(OR(D16=$CB$12,D16=$CB$13),IF(LEFT(AS17,FIND(" ",AS17)-1)=D16,TRUE,FALSE),
IF(OFFSET(Processor!$AB$1,MATCH($AS17,Processor!$AA$2:$AA$23,0),MATCH(LEFT(D16,FIND(" ",D16)-1),Processor!$AC$1:$AG$1,0))&gt;=
OFFSET(Processor!$AB$1,MATCH(D16,Processor!$AA$2:$AA$23,0),MATCH(LEFT(D16,FIND(" ",D16)-1),Processor!$AC$1:$AG$1,0)),TRUE,FALSE))),FALSE)</f>
        <v>1</v>
      </c>
      <c r="AD17" s="185" t="b">
        <f t="shared" si="16"/>
        <v>1</v>
      </c>
      <c r="AE17" s="185" t="b">
        <f t="shared" si="17"/>
        <v>1</v>
      </c>
      <c r="AF17" s="185" t="b">
        <f>IF($D$14="",TRUE,IF(COUNTIF(Processor!$I$2:$I$9,$D$14)&gt;0,AND(AV17&gt;INDEX(Processor!$J$2:$J$9,MATCH($D$14,Processor!$I$2:$I$9,0)),AV17&lt;INDEX(Processor!$K$2:$K$9,MATCH($D$14,Processor!$I$2:$I$9,0))),IF(AV17=$D$14,TRUE,FALSE)))</f>
        <v>1</v>
      </c>
      <c r="AG17" s="185" t="b">
        <f t="shared" si="18"/>
        <v>1</v>
      </c>
      <c r="AH17" s="185" t="b">
        <f t="shared" si="19"/>
        <v>1</v>
      </c>
      <c r="AI17" s="185" t="b">
        <f t="shared" si="20"/>
        <v>1</v>
      </c>
      <c r="AJ17" s="185" t="b">
        <f t="shared" si="30"/>
        <v>1</v>
      </c>
      <c r="AK17" s="185" t="b">
        <f t="shared" si="21"/>
        <v>1</v>
      </c>
      <c r="AL17" s="185" t="b">
        <f>IFERROR(IF($D25="",TRUE,IF(MID(BC17,LEN(BC17)-2,1)*1&gt;=MID($D25,LEN($D25)-2,1)*1,TRUE,FALSE)),FALSE)</f>
        <v>1</v>
      </c>
      <c r="AM17" s="185" t="b">
        <f>IF(D24="",TRUE,IF(BB17&gt;=D24,TRUE,FALSE))</f>
        <v>1</v>
      </c>
      <c r="AN17" s="185"/>
      <c r="AO17" s="185"/>
      <c r="AP17" s="185" t="s">
        <v>187</v>
      </c>
      <c r="AQ17" s="185">
        <v>1</v>
      </c>
      <c r="AR17" s="185" t="str">
        <f t="shared" ca="1" si="22"/>
        <v>1920x1200</v>
      </c>
      <c r="AS17" s="185" t="str">
        <f t="shared" ca="1" si="22"/>
        <v>Intel i5 Gen 13</v>
      </c>
      <c r="AT17" s="185">
        <f t="shared" ca="1" si="22"/>
        <v>16</v>
      </c>
      <c r="AU17" s="185">
        <f t="shared" ca="1" si="22"/>
        <v>256</v>
      </c>
      <c r="AV17" s="185">
        <f t="shared" ca="1" si="22"/>
        <v>14</v>
      </c>
      <c r="AW17" s="185">
        <f t="shared" ca="1" si="22"/>
        <v>4</v>
      </c>
      <c r="AX17" s="185">
        <f t="shared" ca="1" si="22"/>
        <v>2</v>
      </c>
      <c r="AY17" s="185" t="str">
        <f t="shared" ca="1" si="22"/>
        <v>Ja, HDMI-port finns</v>
      </c>
      <c r="AZ17" s="185" t="str">
        <f t="shared" ca="1" si="22"/>
        <v>802.11a/b/g/n/ac/ax</v>
      </c>
      <c r="BA17" s="185">
        <f t="shared" ca="1" si="22"/>
        <v>5.3</v>
      </c>
      <c r="BB17" s="185">
        <f t="shared" ca="1" si="23"/>
        <v>8</v>
      </c>
      <c r="BC17" s="185" t="str">
        <f t="shared" ca="1" si="23"/>
        <v>Version 8.0</v>
      </c>
      <c r="BD17" s="185" t="str">
        <f t="shared" ca="1" si="23"/>
        <v>Ja</v>
      </c>
      <c r="BE17" s="185" t="str">
        <f t="shared" ca="1" si="23"/>
        <v>Windows 11 Pro</v>
      </c>
      <c r="BF17" s="185" t="str">
        <f t="shared" ca="1" si="23"/>
        <v>Elitebook 840 G10</v>
      </c>
      <c r="BG17" s="185">
        <f t="shared" ca="1" si="23"/>
        <v>14238</v>
      </c>
      <c r="BH17" s="192">
        <f t="shared" ca="1" si="23"/>
        <v>134</v>
      </c>
      <c r="BI17" s="192">
        <f t="shared" ca="1" si="23"/>
        <v>449</v>
      </c>
      <c r="BJ17" s="192">
        <f t="shared" ca="1" si="23"/>
        <v>241</v>
      </c>
      <c r="BK17" s="192">
        <f t="shared" ca="1" si="23"/>
        <v>1788</v>
      </c>
      <c r="BL17" s="192">
        <f t="shared" ca="1" si="24"/>
        <v>2039</v>
      </c>
      <c r="BM17" s="192">
        <f t="shared" ca="1" si="24"/>
        <v>120</v>
      </c>
      <c r="BN17" s="192">
        <f t="shared" ca="1" si="24"/>
        <v>85</v>
      </c>
      <c r="BO17" s="192">
        <f t="shared" ca="1" si="24"/>
        <v>100</v>
      </c>
      <c r="BP17" s="192" t="str">
        <f t="shared" ca="1" si="24"/>
        <v>DELTACO</v>
      </c>
      <c r="BQ17" s="192" t="str">
        <f t="shared" ca="1" si="24"/>
        <v>Targus</v>
      </c>
      <c r="BR17" s="192" t="str">
        <f t="shared" ca="1" si="24"/>
        <v>HP</v>
      </c>
      <c r="BS17" s="192" t="str">
        <f t="shared" ca="1" si="24"/>
        <v>HP</v>
      </c>
      <c r="BT17" s="192" t="str">
        <f t="shared" ca="1" si="24"/>
        <v>Fodral för bärbar dator</v>
      </c>
      <c r="BU17" s="192" t="str">
        <f t="shared" ca="1" si="24"/>
        <v>Targus Privacy Screen 14" Widescreen</v>
      </c>
      <c r="BV17" s="192" t="str">
        <f t="shared" ca="1" si="24"/>
        <v>HP 65W Smart AC Adapter</v>
      </c>
      <c r="BW17" s="192" t="str">
        <f t="shared" ca="1" si="24"/>
        <v>HP USB-C Dock G5 Essential</v>
      </c>
      <c r="BX17" s="192"/>
      <c r="BY17" s="192" t="str">
        <f t="shared" ca="1" si="25"/>
        <v>Atea Sverige AB</v>
      </c>
      <c r="BZ17" s="192" t="str">
        <f t="shared" ca="1" si="25"/>
        <v>HP</v>
      </c>
      <c r="CA17" s="185"/>
      <c r="CB17" s="185" t="s">
        <v>63</v>
      </c>
      <c r="CC17" s="185"/>
      <c r="CD17" s="185"/>
      <c r="CE17" s="185"/>
      <c r="CF17" s="185"/>
      <c r="CG17" s="185"/>
      <c r="CH17" s="185"/>
      <c r="CI17" s="185"/>
      <c r="CJ17" s="186"/>
      <c r="CK17" s="185"/>
      <c r="CL17" s="185"/>
      <c r="CM17" s="185"/>
      <c r="CN17" s="185"/>
    </row>
    <row r="18" spans="2:92" ht="22.5" customHeight="1" outlineLevel="1" x14ac:dyDescent="0.35">
      <c r="C18" s="61" t="s">
        <v>16</v>
      </c>
      <c r="D18" s="64"/>
      <c r="F18" s="80" t="str">
        <f t="shared" si="26"/>
        <v/>
      </c>
      <c r="G18" s="81">
        <f t="shared" ca="1" si="27"/>
        <v>256</v>
      </c>
      <c r="H18" s="81">
        <f t="shared" ca="1" si="27"/>
        <v>256</v>
      </c>
      <c r="I18" s="120">
        <f t="shared" ca="1" si="27"/>
        <v>512</v>
      </c>
      <c r="J18" s="62"/>
      <c r="Q18" s="185">
        <f t="shared" si="5"/>
        <v>0</v>
      </c>
      <c r="R18" s="185">
        <f t="shared" si="6"/>
        <v>0</v>
      </c>
      <c r="S18" s="185">
        <f t="shared" si="7"/>
        <v>0</v>
      </c>
      <c r="T18" s="185">
        <f t="shared" si="8"/>
        <v>0</v>
      </c>
      <c r="U18" s="185">
        <f t="shared" si="9"/>
        <v>0</v>
      </c>
      <c r="V18" s="185">
        <f t="shared" si="10"/>
        <v>0</v>
      </c>
      <c r="W18" s="185">
        <f t="shared" si="11"/>
        <v>0</v>
      </c>
      <c r="X18" s="185">
        <f t="shared" si="12"/>
        <v>0</v>
      </c>
      <c r="Y18" s="185">
        <f t="shared" si="13"/>
        <v>0</v>
      </c>
      <c r="Z18" s="196">
        <f t="shared" ca="1" si="14"/>
        <v>13908</v>
      </c>
      <c r="AA18" s="185" t="str">
        <f t="shared" ca="1" si="15"/>
        <v>Offererad produktnr. 03Atea Sverige AB</v>
      </c>
      <c r="AB18" s="185"/>
      <c r="AC18" s="185" t="b">
        <f ca="1">IFERROR(IF(D16="",TRUE,
IF(OR(D16=$CB$12,D16=$CB$13),IF(LEFT(AS18,FIND(" ",AS18)-1)=D16,TRUE,FALSE),
IF(OFFSET(Processor!$AB$1,MATCH($AS18,Processor!$AA$2:$AA$23,0),MATCH(LEFT(D16,FIND(" ",D16)-1),Processor!$AC$1:$AG$1,0))&gt;=
OFFSET(Processor!$AB$1,MATCH(D16,Processor!$AA$2:$AA$23,0),MATCH(LEFT(D16,FIND(" ",D16)-1),Processor!$AC$1:$AG$1,0)),TRUE,FALSE))),FALSE)</f>
        <v>1</v>
      </c>
      <c r="AD18" s="185" t="b">
        <f t="shared" si="16"/>
        <v>1</v>
      </c>
      <c r="AE18" s="185" t="b">
        <f t="shared" si="17"/>
        <v>1</v>
      </c>
      <c r="AF18" s="185" t="b">
        <f>IF($D$14="",TRUE,IF(COUNTIF(Processor!$I$2:$I$9,$D$14)&gt;0,AND(AV18&gt;INDEX(Processor!$J$2:$J$9,MATCH($D$14,Processor!$I$2:$I$9,0)),AV18&lt;INDEX(Processor!$K$2:$K$9,MATCH($D$14,Processor!$I$2:$I$9,0))),IF(AV18=$D$14,TRUE,FALSE)))</f>
        <v>1</v>
      </c>
      <c r="AG18" s="185" t="b">
        <f t="shared" si="18"/>
        <v>1</v>
      </c>
      <c r="AH18" s="185" t="b">
        <f t="shared" si="19"/>
        <v>1</v>
      </c>
      <c r="AI18" s="185" t="b">
        <f t="shared" si="20"/>
        <v>1</v>
      </c>
      <c r="AJ18" s="185" t="b">
        <f t="shared" si="30"/>
        <v>1</v>
      </c>
      <c r="AK18" s="185" t="b">
        <f t="shared" si="21"/>
        <v>1</v>
      </c>
      <c r="AL18" s="185" t="b">
        <f>IFERROR(IF($D25="",TRUE,IF(MID(BC18,LEN(BC18)-2,1)*1&gt;=MID($D25,LEN($D25)-2,1)*1,TRUE,FALSE)),FALSE)</f>
        <v>1</v>
      </c>
      <c r="AM18" s="185" t="b">
        <f>IF(D24="",TRUE,IF(BB18&gt;=D24,TRUE,FALSE))</f>
        <v>1</v>
      </c>
      <c r="AN18" s="185"/>
      <c r="AO18" s="185"/>
      <c r="AP18" s="185" t="s">
        <v>188</v>
      </c>
      <c r="AQ18" s="185">
        <v>1</v>
      </c>
      <c r="AR18" s="185" t="str">
        <f t="shared" ca="1" si="22"/>
        <v>1920x1080</v>
      </c>
      <c r="AS18" s="185" t="str">
        <f t="shared" ca="1" si="22"/>
        <v>Intel i7 Gen 13</v>
      </c>
      <c r="AT18" s="185">
        <f t="shared" ca="1" si="22"/>
        <v>16</v>
      </c>
      <c r="AU18" s="185">
        <f t="shared" ca="1" si="22"/>
        <v>512</v>
      </c>
      <c r="AV18" s="185">
        <f t="shared" ca="1" si="22"/>
        <v>14</v>
      </c>
      <c r="AW18" s="185">
        <f t="shared" ca="1" si="22"/>
        <v>4</v>
      </c>
      <c r="AX18" s="185">
        <f t="shared" ca="1" si="22"/>
        <v>2</v>
      </c>
      <c r="AY18" s="185" t="str">
        <f t="shared" ca="1" si="22"/>
        <v>Ja, HDMI-port finns</v>
      </c>
      <c r="AZ18" s="185" t="str">
        <f t="shared" ca="1" si="22"/>
        <v>802.11a/b/g/n/ac/ax</v>
      </c>
      <c r="BA18" s="185">
        <f t="shared" ca="1" si="22"/>
        <v>5.3</v>
      </c>
      <c r="BB18" s="185">
        <f t="shared" ca="1" si="23"/>
        <v>8</v>
      </c>
      <c r="BC18" s="185" t="str">
        <f t="shared" ca="1" si="23"/>
        <v>Version 8.0</v>
      </c>
      <c r="BD18" s="185" t="str">
        <f t="shared" ca="1" si="23"/>
        <v>Ja</v>
      </c>
      <c r="BE18" s="185" t="str">
        <f t="shared" ca="1" si="23"/>
        <v>Windows 11 Pro</v>
      </c>
      <c r="BF18" s="185" t="str">
        <f t="shared" ca="1" si="23"/>
        <v>Probook 440 G10</v>
      </c>
      <c r="BG18" s="185">
        <f t="shared" ca="1" si="23"/>
        <v>13908</v>
      </c>
      <c r="BH18" s="192">
        <f t="shared" ca="1" si="23"/>
        <v>134</v>
      </c>
      <c r="BI18" s="192">
        <f t="shared" ca="1" si="23"/>
        <v>449</v>
      </c>
      <c r="BJ18" s="192">
        <f t="shared" ca="1" si="23"/>
        <v>241</v>
      </c>
      <c r="BK18" s="192">
        <f t="shared" ca="1" si="23"/>
        <v>1788</v>
      </c>
      <c r="BL18" s="192">
        <f t="shared" ca="1" si="24"/>
        <v>706</v>
      </c>
      <c r="BM18" s="192">
        <f t="shared" ca="1" si="24"/>
        <v>120</v>
      </c>
      <c r="BN18" s="192">
        <f t="shared" ca="1" si="24"/>
        <v>85</v>
      </c>
      <c r="BO18" s="192">
        <f t="shared" ca="1" si="24"/>
        <v>100</v>
      </c>
      <c r="BP18" s="192" t="str">
        <f t="shared" ca="1" si="24"/>
        <v>DELTACO</v>
      </c>
      <c r="BQ18" s="192" t="str">
        <f t="shared" ca="1" si="24"/>
        <v>Targus</v>
      </c>
      <c r="BR18" s="192" t="str">
        <f t="shared" ca="1" si="24"/>
        <v>HP</v>
      </c>
      <c r="BS18" s="192" t="str">
        <f t="shared" ca="1" si="24"/>
        <v>HP</v>
      </c>
      <c r="BT18" s="192" t="str">
        <f t="shared" ca="1" si="24"/>
        <v>Fodral för bärbar dator</v>
      </c>
      <c r="BU18" s="192" t="str">
        <f t="shared" ca="1" si="24"/>
        <v>Targus Privacy Screen 14" Widescreen</v>
      </c>
      <c r="BV18" s="192" t="str">
        <f t="shared" ca="1" si="24"/>
        <v>HP 65W Smart AC Adapter</v>
      </c>
      <c r="BW18" s="192" t="str">
        <f t="shared" ca="1" si="24"/>
        <v>HP USB-C Dock G5 Essential</v>
      </c>
      <c r="BX18" s="192"/>
      <c r="BY18" s="192" t="str">
        <f t="shared" ca="1" si="25"/>
        <v>Atea Sverige AB</v>
      </c>
      <c r="BZ18" s="192" t="str">
        <f t="shared" ca="1" si="25"/>
        <v>HP</v>
      </c>
      <c r="CA18" s="185"/>
      <c r="CB18" s="185" t="s">
        <v>569</v>
      </c>
      <c r="CC18" s="185"/>
      <c r="CD18" s="185"/>
      <c r="CE18" s="185"/>
      <c r="CF18" s="185"/>
      <c r="CG18" s="185"/>
      <c r="CH18" s="185"/>
      <c r="CI18" s="185"/>
      <c r="CJ18" s="185"/>
      <c r="CK18" s="185"/>
      <c r="CL18" s="185"/>
      <c r="CM18" s="185"/>
      <c r="CN18" s="185"/>
    </row>
    <row r="19" spans="2:92" ht="22.5" customHeight="1" outlineLevel="1" x14ac:dyDescent="0.35">
      <c r="C19" s="61" t="s">
        <v>67</v>
      </c>
      <c r="D19" s="64"/>
      <c r="F19" s="80" t="str">
        <f t="shared" si="26"/>
        <v/>
      </c>
      <c r="G19" s="81">
        <f t="shared" ca="1" si="27"/>
        <v>4</v>
      </c>
      <c r="H19" s="81">
        <f t="shared" ca="1" si="27"/>
        <v>3</v>
      </c>
      <c r="I19" s="120">
        <f t="shared" ca="1" si="27"/>
        <v>4</v>
      </c>
      <c r="J19" s="62"/>
      <c r="Q19" s="185">
        <f t="shared" si="5"/>
        <v>0</v>
      </c>
      <c r="R19" s="185">
        <f t="shared" si="6"/>
        <v>0</v>
      </c>
      <c r="S19" s="185">
        <f t="shared" si="7"/>
        <v>0</v>
      </c>
      <c r="T19" s="185">
        <f t="shared" si="8"/>
        <v>0</v>
      </c>
      <c r="U19" s="185">
        <f t="shared" si="9"/>
        <v>0</v>
      </c>
      <c r="V19" s="185">
        <f t="shared" si="10"/>
        <v>0</v>
      </c>
      <c r="W19" s="185">
        <f t="shared" si="11"/>
        <v>0</v>
      </c>
      <c r="X19" s="185">
        <f t="shared" si="12"/>
        <v>0</v>
      </c>
      <c r="Y19" s="185">
        <f t="shared" si="13"/>
        <v>0</v>
      </c>
      <c r="Z19" s="196">
        <f t="shared" ca="1" si="14"/>
        <v>15588</v>
      </c>
      <c r="AA19" s="185" t="str">
        <f t="shared" ca="1" si="15"/>
        <v>Offererad produktnr. 04Atea Sverige AB</v>
      </c>
      <c r="AB19" s="185"/>
      <c r="AC19" s="185" t="b">
        <f ca="1">IFERROR(IF(D16="",TRUE,
IF(OR(D16=$CB$12,D16=$CB$13),IF(LEFT(AS19,FIND(" ",AS19)-1)=D16,TRUE,FALSE),
IF(OFFSET(Processor!$AB$1,MATCH($AS19,Processor!$AA$2:$AA$23,0),MATCH(LEFT(D16,FIND(" ",D16)-1),Processor!$AC$1:$AG$1,0))&gt;=
OFFSET(Processor!$AB$1,MATCH(D16,Processor!$AA$2:$AA$23,0),MATCH(LEFT(D16,FIND(" ",D16)-1),Processor!$AC$1:$AG$1,0)),TRUE,FALSE))),FALSE)</f>
        <v>1</v>
      </c>
      <c r="AD19" s="185" t="b">
        <f t="shared" si="16"/>
        <v>1</v>
      </c>
      <c r="AE19" s="185" t="b">
        <f t="shared" si="17"/>
        <v>1</v>
      </c>
      <c r="AF19" s="185" t="b">
        <f>IF($D$14="",TRUE,IF(COUNTIF(Processor!$I$2:$I$9,$D$14)&gt;0,AND(AV19&gt;INDEX(Processor!$J$2:$J$9,MATCH($D$14,Processor!$I$2:$I$9,0)),AV19&lt;INDEX(Processor!$K$2:$K$9,MATCH($D$14,Processor!$I$2:$I$9,0))),IF(AV19=$D$14,TRUE,FALSE)))</f>
        <v>1</v>
      </c>
      <c r="AG19" s="185" t="b">
        <f t="shared" si="18"/>
        <v>1</v>
      </c>
      <c r="AH19" s="185" t="b">
        <f t="shared" si="19"/>
        <v>1</v>
      </c>
      <c r="AI19" s="185" t="b">
        <f t="shared" si="20"/>
        <v>1</v>
      </c>
      <c r="AJ19" s="185" t="b">
        <f t="shared" si="30"/>
        <v>1</v>
      </c>
      <c r="AK19" s="185" t="b">
        <f t="shared" si="21"/>
        <v>1</v>
      </c>
      <c r="AL19" s="185" t="b">
        <f>IFERROR(IF($D25="",TRUE,IF(MID(BC19,LEN(BC19)-2,1)*1&gt;=MID($D25,LEN($D25)-2,1)*1,TRUE,FALSE)),FALSE)</f>
        <v>1</v>
      </c>
      <c r="AM19" s="185" t="b">
        <f>IF(D24="",TRUE,IF(BB19&gt;=D24,TRUE,FALSE))</f>
        <v>1</v>
      </c>
      <c r="AN19" s="185"/>
      <c r="AO19" s="185"/>
      <c r="AP19" s="185" t="s">
        <v>189</v>
      </c>
      <c r="AQ19" s="185">
        <v>1</v>
      </c>
      <c r="AR19" s="185" t="str">
        <f t="shared" ca="1" si="22"/>
        <v>1920x1080</v>
      </c>
      <c r="AS19" s="185" t="str">
        <f t="shared" ca="1" si="22"/>
        <v>Intel i7 Gen 13</v>
      </c>
      <c r="AT19" s="185">
        <f t="shared" ca="1" si="22"/>
        <v>16</v>
      </c>
      <c r="AU19" s="185">
        <f t="shared" ca="1" si="22"/>
        <v>512</v>
      </c>
      <c r="AV19" s="185">
        <f t="shared" ca="1" si="22"/>
        <v>14</v>
      </c>
      <c r="AW19" s="185">
        <f t="shared" ca="1" si="22"/>
        <v>4</v>
      </c>
      <c r="AX19" s="185">
        <f t="shared" ca="1" si="22"/>
        <v>2</v>
      </c>
      <c r="AY19" s="185" t="str">
        <f t="shared" ca="1" si="22"/>
        <v>Ja, HDMI-port finns</v>
      </c>
      <c r="AZ19" s="185" t="str">
        <f t="shared" ca="1" si="22"/>
        <v>802.11a/b/g/n/ac/ax</v>
      </c>
      <c r="BA19" s="185">
        <f t="shared" ca="1" si="22"/>
        <v>5.2</v>
      </c>
      <c r="BB19" s="185">
        <f t="shared" ca="1" si="23"/>
        <v>8</v>
      </c>
      <c r="BC19" s="185" t="str">
        <f t="shared" ca="1" si="23"/>
        <v>Version 8.0</v>
      </c>
      <c r="BD19" s="185" t="str">
        <f t="shared" ca="1" si="23"/>
        <v>Ja</v>
      </c>
      <c r="BE19" s="185" t="str">
        <f t="shared" ca="1" si="23"/>
        <v>Windows 11 Pro</v>
      </c>
      <c r="BF19" s="185" t="str">
        <f t="shared" ca="1" si="23"/>
        <v>Elitebook 640 G10</v>
      </c>
      <c r="BG19" s="185">
        <f t="shared" ca="1" si="23"/>
        <v>15588</v>
      </c>
      <c r="BH19" s="192">
        <f t="shared" ca="1" si="23"/>
        <v>134</v>
      </c>
      <c r="BI19" s="192">
        <f t="shared" ca="1" si="23"/>
        <v>449</v>
      </c>
      <c r="BJ19" s="192">
        <f t="shared" ca="1" si="23"/>
        <v>241</v>
      </c>
      <c r="BK19" s="192">
        <f t="shared" ca="1" si="23"/>
        <v>1788</v>
      </c>
      <c r="BL19" s="192">
        <f t="shared" ca="1" si="24"/>
        <v>2039</v>
      </c>
      <c r="BM19" s="192">
        <f t="shared" ca="1" si="24"/>
        <v>120</v>
      </c>
      <c r="BN19" s="192">
        <f t="shared" ca="1" si="24"/>
        <v>85</v>
      </c>
      <c r="BO19" s="192">
        <f t="shared" ca="1" si="24"/>
        <v>100</v>
      </c>
      <c r="BP19" s="192" t="str">
        <f t="shared" ca="1" si="24"/>
        <v>DELTACO</v>
      </c>
      <c r="BQ19" s="192" t="str">
        <f t="shared" ca="1" si="24"/>
        <v>Targus</v>
      </c>
      <c r="BR19" s="192" t="str">
        <f t="shared" ca="1" si="24"/>
        <v>HP</v>
      </c>
      <c r="BS19" s="192" t="str">
        <f t="shared" ca="1" si="24"/>
        <v>HP</v>
      </c>
      <c r="BT19" s="192" t="str">
        <f t="shared" ca="1" si="24"/>
        <v>Fodral för bärbar dator</v>
      </c>
      <c r="BU19" s="192" t="str">
        <f t="shared" ca="1" si="24"/>
        <v>Targus Privacy Screen 14" Widescreen</v>
      </c>
      <c r="BV19" s="192" t="str">
        <f t="shared" ca="1" si="24"/>
        <v>HP 65W Smart AC Adapter</v>
      </c>
      <c r="BW19" s="192" t="str">
        <f t="shared" ca="1" si="24"/>
        <v>HP USB-C Dock G5 Essential</v>
      </c>
      <c r="BX19" s="192"/>
      <c r="BY19" s="192" t="str">
        <f t="shared" ca="1" si="25"/>
        <v>Atea Sverige AB</v>
      </c>
      <c r="BZ19" s="192" t="str">
        <f t="shared" ca="1" si="25"/>
        <v>HP</v>
      </c>
      <c r="CA19" s="185"/>
      <c r="CB19" s="185" t="s">
        <v>711</v>
      </c>
      <c r="CC19" s="185"/>
      <c r="CD19" s="185"/>
      <c r="CE19" s="185"/>
      <c r="CF19" s="185"/>
      <c r="CG19" s="185"/>
      <c r="CH19" s="185"/>
      <c r="CI19" s="185"/>
      <c r="CJ19" s="185"/>
      <c r="CK19" s="185"/>
      <c r="CL19" s="185"/>
      <c r="CM19" s="185"/>
      <c r="CN19" s="185"/>
    </row>
    <row r="20" spans="2:92" ht="22.5" customHeight="1" outlineLevel="1" x14ac:dyDescent="0.35">
      <c r="C20" s="61" t="s">
        <v>74</v>
      </c>
      <c r="D20" s="64"/>
      <c r="F20" s="80" t="str">
        <f t="shared" si="26"/>
        <v/>
      </c>
      <c r="G20" s="81">
        <f t="shared" ca="1" si="27"/>
        <v>1</v>
      </c>
      <c r="H20" s="81">
        <f t="shared" ca="1" si="27"/>
        <v>1</v>
      </c>
      <c r="I20" s="120">
        <f t="shared" ca="1" si="27"/>
        <v>1</v>
      </c>
      <c r="J20" s="62"/>
      <c r="Q20" s="185">
        <f t="shared" si="5"/>
        <v>0</v>
      </c>
      <c r="R20" s="185">
        <f t="shared" si="6"/>
        <v>0</v>
      </c>
      <c r="S20" s="185">
        <f t="shared" si="7"/>
        <v>0</v>
      </c>
      <c r="T20" s="185">
        <f t="shared" si="8"/>
        <v>0</v>
      </c>
      <c r="U20" s="185">
        <f t="shared" si="9"/>
        <v>0</v>
      </c>
      <c r="V20" s="185">
        <f t="shared" si="10"/>
        <v>0</v>
      </c>
      <c r="W20" s="185">
        <f t="shared" si="11"/>
        <v>0</v>
      </c>
      <c r="X20" s="185">
        <f t="shared" si="12"/>
        <v>0</v>
      </c>
      <c r="Y20" s="185">
        <f t="shared" si="13"/>
        <v>0</v>
      </c>
      <c r="Z20" s="196">
        <f t="shared" ca="1" si="14"/>
        <v>7599</v>
      </c>
      <c r="AA20" s="185" t="str">
        <f t="shared" ca="1" si="15"/>
        <v>Offererad produktnr. 01Dustin Sverige AB</v>
      </c>
      <c r="AB20" s="185"/>
      <c r="AC20" s="185" t="b">
        <f ca="1">IFERROR(IF(D16="",TRUE,
IF(OR(D16=$CB$12,D16=$CB$13),IF(LEFT(AS20,FIND(" ",AS20)-1)=D16,TRUE,FALSE),
IF(OFFSET(Processor!$AB$1,MATCH($AS20,Processor!$AA$2:$AA$23,0),MATCH(LEFT(D16,FIND(" ",D16)-1),Processor!$AC$1:$AG$1,0))&gt;=
OFFSET(Processor!$AB$1,MATCH(D16,Processor!$AA$2:$AA$23,0),MATCH(LEFT(D16,FIND(" ",D16)-1),Processor!$AC$1:$AG$1,0)),TRUE,FALSE))),FALSE)</f>
        <v>1</v>
      </c>
      <c r="AD20" s="185" t="b">
        <f t="shared" si="16"/>
        <v>1</v>
      </c>
      <c r="AE20" s="185" t="b">
        <f t="shared" si="17"/>
        <v>1</v>
      </c>
      <c r="AF20" s="185" t="b">
        <f>IF($D$14="",TRUE,IF(COUNTIF(Processor!$I$2:$I$9,$D$14)&gt;0,AND(AV20&gt;INDEX(Processor!$J$2:$J$9,MATCH($D$14,Processor!$I$2:$I$9,0)),AV20&lt;INDEX(Processor!$K$2:$K$9,MATCH($D$14,Processor!$I$2:$I$9,0))),IF(AV20=$D$14,TRUE,FALSE)))</f>
        <v>1</v>
      </c>
      <c r="AG20" s="185" t="b">
        <f t="shared" si="18"/>
        <v>1</v>
      </c>
      <c r="AH20" s="185" t="b">
        <f t="shared" si="19"/>
        <v>1</v>
      </c>
      <c r="AI20" s="185" t="b">
        <f t="shared" si="20"/>
        <v>1</v>
      </c>
      <c r="AJ20" s="185" t="b">
        <f t="shared" si="30"/>
        <v>1</v>
      </c>
      <c r="AK20" s="185" t="b">
        <f t="shared" si="21"/>
        <v>1</v>
      </c>
      <c r="AL20" s="185" t="b">
        <f>IFERROR(IF($D25="",TRUE,IF(MID(BC20,LEN(BC20)-2,1)*1&gt;=MID($D25,LEN($D25)-2,1)*1,TRUE,FALSE)),FALSE)</f>
        <v>1</v>
      </c>
      <c r="AM20" s="185" t="b">
        <f>IF(D24="",TRUE,IF(BB20&gt;=D24,TRUE,FALSE))</f>
        <v>1</v>
      </c>
      <c r="AN20" s="185"/>
      <c r="AO20" s="185"/>
      <c r="AP20" s="185" t="s">
        <v>174</v>
      </c>
      <c r="AQ20" s="185">
        <v>1</v>
      </c>
      <c r="AR20" s="185" t="str">
        <f t="shared" ca="1" si="22"/>
        <v>1920x1080</v>
      </c>
      <c r="AS20" s="185" t="str">
        <f t="shared" ca="1" si="22"/>
        <v>AMD Ryzen 5</v>
      </c>
      <c r="AT20" s="185">
        <f t="shared" ca="1" si="22"/>
        <v>8</v>
      </c>
      <c r="AU20" s="185">
        <f t="shared" ca="1" si="22"/>
        <v>256</v>
      </c>
      <c r="AV20" s="185">
        <f t="shared" ca="1" si="22"/>
        <v>14</v>
      </c>
      <c r="AW20" s="185">
        <f t="shared" ca="1" si="22"/>
        <v>3</v>
      </c>
      <c r="AX20" s="185">
        <f t="shared" ca="1" si="22"/>
        <v>1</v>
      </c>
      <c r="AY20" s="185" t="str">
        <f t="shared" ca="1" si="22"/>
        <v>Ja, HDMI-port finns</v>
      </c>
      <c r="AZ20" s="185" t="str">
        <f t="shared" ca="1" si="22"/>
        <v>802.11a/b/g/n/ac/ax</v>
      </c>
      <c r="BA20" s="185">
        <f t="shared" ca="1" si="22"/>
        <v>5.3</v>
      </c>
      <c r="BB20" s="185">
        <f t="shared" ca="1" si="23"/>
        <v>11</v>
      </c>
      <c r="BC20" s="185" t="str">
        <f t="shared" ca="1" si="23"/>
        <v>Version 8.0</v>
      </c>
      <c r="BD20" s="185" t="str">
        <f t="shared" ca="1" si="23"/>
        <v>Ja</v>
      </c>
      <c r="BE20" s="185" t="str">
        <f t="shared" ca="1" si="23"/>
        <v>Windows 11 Pro</v>
      </c>
      <c r="BF20" s="185" t="str">
        <f t="shared" ca="1" si="23"/>
        <v>ProBook 445 G10</v>
      </c>
      <c r="BG20" s="185">
        <f t="shared" ca="1" si="23"/>
        <v>7599</v>
      </c>
      <c r="BH20" s="192">
        <f t="shared" ca="1" si="23"/>
        <v>123</v>
      </c>
      <c r="BI20" s="192">
        <f t="shared" ca="1" si="23"/>
        <v>425</v>
      </c>
      <c r="BJ20" s="192">
        <f t="shared" ca="1" si="23"/>
        <v>149</v>
      </c>
      <c r="BK20" s="192">
        <f t="shared" ca="1" si="23"/>
        <v>1185</v>
      </c>
      <c r="BL20" s="192">
        <f t="shared" ca="1" si="24"/>
        <v>450</v>
      </c>
      <c r="BM20" s="192">
        <f t="shared" ca="1" si="24"/>
        <v>133</v>
      </c>
      <c r="BN20" s="192">
        <f t="shared" ca="1" si="24"/>
        <v>20</v>
      </c>
      <c r="BO20" s="192">
        <f t="shared" ca="1" si="24"/>
        <v>20</v>
      </c>
      <c r="BP20" s="192" t="str">
        <f t="shared" ca="1" si="24"/>
        <v>Cirafon</v>
      </c>
      <c r="BQ20" s="192" t="str">
        <f t="shared" ca="1" si="24"/>
        <v>Cirafon</v>
      </c>
      <c r="BR20" s="192" t="str">
        <f t="shared" ca="1" si="24"/>
        <v>HP</v>
      </c>
      <c r="BS20" s="192" t="str">
        <f t="shared" ca="1" si="24"/>
        <v>HP</v>
      </c>
      <c r="BT20" s="192" t="str">
        <f t="shared" ca="1" si="24"/>
        <v>LSN8696R2-14.1</v>
      </c>
      <c r="BU20" s="192" t="str">
        <f t="shared" ca="1" si="24"/>
        <v>DPF14-9</v>
      </c>
      <c r="BV20" s="192" t="str">
        <f t="shared" ca="1" si="24"/>
        <v xml:space="preserve">1MZ01AA </v>
      </c>
      <c r="BW20" s="192" t="str">
        <f t="shared" ca="1" si="24"/>
        <v>72C71AA</v>
      </c>
      <c r="BX20" s="192"/>
      <c r="BY20" s="192" t="str">
        <f t="shared" ca="1" si="25"/>
        <v>Dustin Sverige AB</v>
      </c>
      <c r="BZ20" s="192" t="str">
        <f t="shared" ca="1" si="25"/>
        <v>HP</v>
      </c>
      <c r="CA20" s="185"/>
      <c r="CB20" s="185" t="s">
        <v>64</v>
      </c>
      <c r="CC20" s="185"/>
      <c r="CD20" s="185"/>
      <c r="CE20" s="185"/>
      <c r="CF20" s="185"/>
      <c r="CG20" s="185"/>
      <c r="CH20" s="185"/>
      <c r="CI20" s="185"/>
      <c r="CJ20" s="185"/>
      <c r="CK20" s="185"/>
      <c r="CL20" s="185"/>
      <c r="CM20" s="185"/>
      <c r="CN20" s="185"/>
    </row>
    <row r="21" spans="2:92" ht="22.5" customHeight="1" outlineLevel="1" x14ac:dyDescent="0.35">
      <c r="C21" s="61" t="s">
        <v>97</v>
      </c>
      <c r="D21" s="64"/>
      <c r="F21" s="80" t="str">
        <f t="shared" si="26"/>
        <v/>
      </c>
      <c r="G21" s="81" t="str">
        <f t="shared" ca="1" si="27"/>
        <v>Ja, HDMI-port finns</v>
      </c>
      <c r="H21" s="81" t="str">
        <f t="shared" ca="1" si="27"/>
        <v>Ja, HDMI-port finns</v>
      </c>
      <c r="I21" s="120" t="str">
        <f t="shared" ca="1" si="27"/>
        <v>Ja, HDMI-port finns</v>
      </c>
      <c r="J21" s="62"/>
      <c r="Q21" s="185">
        <f t="shared" si="5"/>
        <v>0</v>
      </c>
      <c r="R21" s="185">
        <f t="shared" si="6"/>
        <v>0</v>
      </c>
      <c r="S21" s="185">
        <f t="shared" si="7"/>
        <v>0</v>
      </c>
      <c r="T21" s="185">
        <f t="shared" si="8"/>
        <v>0</v>
      </c>
      <c r="U21" s="185">
        <f t="shared" si="9"/>
        <v>0</v>
      </c>
      <c r="V21" s="185">
        <f t="shared" si="10"/>
        <v>0</v>
      </c>
      <c r="W21" s="185">
        <f t="shared" si="11"/>
        <v>0</v>
      </c>
      <c r="X21" s="185">
        <f t="shared" si="12"/>
        <v>0</v>
      </c>
      <c r="Y21" s="185">
        <f t="shared" si="13"/>
        <v>0</v>
      </c>
      <c r="Z21" s="196">
        <f t="shared" ca="1" si="14"/>
        <v>11900</v>
      </c>
      <c r="AA21" s="185" t="str">
        <f t="shared" ca="1" si="15"/>
        <v>Offererad produktnr. 02Dustin Sverige AB</v>
      </c>
      <c r="AB21" s="185"/>
      <c r="AC21" s="198" t="b">
        <f ca="1">IFERROR(IF(D16="",TRUE,
IF(OR(D16=$CB$12,D16=$CB$13),IF(LEFT(AS21,FIND(" ",AS21)-1)=D16,TRUE,FALSE),
IF(OFFSET(Processor!$AB$1,MATCH($AS21,Processor!$AA$2:$AA$23,0),MATCH(LEFT(D16,FIND(" ",D16)-1),Processor!$AC$1:$AG$1,0))&gt;=
OFFSET(Processor!$AB$1,MATCH(D16,Processor!$AA$2:$AA$23,0),MATCH(LEFT(D16,FIND(" ",D16)-1),Processor!$AC$1:$AG$1,0)),TRUE,FALSE))),FALSE)</f>
        <v>1</v>
      </c>
      <c r="AD21" s="185" t="b">
        <f t="shared" si="16"/>
        <v>1</v>
      </c>
      <c r="AE21" s="185" t="b">
        <f t="shared" si="17"/>
        <v>1</v>
      </c>
      <c r="AF21" s="185" t="b">
        <f>IF($D$14="",TRUE,IF(COUNTIF(Processor!$I$2:$I$9,$D$14)&gt;0,AND(AV21&gt;INDEX(Processor!$J$2:$J$9,MATCH($D$14,Processor!$I$2:$I$9,0)),AV21&lt;INDEX(Processor!$K$2:$K$9,MATCH($D$14,Processor!$I$2:$I$9,0))),IF(AV21=$D$14,TRUE,FALSE)))</f>
        <v>1</v>
      </c>
      <c r="AG21" s="185" t="b">
        <f t="shared" si="18"/>
        <v>1</v>
      </c>
      <c r="AH21" s="185" t="b">
        <f t="shared" si="19"/>
        <v>1</v>
      </c>
      <c r="AI21" s="185" t="b">
        <f t="shared" si="20"/>
        <v>1</v>
      </c>
      <c r="AJ21" s="185" t="b">
        <f t="shared" si="30"/>
        <v>1</v>
      </c>
      <c r="AK21" s="185" t="b">
        <f t="shared" si="21"/>
        <v>1</v>
      </c>
      <c r="AL21" s="185" t="b">
        <f>IFERROR(IF($D25="",TRUE,IF(MID(BC21,LEN(BC21)-2,1)*1&gt;=MID($D25,LEN($D25)-2,1)*1,TRUE,FALSE)),FALSE)</f>
        <v>1</v>
      </c>
      <c r="AM21" s="185" t="b">
        <f>IF(D24="",TRUE,IF(BB21&gt;=D24,TRUE,FALSE))</f>
        <v>1</v>
      </c>
      <c r="AN21" s="185"/>
      <c r="AO21" s="185"/>
      <c r="AP21" s="185" t="s">
        <v>175</v>
      </c>
      <c r="AQ21" s="185">
        <v>1</v>
      </c>
      <c r="AR21" s="185" t="str">
        <f t="shared" ca="1" si="22"/>
        <v>1920x1200</v>
      </c>
      <c r="AS21" s="185" t="str">
        <f t="shared" ca="1" si="22"/>
        <v>Intel i5</v>
      </c>
      <c r="AT21" s="185">
        <f t="shared" ca="1" si="22"/>
        <v>16</v>
      </c>
      <c r="AU21" s="185">
        <f t="shared" ca="1" si="22"/>
        <v>256</v>
      </c>
      <c r="AV21" s="185">
        <f t="shared" ca="1" si="22"/>
        <v>14</v>
      </c>
      <c r="AW21" s="185">
        <f t="shared" ca="1" si="22"/>
        <v>2</v>
      </c>
      <c r="AX21" s="185">
        <f t="shared" ca="1" si="22"/>
        <v>2</v>
      </c>
      <c r="AY21" s="185" t="str">
        <f t="shared" ca="1" si="22"/>
        <v>Ja, HDMI-port finns</v>
      </c>
      <c r="AZ21" s="185" t="str">
        <f t="shared" ca="1" si="22"/>
        <v>802.11a/b/g/n/ac/ax</v>
      </c>
      <c r="BA21" s="185">
        <f t="shared" ca="1" si="22"/>
        <v>5.3</v>
      </c>
      <c r="BB21" s="185">
        <f t="shared" ca="1" si="23"/>
        <v>11</v>
      </c>
      <c r="BC21" s="185" t="str">
        <f t="shared" ca="1" si="23"/>
        <v>Version 8.0</v>
      </c>
      <c r="BD21" s="185" t="str">
        <f t="shared" ca="1" si="23"/>
        <v>Ja</v>
      </c>
      <c r="BE21" s="185" t="str">
        <f t="shared" ca="1" si="23"/>
        <v>Windows 11 Pro</v>
      </c>
      <c r="BF21" s="185" t="str">
        <f t="shared" ca="1" si="23"/>
        <v>Elitebook 840 G9</v>
      </c>
      <c r="BG21" s="185">
        <f t="shared" ca="1" si="23"/>
        <v>11900</v>
      </c>
      <c r="BH21" s="192">
        <f t="shared" ca="1" si="23"/>
        <v>123</v>
      </c>
      <c r="BI21" s="192">
        <f t="shared" ca="1" si="23"/>
        <v>425</v>
      </c>
      <c r="BJ21" s="192">
        <f t="shared" ca="1" si="23"/>
        <v>149</v>
      </c>
      <c r="BK21" s="192">
        <f t="shared" ca="1" si="23"/>
        <v>1185</v>
      </c>
      <c r="BL21" s="192">
        <f t="shared" ca="1" si="24"/>
        <v>450</v>
      </c>
      <c r="BM21" s="192">
        <f t="shared" ca="1" si="24"/>
        <v>133</v>
      </c>
      <c r="BN21" s="192">
        <f t="shared" ca="1" si="24"/>
        <v>20</v>
      </c>
      <c r="BO21" s="192">
        <f t="shared" ca="1" si="24"/>
        <v>20</v>
      </c>
      <c r="BP21" s="192" t="str">
        <f t="shared" ca="1" si="24"/>
        <v>Cirafon</v>
      </c>
      <c r="BQ21" s="192" t="str">
        <f t="shared" ca="1" si="24"/>
        <v>Cirafon</v>
      </c>
      <c r="BR21" s="192" t="str">
        <f t="shared" ca="1" si="24"/>
        <v>HP</v>
      </c>
      <c r="BS21" s="192" t="str">
        <f t="shared" ca="1" si="24"/>
        <v>HP</v>
      </c>
      <c r="BT21" s="192" t="str">
        <f t="shared" ca="1" si="24"/>
        <v>LSN8696R2-14.1</v>
      </c>
      <c r="BU21" s="192" t="str">
        <f t="shared" ca="1" si="24"/>
        <v>DPF14-9</v>
      </c>
      <c r="BV21" s="192" t="str">
        <f t="shared" ca="1" si="24"/>
        <v xml:space="preserve">1MZ01AA </v>
      </c>
      <c r="BW21" s="192" t="str">
        <f t="shared" ca="1" si="24"/>
        <v>72C71AA</v>
      </c>
      <c r="BX21" s="192"/>
      <c r="BY21" s="192" t="str">
        <f t="shared" ca="1" si="25"/>
        <v>Dustin Sverige AB</v>
      </c>
      <c r="BZ21" s="192" t="str">
        <f t="shared" ca="1" si="25"/>
        <v>HP</v>
      </c>
      <c r="CA21" s="185"/>
      <c r="CB21" s="185" t="s">
        <v>571</v>
      </c>
      <c r="CC21" s="185"/>
      <c r="CD21" s="185"/>
      <c r="CE21" s="185"/>
      <c r="CF21" s="185"/>
      <c r="CG21" s="185"/>
      <c r="CH21" s="185"/>
      <c r="CI21" s="185"/>
      <c r="CJ21" s="185"/>
      <c r="CK21" s="185"/>
      <c r="CL21" s="185"/>
      <c r="CM21" s="185"/>
      <c r="CN21" s="185"/>
    </row>
    <row r="22" spans="2:92" ht="22.5" customHeight="1" outlineLevel="1" x14ac:dyDescent="0.35">
      <c r="C22" s="61" t="s">
        <v>103</v>
      </c>
      <c r="D22" s="64"/>
      <c r="F22" s="80" t="str">
        <f t="shared" si="26"/>
        <v/>
      </c>
      <c r="G22" s="81" t="str">
        <f t="shared" ca="1" si="27"/>
        <v>802.11a/b/g/n/ac/ax</v>
      </c>
      <c r="H22" s="81" t="str">
        <f t="shared" ca="1" si="27"/>
        <v>802.11a/b/g/n/ac/ax</v>
      </c>
      <c r="I22" s="120" t="str">
        <f t="shared" ca="1" si="27"/>
        <v>802.11a/b/g/n/ac/ax</v>
      </c>
      <c r="J22" s="62"/>
      <c r="Q22" s="185">
        <f t="shared" si="5"/>
        <v>0</v>
      </c>
      <c r="R22" s="185">
        <f t="shared" si="6"/>
        <v>0</v>
      </c>
      <c r="S22" s="185">
        <f t="shared" si="7"/>
        <v>0</v>
      </c>
      <c r="T22" s="185">
        <f t="shared" si="8"/>
        <v>0</v>
      </c>
      <c r="U22" s="185">
        <f t="shared" si="9"/>
        <v>0</v>
      </c>
      <c r="V22" s="185">
        <f t="shared" si="10"/>
        <v>0</v>
      </c>
      <c r="W22" s="185">
        <f t="shared" si="11"/>
        <v>0</v>
      </c>
      <c r="X22" s="185">
        <f t="shared" si="12"/>
        <v>0</v>
      </c>
      <c r="Y22" s="185">
        <f t="shared" si="13"/>
        <v>0</v>
      </c>
      <c r="Z22" s="196">
        <f t="shared" ca="1" si="14"/>
        <v>10490</v>
      </c>
      <c r="AA22" s="185" t="str">
        <f t="shared" ca="1" si="15"/>
        <v>Offererad produktnr. 03Dustin Sverige AB</v>
      </c>
      <c r="AB22" s="185"/>
      <c r="AC22" s="185" t="b">
        <f ca="1">IFERROR(IF(D16="",TRUE,
IF(OR(D16=$CB$12,D16=$CB$13),IF(LEFT(AS22,FIND(" ",AS22)-1)=D16,TRUE,FALSE),
IF(OFFSET(Processor!$AB$1,MATCH($AS22,Processor!$AA$2:$AA$23,0),MATCH(LEFT(D16,FIND(" ",D16)-1),Processor!$AC$1:$AG$1,0))&gt;=
OFFSET(Processor!$AB$1,MATCH(D16,Processor!$AA$2:$AA$23,0),MATCH(LEFT(D16,FIND(" ",D16)-1),Processor!$AC$1:$AG$1,0)),TRUE,FALSE))),FALSE)</f>
        <v>1</v>
      </c>
      <c r="AD22" s="185" t="b">
        <f t="shared" si="16"/>
        <v>1</v>
      </c>
      <c r="AE22" s="185" t="b">
        <f t="shared" si="17"/>
        <v>1</v>
      </c>
      <c r="AF22" s="185" t="b">
        <f>IF($D$14="",TRUE,IF(COUNTIF(Processor!$I$2:$I$9,$D$14)&gt;0,AND(AV22&gt;INDEX(Processor!$J$2:$J$9,MATCH($D$14,Processor!$I$2:$I$9,0)),AV22&lt;INDEX(Processor!$K$2:$K$9,MATCH($D$14,Processor!$I$2:$I$9,0))),IF(AV22=$D$14,TRUE,FALSE)))</f>
        <v>1</v>
      </c>
      <c r="AG22" s="185" t="b">
        <f t="shared" si="18"/>
        <v>1</v>
      </c>
      <c r="AH22" s="185" t="b">
        <f t="shared" si="19"/>
        <v>1</v>
      </c>
      <c r="AI22" s="185" t="b">
        <f t="shared" si="20"/>
        <v>1</v>
      </c>
      <c r="AJ22" s="185" t="b">
        <f t="shared" si="30"/>
        <v>1</v>
      </c>
      <c r="AK22" s="185" t="b">
        <f t="shared" si="21"/>
        <v>1</v>
      </c>
      <c r="AL22" s="185" t="b">
        <f>IFERROR(IF($D25="",TRUE,IF(MID(BC22,LEN(BC22)-2,1)*1&gt;=MID($D25,LEN($D25)-2,1)*1,TRUE,FALSE)),FALSE)</f>
        <v>1</v>
      </c>
      <c r="AM22" s="185" t="b">
        <f>IF(D24="",TRUE,IF(BB22&gt;=D24,TRUE,FALSE))</f>
        <v>1</v>
      </c>
      <c r="AN22" s="185"/>
      <c r="AO22" s="185"/>
      <c r="AP22" s="185" t="s">
        <v>176</v>
      </c>
      <c r="AQ22" s="185">
        <v>1</v>
      </c>
      <c r="AR22" s="185" t="str">
        <f t="shared" ref="AR22:BA31" ca="1" si="32">IFERROR(INDEX(INDIRECT(AR$7&amp;"!$A$10:CC100000"),MATCH($AP22,INDIRECT(AR$7&amp;"!BH$10:BH100000"),0),MATCH(AR$9,INDIRECT(AR$7&amp;"!a10:CC10"),0)),"False")</f>
        <v>1920x1080</v>
      </c>
      <c r="AS22" s="185" t="str">
        <f t="shared" ca="1" si="32"/>
        <v>Intel i7 Gen 12</v>
      </c>
      <c r="AT22" s="185">
        <f t="shared" ca="1" si="32"/>
        <v>32</v>
      </c>
      <c r="AU22" s="185">
        <f t="shared" ca="1" si="32"/>
        <v>512</v>
      </c>
      <c r="AV22" s="185">
        <f t="shared" ca="1" si="32"/>
        <v>14</v>
      </c>
      <c r="AW22" s="185">
        <f t="shared" ca="1" si="32"/>
        <v>3</v>
      </c>
      <c r="AX22" s="185">
        <f t="shared" ca="1" si="32"/>
        <v>1</v>
      </c>
      <c r="AY22" s="185" t="str">
        <f t="shared" ca="1" si="32"/>
        <v>Ja, HDMI-port finns</v>
      </c>
      <c r="AZ22" s="185" t="str">
        <f t="shared" ca="1" si="32"/>
        <v>802.11a/b/g/n/ac/ax</v>
      </c>
      <c r="BA22" s="185">
        <f t="shared" ca="1" si="32"/>
        <v>5.3</v>
      </c>
      <c r="BB22" s="185">
        <f t="shared" ref="BB22:BK31" ca="1" si="33">IFERROR(INDEX(INDIRECT(BB$7&amp;"!$A$10:CC100000"),MATCH($AP22,INDIRECT(BB$7&amp;"!BH$10:BH100000"),0),MATCH(BB$9,INDIRECT(BB$7&amp;"!a10:CC10"),0)),"False")</f>
        <v>11</v>
      </c>
      <c r="BC22" s="185" t="str">
        <f t="shared" ca="1" si="33"/>
        <v>Version 8.0</v>
      </c>
      <c r="BD22" s="185" t="str">
        <f t="shared" ca="1" si="33"/>
        <v>Ja</v>
      </c>
      <c r="BE22" s="185" t="str">
        <f t="shared" ca="1" si="33"/>
        <v>Windows 11 Pro</v>
      </c>
      <c r="BF22" s="185" t="str">
        <f t="shared" ca="1" si="33"/>
        <v>ProBook 440 G9</v>
      </c>
      <c r="BG22" s="185">
        <f t="shared" ca="1" si="33"/>
        <v>10490</v>
      </c>
      <c r="BH22" s="192">
        <f t="shared" ca="1" si="33"/>
        <v>123</v>
      </c>
      <c r="BI22" s="192">
        <f t="shared" ca="1" si="33"/>
        <v>425</v>
      </c>
      <c r="BJ22" s="192">
        <f t="shared" ca="1" si="33"/>
        <v>149</v>
      </c>
      <c r="BK22" s="192">
        <f t="shared" ca="1" si="33"/>
        <v>1185</v>
      </c>
      <c r="BL22" s="192">
        <f t="shared" ref="BL22:BW31" ca="1" si="34">IFERROR(INDEX(INDIRECT(BL$7&amp;"!$A$10:CC100000"),MATCH($AP22,INDIRECT(BL$7&amp;"!BH$10:BH100000"),0),MATCH(BL$9,INDIRECT(BL$7&amp;"!a10:CC10"),0)),"False")</f>
        <v>450</v>
      </c>
      <c r="BM22" s="192">
        <f t="shared" ca="1" si="34"/>
        <v>133</v>
      </c>
      <c r="BN22" s="192">
        <f t="shared" ca="1" si="34"/>
        <v>20</v>
      </c>
      <c r="BO22" s="192">
        <f t="shared" ca="1" si="34"/>
        <v>20</v>
      </c>
      <c r="BP22" s="192" t="str">
        <f t="shared" ca="1" si="34"/>
        <v>Cirafon</v>
      </c>
      <c r="BQ22" s="192" t="str">
        <f t="shared" ca="1" si="34"/>
        <v>Cirafon</v>
      </c>
      <c r="BR22" s="192" t="str">
        <f t="shared" ca="1" si="34"/>
        <v>HP</v>
      </c>
      <c r="BS22" s="192" t="str">
        <f t="shared" ca="1" si="34"/>
        <v>HP</v>
      </c>
      <c r="BT22" s="192" t="str">
        <f t="shared" ca="1" si="34"/>
        <v>LSN8696R2-14.1</v>
      </c>
      <c r="BU22" s="192" t="str">
        <f t="shared" ca="1" si="34"/>
        <v>DPF14-9</v>
      </c>
      <c r="BV22" s="192" t="str">
        <f t="shared" ca="1" si="34"/>
        <v xml:space="preserve">1MZ01AA </v>
      </c>
      <c r="BW22" s="192" t="str">
        <f t="shared" ca="1" si="34"/>
        <v>72C71AA</v>
      </c>
      <c r="BX22" s="192"/>
      <c r="BY22" s="192" t="str">
        <f t="shared" ca="1" si="25"/>
        <v>Dustin Sverige AB</v>
      </c>
      <c r="BZ22" s="192" t="str">
        <f t="shared" ca="1" si="25"/>
        <v>HP</v>
      </c>
      <c r="CA22" s="185"/>
      <c r="CB22" s="185" t="s">
        <v>710</v>
      </c>
      <c r="CC22" s="185"/>
      <c r="CD22" s="185"/>
      <c r="CE22" s="185"/>
      <c r="CF22" s="185"/>
      <c r="CG22" s="185"/>
      <c r="CH22" s="185"/>
      <c r="CI22" s="185"/>
      <c r="CJ22" s="185"/>
      <c r="CK22" s="185"/>
      <c r="CL22" s="185"/>
      <c r="CM22" s="185"/>
      <c r="CN22" s="185"/>
    </row>
    <row r="23" spans="2:92" ht="33.75" customHeight="1" outlineLevel="1" x14ac:dyDescent="0.35">
      <c r="C23" s="61" t="s">
        <v>75</v>
      </c>
      <c r="D23" s="110"/>
      <c r="F23" s="80" t="str">
        <f t="shared" si="26"/>
        <v/>
      </c>
      <c r="G23" s="81">
        <f t="shared" ca="1" si="27"/>
        <v>5</v>
      </c>
      <c r="H23" s="81">
        <f t="shared" ca="1" si="27"/>
        <v>5.3</v>
      </c>
      <c r="I23" s="120">
        <f t="shared" ca="1" si="27"/>
        <v>5</v>
      </c>
      <c r="J23" s="62"/>
      <c r="Q23" s="185">
        <f t="shared" si="5"/>
        <v>0</v>
      </c>
      <c r="R23" s="185">
        <f t="shared" si="6"/>
        <v>0</v>
      </c>
      <c r="S23" s="185">
        <f t="shared" si="7"/>
        <v>0</v>
      </c>
      <c r="T23" s="185">
        <f t="shared" si="8"/>
        <v>0</v>
      </c>
      <c r="U23" s="185">
        <f t="shared" si="9"/>
        <v>0</v>
      </c>
      <c r="V23" s="185">
        <f t="shared" si="10"/>
        <v>0</v>
      </c>
      <c r="W23" s="185">
        <f t="shared" si="11"/>
        <v>0</v>
      </c>
      <c r="X23" s="185">
        <f t="shared" si="12"/>
        <v>0</v>
      </c>
      <c r="Y23" s="185">
        <f t="shared" si="13"/>
        <v>0</v>
      </c>
      <c r="Z23" s="196">
        <f t="shared" ca="1" si="14"/>
        <v>13790</v>
      </c>
      <c r="AA23" s="185" t="str">
        <f t="shared" ca="1" si="15"/>
        <v>Offererad produktnr. 04Dustin Sverige AB</v>
      </c>
      <c r="AB23" s="185"/>
      <c r="AC23" s="185" t="b">
        <f ca="1">IFERROR(IF(D16="",TRUE,
IF(OR(D16=$CB$12,D16=$CB$13),IF(LEFT(AS23,FIND(" ",AS23)-1)=D16,TRUE,FALSE),
IF(OFFSET(Processor!$AB$1,MATCH($AS23,Processor!$AA$2:$AA$23,0),MATCH(LEFT(D16,FIND(" ",D16)-1),Processor!$AC$1:$AG$1,0))&gt;=
OFFSET(Processor!$AB$1,MATCH(D16,Processor!$AA$2:$AA$23,0),MATCH(LEFT(D16,FIND(" ",D16)-1),Processor!$AC$1:$AG$1,0)),TRUE,FALSE))),FALSE)</f>
        <v>1</v>
      </c>
      <c r="AD23" s="185" t="b">
        <f t="shared" si="16"/>
        <v>1</v>
      </c>
      <c r="AE23" s="185" t="b">
        <f t="shared" si="17"/>
        <v>1</v>
      </c>
      <c r="AF23" s="185" t="b">
        <f>IF($D$14="",TRUE,IF(COUNTIF(Processor!$I$2:$I$9,$D$14)&gt;0,AND(AV23&gt;INDEX(Processor!$J$2:$J$9,MATCH($D$14,Processor!$I$2:$I$9,0)),AV23&lt;INDEX(Processor!$K$2:$K$9,MATCH($D$14,Processor!$I$2:$I$9,0))),IF(AV23=$D$14,TRUE,FALSE)))</f>
        <v>1</v>
      </c>
      <c r="AG23" s="185" t="b">
        <f t="shared" si="18"/>
        <v>1</v>
      </c>
      <c r="AH23" s="185" t="b">
        <f t="shared" si="19"/>
        <v>1</v>
      </c>
      <c r="AI23" s="185" t="b">
        <f t="shared" si="20"/>
        <v>1</v>
      </c>
      <c r="AJ23" s="185" t="b">
        <f t="shared" si="30"/>
        <v>1</v>
      </c>
      <c r="AK23" s="185" t="b">
        <f t="shared" si="21"/>
        <v>1</v>
      </c>
      <c r="AL23" s="185" t="b">
        <f>IFERROR(IF($D25="",TRUE,IF(MID(BC23,LEN(BC23)-2,1)*1&gt;=MID($D25,LEN($D25)-2,1)*1,TRUE,FALSE)),FALSE)</f>
        <v>1</v>
      </c>
      <c r="AM23" s="185" t="b">
        <f>IF(D24="",TRUE,IF(BB23&gt;=D24,TRUE,FALSE))</f>
        <v>1</v>
      </c>
      <c r="AN23" s="185"/>
      <c r="AO23" s="185"/>
      <c r="AP23" s="185" t="s">
        <v>177</v>
      </c>
      <c r="AQ23" s="185">
        <v>1</v>
      </c>
      <c r="AR23" s="185" t="str">
        <f t="shared" ca="1" si="32"/>
        <v>1920x1200</v>
      </c>
      <c r="AS23" s="185" t="str">
        <f t="shared" ca="1" si="32"/>
        <v>Intel i7</v>
      </c>
      <c r="AT23" s="185">
        <f t="shared" ca="1" si="32"/>
        <v>16</v>
      </c>
      <c r="AU23" s="185">
        <f t="shared" ca="1" si="32"/>
        <v>512</v>
      </c>
      <c r="AV23" s="185">
        <f t="shared" ca="1" si="32"/>
        <v>14</v>
      </c>
      <c r="AW23" s="185">
        <f t="shared" ca="1" si="32"/>
        <v>2</v>
      </c>
      <c r="AX23" s="185">
        <f t="shared" ca="1" si="32"/>
        <v>2</v>
      </c>
      <c r="AY23" s="185" t="str">
        <f t="shared" ca="1" si="32"/>
        <v>Ja, HDMI-port finns</v>
      </c>
      <c r="AZ23" s="185" t="str">
        <f t="shared" ca="1" si="32"/>
        <v>802.11a/b/g/n/ac/ax</v>
      </c>
      <c r="BA23" s="185">
        <f t="shared" ca="1" si="32"/>
        <v>5.3</v>
      </c>
      <c r="BB23" s="185">
        <f t="shared" ca="1" si="33"/>
        <v>11</v>
      </c>
      <c r="BC23" s="185" t="str">
        <f t="shared" ca="1" si="33"/>
        <v>Version 8.0</v>
      </c>
      <c r="BD23" s="185" t="str">
        <f t="shared" ca="1" si="33"/>
        <v>Ja</v>
      </c>
      <c r="BE23" s="185" t="str">
        <f t="shared" ca="1" si="33"/>
        <v>Windows 11 Pro</v>
      </c>
      <c r="BF23" s="185" t="str">
        <f t="shared" ca="1" si="33"/>
        <v>EliteBook 840 G9</v>
      </c>
      <c r="BG23" s="185">
        <f t="shared" ca="1" si="33"/>
        <v>13790</v>
      </c>
      <c r="BH23" s="192">
        <f t="shared" ca="1" si="33"/>
        <v>123</v>
      </c>
      <c r="BI23" s="192">
        <f t="shared" ca="1" si="33"/>
        <v>425</v>
      </c>
      <c r="BJ23" s="192">
        <f t="shared" ca="1" si="33"/>
        <v>149</v>
      </c>
      <c r="BK23" s="192">
        <f t="shared" ca="1" si="33"/>
        <v>1185</v>
      </c>
      <c r="BL23" s="192">
        <f t="shared" ca="1" si="34"/>
        <v>450</v>
      </c>
      <c r="BM23" s="192">
        <f t="shared" ca="1" si="34"/>
        <v>133</v>
      </c>
      <c r="BN23" s="192">
        <f t="shared" ca="1" si="34"/>
        <v>20</v>
      </c>
      <c r="BO23" s="192">
        <f t="shared" ca="1" si="34"/>
        <v>20</v>
      </c>
      <c r="BP23" s="192" t="str">
        <f t="shared" ca="1" si="34"/>
        <v>Cirafon</v>
      </c>
      <c r="BQ23" s="192" t="str">
        <f t="shared" ca="1" si="34"/>
        <v>Cirafon</v>
      </c>
      <c r="BR23" s="192" t="str">
        <f t="shared" ca="1" si="34"/>
        <v>HP</v>
      </c>
      <c r="BS23" s="192" t="str">
        <f t="shared" ca="1" si="34"/>
        <v>HP</v>
      </c>
      <c r="BT23" s="192" t="str">
        <f t="shared" ca="1" si="34"/>
        <v>LSN8696R2-14.1</v>
      </c>
      <c r="BU23" s="192" t="str">
        <f t="shared" ca="1" si="34"/>
        <v>DPF14-9</v>
      </c>
      <c r="BV23" s="192" t="str">
        <f t="shared" ca="1" si="34"/>
        <v xml:space="preserve">1MZ01AA </v>
      </c>
      <c r="BW23" s="192" t="str">
        <f t="shared" ca="1" si="34"/>
        <v>72C71AA</v>
      </c>
      <c r="BX23" s="192"/>
      <c r="BY23" s="192" t="str">
        <f t="shared" ca="1" si="25"/>
        <v>Dustin Sverige AB</v>
      </c>
      <c r="BZ23" s="192" t="str">
        <f t="shared" ca="1" si="25"/>
        <v>HP</v>
      </c>
      <c r="CA23" s="185"/>
      <c r="CB23" s="185"/>
      <c r="CC23" s="185"/>
      <c r="CD23" s="185"/>
      <c r="CE23" s="185"/>
      <c r="CF23" s="185"/>
      <c r="CG23" s="185"/>
      <c r="CH23" s="185"/>
      <c r="CI23" s="185"/>
      <c r="CJ23" s="185"/>
      <c r="CK23" s="185"/>
      <c r="CL23" s="185"/>
      <c r="CM23" s="185"/>
      <c r="CN23" s="185"/>
    </row>
    <row r="24" spans="2:92" ht="32.25" customHeight="1" outlineLevel="1" x14ac:dyDescent="0.35">
      <c r="C24" s="61" t="s">
        <v>120</v>
      </c>
      <c r="D24" s="65"/>
      <c r="F24" s="80" t="str">
        <f t="shared" si="26"/>
        <v/>
      </c>
      <c r="G24" s="81">
        <f t="shared" ca="1" si="27"/>
        <v>11</v>
      </c>
      <c r="H24" s="81">
        <f t="shared" ca="1" si="27"/>
        <v>11</v>
      </c>
      <c r="I24" s="121">
        <f t="shared" ca="1" si="27"/>
        <v>11</v>
      </c>
      <c r="J24" s="62"/>
      <c r="Q24" s="185">
        <f t="shared" si="5"/>
        <v>0</v>
      </c>
      <c r="R24" s="185">
        <f t="shared" si="6"/>
        <v>0</v>
      </c>
      <c r="S24" s="185">
        <f t="shared" si="7"/>
        <v>0</v>
      </c>
      <c r="T24" s="185">
        <f t="shared" si="8"/>
        <v>0</v>
      </c>
      <c r="U24" s="185">
        <f t="shared" si="9"/>
        <v>0</v>
      </c>
      <c r="V24" s="185">
        <f t="shared" si="10"/>
        <v>0</v>
      </c>
      <c r="W24" s="185">
        <f t="shared" si="11"/>
        <v>0</v>
      </c>
      <c r="X24" s="185">
        <f t="shared" si="12"/>
        <v>0</v>
      </c>
      <c r="Y24" s="185">
        <f t="shared" si="13"/>
        <v>0</v>
      </c>
      <c r="Z24" s="196">
        <f t="shared" ca="1" si="14"/>
        <v>8848</v>
      </c>
      <c r="AA24" s="185" t="str">
        <f t="shared" ca="1" si="15"/>
        <v>Offererad produktnr. 01Foxway Education AB</v>
      </c>
      <c r="AB24" s="185"/>
      <c r="AC24" s="185" t="b">
        <f ca="1">IFERROR(IF(D16="",TRUE,
IF(OR(D16=$CB$12,D16=$CB$13),IF(LEFT(AS24,FIND(" ",AS24)-1)=D16,TRUE,FALSE),
IF(OFFSET(Processor!$AB$1,MATCH($AS24,Processor!$AA$2:$AA$23,0),MATCH(LEFT(D16,FIND(" ",D16)-1),Processor!$AC$1:$AG$1,0))&gt;=
OFFSET(Processor!$AB$1,MATCH(D16,Processor!$AA$2:$AA$23,0),MATCH(LEFT(D16,FIND(" ",D16)-1),Processor!$AC$1:$AG$1,0)),TRUE,FALSE))),FALSE)</f>
        <v>1</v>
      </c>
      <c r="AD24" s="185" t="b">
        <f t="shared" si="16"/>
        <v>1</v>
      </c>
      <c r="AE24" s="185" t="b">
        <f t="shared" si="17"/>
        <v>1</v>
      </c>
      <c r="AF24" s="185" t="b">
        <f>IF($D$14="",TRUE,IF(COUNTIF(Processor!$I$2:$I$9,$D$14)&gt;0,AND(AV24&gt;INDEX(Processor!$J$2:$J$9,MATCH($D$14,Processor!$I$2:$I$9,0)),AV24&lt;INDEX(Processor!$K$2:$K$9,MATCH($D$14,Processor!$I$2:$I$9,0))),IF(AV24=$D$14,TRUE,FALSE)))</f>
        <v>1</v>
      </c>
      <c r="AG24" s="185" t="b">
        <f t="shared" si="18"/>
        <v>1</v>
      </c>
      <c r="AH24" s="185" t="b">
        <f t="shared" si="19"/>
        <v>1</v>
      </c>
      <c r="AI24" s="185" t="b">
        <f t="shared" si="20"/>
        <v>1</v>
      </c>
      <c r="AJ24" s="185" t="b">
        <f t="shared" si="30"/>
        <v>1</v>
      </c>
      <c r="AK24" s="185" t="b">
        <f t="shared" si="21"/>
        <v>1</v>
      </c>
      <c r="AL24" s="185" t="b">
        <f>IFERROR(IF($D25="",TRUE,IF(MID(BC24,LEN(BC24)-2,1)*1&gt;=MID($D25,LEN($D25)-2,1)*1,TRUE,FALSE)),FALSE)</f>
        <v>1</v>
      </c>
      <c r="AM24" s="185" t="b">
        <f>IF(D24="",TRUE,IF(BB24&gt;=D24,TRUE,FALSE))</f>
        <v>1</v>
      </c>
      <c r="AN24" s="185"/>
      <c r="AO24" s="185"/>
      <c r="AP24" s="185" t="s">
        <v>210</v>
      </c>
      <c r="AQ24" s="185">
        <v>1</v>
      </c>
      <c r="AR24" s="185" t="str">
        <f t="shared" ca="1" si="32"/>
        <v>1920x1080</v>
      </c>
      <c r="AS24" s="185" t="str">
        <f t="shared" ca="1" si="32"/>
        <v>AMD Ryzen 5</v>
      </c>
      <c r="AT24" s="185">
        <f t="shared" ca="1" si="32"/>
        <v>8</v>
      </c>
      <c r="AU24" s="185">
        <f t="shared" ca="1" si="32"/>
        <v>256</v>
      </c>
      <c r="AV24" s="185">
        <f t="shared" ca="1" si="32"/>
        <v>14</v>
      </c>
      <c r="AW24" s="185">
        <f t="shared" ca="1" si="32"/>
        <v>4</v>
      </c>
      <c r="AX24" s="185">
        <f t="shared" ca="1" si="32"/>
        <v>1</v>
      </c>
      <c r="AY24" s="185" t="str">
        <f t="shared" ca="1" si="32"/>
        <v>Ja, HDMI-port finns</v>
      </c>
      <c r="AZ24" s="185" t="str">
        <f t="shared" ca="1" si="32"/>
        <v>802.11a/b/g/n/ac/ax</v>
      </c>
      <c r="BA24" s="185">
        <f t="shared" ca="1" si="32"/>
        <v>5.3</v>
      </c>
      <c r="BB24" s="185">
        <f t="shared" ca="1" si="33"/>
        <v>11</v>
      </c>
      <c r="BC24" s="185" t="str">
        <f t="shared" ca="1" si="33"/>
        <v>Version 8.0</v>
      </c>
      <c r="BD24" s="185" t="str">
        <f t="shared" ca="1" si="33"/>
        <v>Ja</v>
      </c>
      <c r="BE24" s="185" t="str">
        <f t="shared" ca="1" si="33"/>
        <v>Windows 11 Pro</v>
      </c>
      <c r="BF24" s="185" t="str">
        <f t="shared" ca="1" si="33"/>
        <v>ProBook 445 G10</v>
      </c>
      <c r="BG24" s="185">
        <f t="shared" ca="1" si="33"/>
        <v>8848</v>
      </c>
      <c r="BH24" s="192">
        <f t="shared" ca="1" si="33"/>
        <v>78</v>
      </c>
      <c r="BI24" s="192">
        <f t="shared" ca="1" si="33"/>
        <v>252</v>
      </c>
      <c r="BJ24" s="192">
        <f t="shared" ca="1" si="33"/>
        <v>138</v>
      </c>
      <c r="BK24" s="192">
        <f t="shared" ca="1" si="33"/>
        <v>1150</v>
      </c>
      <c r="BL24" s="192">
        <f t="shared" ca="1" si="34"/>
        <v>160</v>
      </c>
      <c r="BM24" s="192">
        <f t="shared" ca="1" si="34"/>
        <v>185</v>
      </c>
      <c r="BN24" s="192">
        <f t="shared" ca="1" si="34"/>
        <v>60</v>
      </c>
      <c r="BO24" s="192">
        <f t="shared" ca="1" si="34"/>
        <v>50</v>
      </c>
      <c r="BP24" s="192" t="str">
        <f t="shared" ca="1" si="34"/>
        <v>V7</v>
      </c>
      <c r="BQ24" s="192" t="str">
        <f t="shared" ca="1" si="34"/>
        <v>Targus</v>
      </c>
      <c r="BR24" s="192" t="str">
        <f t="shared" ca="1" si="34"/>
        <v>HP</v>
      </c>
      <c r="BS24" s="192" t="str">
        <f t="shared" ca="1" si="34"/>
        <v>HP</v>
      </c>
      <c r="BT24" s="192" t="str">
        <f t="shared" ca="1" si="34"/>
        <v>V7 Elite Sleeve 14"</v>
      </c>
      <c r="BU24" s="192" t="str">
        <f t="shared" ca="1" si="34"/>
        <v>Targus Privacy Screen 14"</v>
      </c>
      <c r="BV24" s="192" t="str">
        <f t="shared" ca="1" si="34"/>
        <v>HP 45W Smart AC Adapter</v>
      </c>
      <c r="BW24" s="192" t="str">
        <f t="shared" ca="1" si="34"/>
        <v>HP USB-C Dock G5</v>
      </c>
      <c r="BX24" s="192"/>
      <c r="BY24" s="192" t="str">
        <f t="shared" ca="1" si="25"/>
        <v>Foxway Education AB</v>
      </c>
      <c r="BZ24" s="192" t="str">
        <f t="shared" ca="1" si="25"/>
        <v>HP</v>
      </c>
      <c r="CA24" s="185"/>
      <c r="CB24" s="185"/>
      <c r="CC24" s="185"/>
      <c r="CD24" s="185"/>
      <c r="CE24" s="185"/>
      <c r="CF24" s="185"/>
      <c r="CG24" s="185"/>
      <c r="CH24" s="185"/>
      <c r="CI24" s="185"/>
      <c r="CJ24" s="185"/>
      <c r="CK24" s="185"/>
      <c r="CL24" s="185"/>
      <c r="CM24" s="185"/>
      <c r="CN24" s="185"/>
    </row>
    <row r="25" spans="2:92" ht="24" customHeight="1" outlineLevel="1" x14ac:dyDescent="0.35">
      <c r="C25" s="61" t="s">
        <v>38</v>
      </c>
      <c r="D25" s="64"/>
      <c r="F25" s="80" t="str">
        <f t="shared" si="26"/>
        <v/>
      </c>
      <c r="G25" s="81" t="str">
        <f t="shared" ca="1" si="27"/>
        <v>Version 8.0</v>
      </c>
      <c r="H25" s="81" t="str">
        <f t="shared" ca="1" si="27"/>
        <v>Version 8.0</v>
      </c>
      <c r="I25" s="120" t="str">
        <f t="shared" ca="1" si="27"/>
        <v>Version 8.0</v>
      </c>
      <c r="J25" s="62"/>
      <c r="Q25" s="185">
        <f t="shared" si="5"/>
        <v>0</v>
      </c>
      <c r="R25" s="185">
        <f t="shared" si="6"/>
        <v>0</v>
      </c>
      <c r="S25" s="185">
        <f t="shared" si="7"/>
        <v>0</v>
      </c>
      <c r="T25" s="185">
        <f t="shared" si="8"/>
        <v>0</v>
      </c>
      <c r="U25" s="185">
        <f t="shared" si="9"/>
        <v>0</v>
      </c>
      <c r="V25" s="185">
        <f t="shared" si="10"/>
        <v>0</v>
      </c>
      <c r="W25" s="185">
        <f t="shared" si="11"/>
        <v>0</v>
      </c>
      <c r="X25" s="185">
        <f t="shared" si="12"/>
        <v>0</v>
      </c>
      <c r="Y25" s="185">
        <f t="shared" si="13"/>
        <v>0</v>
      </c>
      <c r="Z25" s="196">
        <f t="shared" ca="1" si="14"/>
        <v>9288</v>
      </c>
      <c r="AA25" s="185" t="str">
        <f t="shared" ca="1" si="15"/>
        <v>Offererad produktnr. 02Foxway Education AB</v>
      </c>
      <c r="AB25" s="185"/>
      <c r="AC25" s="185" t="b">
        <f ca="1">IFERROR(IF(D16="",TRUE,
IF(OR(D16=$CB$12,D16=$CB$13),IF(LEFT(AS25,FIND(" ",AS25)-1)=D16,TRUE,FALSE),
IF(OFFSET(Processor!$AB$1,MATCH($AS25,Processor!$AA$2:$AA$23,0),MATCH(LEFT(D16,FIND(" ",D16)-1),Processor!$AC$1:$AG$1,0))&gt;=
OFFSET(Processor!$AB$1,MATCH(D16,Processor!$AA$2:$AA$23,0),MATCH(LEFT(D16,FIND(" ",D16)-1),Processor!$AC$1:$AG$1,0)),TRUE,FALSE))),FALSE)</f>
        <v>1</v>
      </c>
      <c r="AD25" s="185" t="b">
        <f t="shared" si="16"/>
        <v>1</v>
      </c>
      <c r="AE25" s="185" t="b">
        <f t="shared" si="17"/>
        <v>1</v>
      </c>
      <c r="AF25" s="185" t="b">
        <f>IF($D$14="",TRUE,IF(COUNTIF(Processor!$I$2:$I$9,$D$14)&gt;0,AND(AV25&gt;INDEX(Processor!$J$2:$J$9,MATCH($D$14,Processor!$I$2:$I$9,0)),AV25&lt;INDEX(Processor!$K$2:$K$9,MATCH($D$14,Processor!$I$2:$I$9,0))),IF(AV25=$D$14,TRUE,FALSE)))</f>
        <v>1</v>
      </c>
      <c r="AG25" s="185" t="b">
        <f t="shared" si="18"/>
        <v>1</v>
      </c>
      <c r="AH25" s="185" t="b">
        <f t="shared" si="19"/>
        <v>1</v>
      </c>
      <c r="AI25" s="185" t="b">
        <f t="shared" si="20"/>
        <v>1</v>
      </c>
      <c r="AJ25" s="185" t="b">
        <f t="shared" si="30"/>
        <v>1</v>
      </c>
      <c r="AK25" s="185" t="b">
        <f t="shared" si="21"/>
        <v>1</v>
      </c>
      <c r="AL25" s="185" t="b">
        <f>IFERROR(IF($D25="",TRUE,IF(MID(BC25,LEN(BC25)-2,1)*1&gt;=MID($D25,LEN($D25)-2,1)*1,TRUE,FALSE)),FALSE)</f>
        <v>1</v>
      </c>
      <c r="AM25" s="185" t="b">
        <f>IF(D24="",TRUE,IF(BB25&gt;=D24,TRUE,FALSE))</f>
        <v>1</v>
      </c>
      <c r="AN25" s="185"/>
      <c r="AO25" s="185"/>
      <c r="AP25" s="185" t="s">
        <v>211</v>
      </c>
      <c r="AQ25" s="185">
        <v>1</v>
      </c>
      <c r="AR25" s="185" t="str">
        <f t="shared" ca="1" si="32"/>
        <v>1920x1080</v>
      </c>
      <c r="AS25" s="185" t="str">
        <f t="shared" ca="1" si="32"/>
        <v>AMD Ryzen 5</v>
      </c>
      <c r="AT25" s="185">
        <f t="shared" ca="1" si="32"/>
        <v>8</v>
      </c>
      <c r="AU25" s="185">
        <f t="shared" ca="1" si="32"/>
        <v>256</v>
      </c>
      <c r="AV25" s="185">
        <f t="shared" ca="1" si="32"/>
        <v>14</v>
      </c>
      <c r="AW25" s="185">
        <f t="shared" ca="1" si="32"/>
        <v>3</v>
      </c>
      <c r="AX25" s="185">
        <f t="shared" ca="1" si="32"/>
        <v>1</v>
      </c>
      <c r="AY25" s="185" t="str">
        <f t="shared" ca="1" si="32"/>
        <v>Ja, HDMI-port finns</v>
      </c>
      <c r="AZ25" s="185" t="str">
        <f t="shared" ca="1" si="32"/>
        <v>802.11a/b/g/n/ac</v>
      </c>
      <c r="BA25" s="185">
        <f t="shared" ca="1" si="32"/>
        <v>5</v>
      </c>
      <c r="BB25" s="185">
        <f t="shared" ca="1" si="33"/>
        <v>11</v>
      </c>
      <c r="BC25" s="185" t="str">
        <f t="shared" ca="1" si="33"/>
        <v>Version 8.0</v>
      </c>
      <c r="BD25" s="185" t="str">
        <f t="shared" ca="1" si="33"/>
        <v>Ja</v>
      </c>
      <c r="BE25" s="185" t="str">
        <f t="shared" ca="1" si="33"/>
        <v>Windows 11 Pro</v>
      </c>
      <c r="BF25" s="185" t="str">
        <f t="shared" ca="1" si="33"/>
        <v>E14 G5 AMD</v>
      </c>
      <c r="BG25" s="185">
        <f t="shared" ca="1" si="33"/>
        <v>9288</v>
      </c>
      <c r="BH25" s="192">
        <f t="shared" ca="1" si="33"/>
        <v>78</v>
      </c>
      <c r="BI25" s="192">
        <f t="shared" ca="1" si="33"/>
        <v>252</v>
      </c>
      <c r="BJ25" s="192">
        <f t="shared" ca="1" si="33"/>
        <v>210</v>
      </c>
      <c r="BK25" s="192">
        <f t="shared" ca="1" si="33"/>
        <v>1824</v>
      </c>
      <c r="BL25" s="192">
        <f t="shared" ca="1" si="34"/>
        <v>290</v>
      </c>
      <c r="BM25" s="192">
        <f t="shared" ca="1" si="34"/>
        <v>185</v>
      </c>
      <c r="BN25" s="192">
        <f t="shared" ca="1" si="34"/>
        <v>60</v>
      </c>
      <c r="BO25" s="192">
        <f t="shared" ca="1" si="34"/>
        <v>50</v>
      </c>
      <c r="BP25" s="192" t="str">
        <f t="shared" ca="1" si="34"/>
        <v>V7</v>
      </c>
      <c r="BQ25" s="192" t="str">
        <f t="shared" ca="1" si="34"/>
        <v>Targus</v>
      </c>
      <c r="BR25" s="192" t="str">
        <f t="shared" ca="1" si="34"/>
        <v>Lenovo</v>
      </c>
      <c r="BS25" s="192" t="str">
        <f t="shared" ca="1" si="34"/>
        <v>Lenovo</v>
      </c>
      <c r="BT25" s="192" t="str">
        <f t="shared" ca="1" si="34"/>
        <v>V7 Elite Sleeve 14"</v>
      </c>
      <c r="BU25" s="192" t="str">
        <f t="shared" ca="1" si="34"/>
        <v>Targus Privacy Screen 14"</v>
      </c>
      <c r="BV25" s="192" t="str">
        <f t="shared" ca="1" si="34"/>
        <v>Power adapter USB-C 45w</v>
      </c>
      <c r="BW25" s="192" t="str">
        <f t="shared" ca="1" si="34"/>
        <v>ThinkPad USB-C Dock gen2</v>
      </c>
      <c r="BX25" s="192"/>
      <c r="BY25" s="192" t="str">
        <f t="shared" ca="1" si="25"/>
        <v>Foxway Education AB</v>
      </c>
      <c r="BZ25" s="192" t="str">
        <f t="shared" ca="1" si="25"/>
        <v>Lenovo</v>
      </c>
      <c r="CA25" s="185"/>
      <c r="CB25" s="185"/>
      <c r="CC25" s="185"/>
      <c r="CD25" s="185"/>
      <c r="CE25" s="185"/>
      <c r="CF25" s="185"/>
      <c r="CG25" s="185"/>
      <c r="CH25" s="185"/>
      <c r="CI25" s="185"/>
      <c r="CJ25" s="185"/>
      <c r="CK25" s="185"/>
      <c r="CL25" s="185"/>
      <c r="CM25" s="185"/>
      <c r="CN25" s="185"/>
    </row>
    <row r="26" spans="2:92" ht="24" customHeight="1" outlineLevel="1" x14ac:dyDescent="0.35">
      <c r="C26" s="61" t="s">
        <v>37</v>
      </c>
      <c r="D26" s="64"/>
      <c r="F26" s="80" t="str">
        <f t="shared" si="26"/>
        <v/>
      </c>
      <c r="G26" s="81" t="str">
        <f t="shared" ca="1" si="27"/>
        <v>Ja</v>
      </c>
      <c r="H26" s="81" t="str">
        <f t="shared" ca="1" si="27"/>
        <v>Ja</v>
      </c>
      <c r="I26" s="120" t="str">
        <f t="shared" ca="1" si="27"/>
        <v>Ja</v>
      </c>
      <c r="J26" s="62"/>
      <c r="Q26" s="185">
        <f t="shared" si="5"/>
        <v>0</v>
      </c>
      <c r="R26" s="185">
        <f t="shared" si="6"/>
        <v>0</v>
      </c>
      <c r="S26" s="185">
        <f t="shared" si="7"/>
        <v>0</v>
      </c>
      <c r="T26" s="185">
        <f t="shared" si="8"/>
        <v>0</v>
      </c>
      <c r="U26" s="185">
        <f t="shared" si="9"/>
        <v>0</v>
      </c>
      <c r="V26" s="185">
        <f t="shared" si="10"/>
        <v>0</v>
      </c>
      <c r="W26" s="185">
        <f t="shared" si="11"/>
        <v>0</v>
      </c>
      <c r="X26" s="185">
        <f t="shared" si="12"/>
        <v>0</v>
      </c>
      <c r="Y26" s="185">
        <f t="shared" si="13"/>
        <v>0</v>
      </c>
      <c r="Z26" s="196">
        <f t="shared" ca="1" si="14"/>
        <v>11210</v>
      </c>
      <c r="AA26" s="185" t="str">
        <f t="shared" ca="1" si="15"/>
        <v>Offererad produktnr. 03Foxway Education AB</v>
      </c>
      <c r="AB26" s="185"/>
      <c r="AC26" s="185" t="b">
        <f ca="1">IFERROR(IF(D16="",TRUE,
IF(OR(D16=$CB$12,D16=$CB$13),IF(LEFT(AS26,FIND(" ",AS26)-1)=D16,TRUE,FALSE),
IF(OFFSET(Processor!$AB$1,MATCH($AS26,Processor!$AA$2:$AA$23,0),MATCH(LEFT(D16,FIND(" ",D16)-1),Processor!$AC$1:$AG$1,0))&gt;=
OFFSET(Processor!$AB$1,MATCH(D16,Processor!$AA$2:$AA$23,0),MATCH(LEFT(D16,FIND(" ",D16)-1),Processor!$AC$1:$AG$1,0)),TRUE,FALSE))),FALSE)</f>
        <v>1</v>
      </c>
      <c r="AD26" s="185" t="b">
        <f t="shared" si="16"/>
        <v>1</v>
      </c>
      <c r="AE26" s="185" t="b">
        <f t="shared" si="17"/>
        <v>1</v>
      </c>
      <c r="AF26" s="185" t="b">
        <f>IF($D$14="",TRUE,IF(COUNTIF(Processor!$I$2:$I$9,$D$14)&gt;0,AND(AV26&gt;INDEX(Processor!$J$2:$J$9,MATCH($D$14,Processor!$I$2:$I$9,0)),AV26&lt;INDEX(Processor!$K$2:$K$9,MATCH($D$14,Processor!$I$2:$I$9,0))),IF(AV26=$D$14,TRUE,FALSE)))</f>
        <v>1</v>
      </c>
      <c r="AG26" s="185" t="b">
        <f t="shared" si="18"/>
        <v>1</v>
      </c>
      <c r="AH26" s="185" t="b">
        <f t="shared" si="19"/>
        <v>1</v>
      </c>
      <c r="AI26" s="185" t="b">
        <f t="shared" si="20"/>
        <v>1</v>
      </c>
      <c r="AJ26" s="185" t="b">
        <f t="shared" si="30"/>
        <v>1</v>
      </c>
      <c r="AK26" s="185" t="b">
        <f t="shared" si="21"/>
        <v>1</v>
      </c>
      <c r="AL26" s="185" t="b">
        <f>IFERROR(IF($D25="",TRUE,IF(MID(BC26,LEN(BC26)-2,1)*1&gt;=MID($D25,LEN($D25)-2,1)*1,TRUE,FALSE)),FALSE)</f>
        <v>1</v>
      </c>
      <c r="AM26" s="185" t="b">
        <f>IF(D24="",TRUE,IF(BB26&gt;=D24,TRUE,FALSE))</f>
        <v>1</v>
      </c>
      <c r="AN26" s="185"/>
      <c r="AO26" s="185"/>
      <c r="AP26" s="185" t="s">
        <v>212</v>
      </c>
      <c r="AQ26" s="185">
        <v>1</v>
      </c>
      <c r="AR26" s="185" t="str">
        <f t="shared" ca="1" si="32"/>
        <v>1920x1080</v>
      </c>
      <c r="AS26" s="185" t="str">
        <f t="shared" ca="1" si="32"/>
        <v>AMD Ryzen 7</v>
      </c>
      <c r="AT26" s="185">
        <f t="shared" ca="1" si="32"/>
        <v>16</v>
      </c>
      <c r="AU26" s="185">
        <f t="shared" ca="1" si="32"/>
        <v>512</v>
      </c>
      <c r="AV26" s="185">
        <f t="shared" ca="1" si="32"/>
        <v>14</v>
      </c>
      <c r="AW26" s="185">
        <f t="shared" ca="1" si="32"/>
        <v>4</v>
      </c>
      <c r="AX26" s="185">
        <f t="shared" ca="1" si="32"/>
        <v>2</v>
      </c>
      <c r="AY26" s="185" t="str">
        <f t="shared" ca="1" si="32"/>
        <v>Ja, HDMI-port finns</v>
      </c>
      <c r="AZ26" s="185" t="str">
        <f t="shared" ca="1" si="32"/>
        <v>802.11a/b/g/n/ac/ax</v>
      </c>
      <c r="BA26" s="185">
        <f t="shared" ca="1" si="32"/>
        <v>5.2</v>
      </c>
      <c r="BB26" s="185">
        <f t="shared" ca="1" si="33"/>
        <v>11</v>
      </c>
      <c r="BC26" s="185" t="str">
        <f t="shared" ca="1" si="33"/>
        <v>Version 8.0</v>
      </c>
      <c r="BD26" s="185" t="str">
        <f t="shared" ca="1" si="33"/>
        <v>Ja</v>
      </c>
      <c r="BE26" s="185" t="str">
        <f t="shared" ca="1" si="33"/>
        <v>Windows 11 Pro</v>
      </c>
      <c r="BF26" s="185" t="str">
        <f t="shared" ca="1" si="33"/>
        <v>L14 G4 AMD</v>
      </c>
      <c r="BG26" s="185">
        <f t="shared" ca="1" si="33"/>
        <v>11210</v>
      </c>
      <c r="BH26" s="192">
        <f t="shared" ca="1" si="33"/>
        <v>78</v>
      </c>
      <c r="BI26" s="192">
        <f t="shared" ca="1" si="33"/>
        <v>252</v>
      </c>
      <c r="BJ26" s="192">
        <f t="shared" ca="1" si="33"/>
        <v>210</v>
      </c>
      <c r="BK26" s="192">
        <f t="shared" ca="1" si="33"/>
        <v>1824</v>
      </c>
      <c r="BL26" s="192">
        <f t="shared" ca="1" si="34"/>
        <v>290</v>
      </c>
      <c r="BM26" s="192">
        <f t="shared" ca="1" si="34"/>
        <v>185</v>
      </c>
      <c r="BN26" s="192">
        <f t="shared" ca="1" si="34"/>
        <v>60</v>
      </c>
      <c r="BO26" s="192">
        <f t="shared" ca="1" si="34"/>
        <v>50</v>
      </c>
      <c r="BP26" s="192" t="str">
        <f t="shared" ca="1" si="34"/>
        <v>V7</v>
      </c>
      <c r="BQ26" s="192" t="str">
        <f t="shared" ca="1" si="34"/>
        <v>Targus</v>
      </c>
      <c r="BR26" s="192" t="str">
        <f t="shared" ca="1" si="34"/>
        <v>Lenovo</v>
      </c>
      <c r="BS26" s="192" t="str">
        <f t="shared" ca="1" si="34"/>
        <v>Lenovo</v>
      </c>
      <c r="BT26" s="192" t="str">
        <f t="shared" ca="1" si="34"/>
        <v>V7 Elite Sleeve 14"</v>
      </c>
      <c r="BU26" s="192" t="str">
        <f t="shared" ca="1" si="34"/>
        <v>Targus Privacy Screen 14"</v>
      </c>
      <c r="BV26" s="192" t="str">
        <f t="shared" ca="1" si="34"/>
        <v>Power adapter USB-C 45w</v>
      </c>
      <c r="BW26" s="192" t="str">
        <f t="shared" ca="1" si="34"/>
        <v>ThinkPad USB-C Dock gen2</v>
      </c>
      <c r="BX26" s="192"/>
      <c r="BY26" s="192" t="str">
        <f t="shared" ca="1" si="25"/>
        <v>Foxway Education AB</v>
      </c>
      <c r="BZ26" s="192" t="str">
        <f t="shared" ca="1" si="25"/>
        <v>Lenovo</v>
      </c>
      <c r="CA26" s="185"/>
      <c r="CB26" s="185"/>
      <c r="CC26" s="185"/>
      <c r="CD26" s="185"/>
      <c r="CE26" s="185"/>
      <c r="CF26" s="185"/>
      <c r="CG26" s="185"/>
      <c r="CH26" s="185"/>
      <c r="CI26" s="185"/>
      <c r="CJ26" s="185"/>
      <c r="CK26" s="185"/>
      <c r="CL26" s="185"/>
      <c r="CM26" s="185"/>
      <c r="CN26" s="185"/>
    </row>
    <row r="27" spans="2:92" ht="24" customHeight="1" outlineLevel="1" x14ac:dyDescent="0.35">
      <c r="C27" s="66"/>
      <c r="D27" s="67"/>
      <c r="F27" s="62"/>
      <c r="G27" s="62"/>
      <c r="H27" s="62"/>
      <c r="I27" s="62"/>
      <c r="J27" s="62"/>
      <c r="Q27" s="185">
        <f>SUM(R27:Y27)</f>
        <v>0</v>
      </c>
      <c r="R27" s="185">
        <f>IF($D$29="",0,BH27)</f>
        <v>0</v>
      </c>
      <c r="S27" s="185">
        <f t="shared" si="7"/>
        <v>0</v>
      </c>
      <c r="T27" s="185">
        <f t="shared" si="8"/>
        <v>0</v>
      </c>
      <c r="U27" s="185">
        <f t="shared" si="9"/>
        <v>0</v>
      </c>
      <c r="V27" s="185">
        <f t="shared" si="10"/>
        <v>0</v>
      </c>
      <c r="W27" s="185">
        <f t="shared" si="11"/>
        <v>0</v>
      </c>
      <c r="X27" s="185">
        <f t="shared" si="12"/>
        <v>0</v>
      </c>
      <c r="Y27" s="185">
        <f t="shared" si="13"/>
        <v>0</v>
      </c>
      <c r="Z27" s="196">
        <f t="shared" ca="1" si="14"/>
        <v>10577</v>
      </c>
      <c r="AA27" s="185" t="str">
        <f t="shared" ca="1" si="15"/>
        <v>Offererad produktnr. 04Foxway Education AB</v>
      </c>
      <c r="AB27" s="185"/>
      <c r="AC27" s="185" t="b">
        <f ca="1">IFERROR(IF(D16="",TRUE,
IF(OR(D16=$CB$12,D16=$CB$13),IF(LEFT(AS27,FIND(" ",AS27)-1)=D16,TRUE,FALSE),
IF(OFFSET(Processor!$AB$1,MATCH($AS27,Processor!$AA$2:$AA$23,0),MATCH(LEFT(D16,FIND(" ",D16)-1),Processor!$AC$1:$AG$1,0))&gt;=
OFFSET(Processor!$AB$1,MATCH(D16,Processor!$AA$2:$AA$23,0),MATCH(LEFT(D16,FIND(" ",D16)-1),Processor!$AC$1:$AG$1,0)),TRUE,FALSE))),FALSE)</f>
        <v>1</v>
      </c>
      <c r="AD27" s="185" t="b">
        <f t="shared" si="16"/>
        <v>1</v>
      </c>
      <c r="AE27" s="185" t="b">
        <f t="shared" si="17"/>
        <v>1</v>
      </c>
      <c r="AF27" s="185" t="b">
        <f>IF($D$14="",TRUE,IF(COUNTIF(Processor!$I$2:$I$9,$D$14)&gt;0,AND(AV27&gt;INDEX(Processor!$J$2:$J$9,MATCH($D$14,Processor!$I$2:$I$9,0)),AV27&lt;INDEX(Processor!$K$2:$K$9,MATCH($D$14,Processor!$I$2:$I$9,0))),IF(AV27=$D$14,TRUE,FALSE)))</f>
        <v>1</v>
      </c>
      <c r="AG27" s="185" t="b">
        <f t="shared" si="18"/>
        <v>1</v>
      </c>
      <c r="AH27" s="185" t="b">
        <f t="shared" si="19"/>
        <v>1</v>
      </c>
      <c r="AI27" s="185" t="b">
        <f t="shared" si="20"/>
        <v>1</v>
      </c>
      <c r="AJ27" s="185" t="b">
        <f t="shared" si="30"/>
        <v>1</v>
      </c>
      <c r="AK27" s="185" t="b">
        <f t="shared" si="21"/>
        <v>1</v>
      </c>
      <c r="AL27" s="185" t="b">
        <f>IFERROR(IF($D25="",TRUE,IF(MID(BC27,LEN(BC27)-2,1)*1&gt;=MID($D25,LEN($D25)-2,1)*1,TRUE,FALSE)),FALSE)</f>
        <v>1</v>
      </c>
      <c r="AM27" s="185" t="b">
        <f>IF(D24="",TRUE,IF(BB27&gt;=D24,TRUE,FALSE))</f>
        <v>1</v>
      </c>
      <c r="AN27" s="185"/>
      <c r="AO27" s="185"/>
      <c r="AP27" s="185" t="s">
        <v>213</v>
      </c>
      <c r="AQ27" s="185">
        <v>1</v>
      </c>
      <c r="AR27" s="185" t="str">
        <f t="shared" ca="1" si="32"/>
        <v>1920x1080</v>
      </c>
      <c r="AS27" s="185" t="str">
        <f t="shared" ca="1" si="32"/>
        <v>Intel i7</v>
      </c>
      <c r="AT27" s="185">
        <f t="shared" ca="1" si="32"/>
        <v>16</v>
      </c>
      <c r="AU27" s="185">
        <f t="shared" ca="1" si="32"/>
        <v>512</v>
      </c>
      <c r="AV27" s="185">
        <f t="shared" ca="1" si="32"/>
        <v>14</v>
      </c>
      <c r="AW27" s="185">
        <f t="shared" ca="1" si="32"/>
        <v>4</v>
      </c>
      <c r="AX27" s="185">
        <f t="shared" ca="1" si="32"/>
        <v>2</v>
      </c>
      <c r="AY27" s="185" t="str">
        <f t="shared" ca="1" si="32"/>
        <v>Ja, HDMI-port finns</v>
      </c>
      <c r="AZ27" s="185" t="str">
        <f t="shared" ca="1" si="32"/>
        <v>802.11a/b/g/n/ac/ax</v>
      </c>
      <c r="BA27" s="185">
        <f t="shared" ca="1" si="32"/>
        <v>5.3</v>
      </c>
      <c r="BB27" s="185">
        <f t="shared" ca="1" si="33"/>
        <v>11</v>
      </c>
      <c r="BC27" s="185" t="str">
        <f t="shared" ca="1" si="33"/>
        <v>Version 8.0</v>
      </c>
      <c r="BD27" s="185" t="str">
        <f t="shared" ca="1" si="33"/>
        <v>Ja</v>
      </c>
      <c r="BE27" s="185" t="str">
        <f t="shared" ca="1" si="33"/>
        <v>Windows 11 Pro</v>
      </c>
      <c r="BF27" s="185" t="str">
        <f t="shared" ca="1" si="33"/>
        <v>Probook 445 G10</v>
      </c>
      <c r="BG27" s="185">
        <f t="shared" ca="1" si="33"/>
        <v>10577</v>
      </c>
      <c r="BH27" s="192">
        <f t="shared" ca="1" si="33"/>
        <v>93</v>
      </c>
      <c r="BI27" s="192">
        <f t="shared" ca="1" si="33"/>
        <v>252</v>
      </c>
      <c r="BJ27" s="192">
        <f t="shared" ca="1" si="33"/>
        <v>138</v>
      </c>
      <c r="BK27" s="192">
        <f t="shared" ca="1" si="33"/>
        <v>1150</v>
      </c>
      <c r="BL27" s="192">
        <f t="shared" ca="1" si="34"/>
        <v>192</v>
      </c>
      <c r="BM27" s="192">
        <f t="shared" ca="1" si="34"/>
        <v>185</v>
      </c>
      <c r="BN27" s="192">
        <f t="shared" ca="1" si="34"/>
        <v>60</v>
      </c>
      <c r="BO27" s="192">
        <f t="shared" ca="1" si="34"/>
        <v>50</v>
      </c>
      <c r="BP27" s="192" t="str">
        <f t="shared" ca="1" si="34"/>
        <v>V7</v>
      </c>
      <c r="BQ27" s="192" t="str">
        <f t="shared" ca="1" si="34"/>
        <v>Targus</v>
      </c>
      <c r="BR27" s="192" t="str">
        <f t="shared" ca="1" si="34"/>
        <v>HP</v>
      </c>
      <c r="BS27" s="192" t="str">
        <f t="shared" ca="1" si="34"/>
        <v>HP</v>
      </c>
      <c r="BT27" s="192" t="str">
        <f t="shared" ca="1" si="34"/>
        <v>V7 Elite Sleeve 14"</v>
      </c>
      <c r="BU27" s="192" t="str">
        <f t="shared" ca="1" si="34"/>
        <v>Targus Privacy Screen 14"</v>
      </c>
      <c r="BV27" s="192" t="str">
        <f t="shared" ca="1" si="34"/>
        <v>HP 45W Smart AC Adapter</v>
      </c>
      <c r="BW27" s="192" t="str">
        <f t="shared" ca="1" si="34"/>
        <v>HP USB-C Dock G5</v>
      </c>
      <c r="BX27" s="192"/>
      <c r="BY27" s="192" t="str">
        <f t="shared" ca="1" si="25"/>
        <v>Foxway Education AB</v>
      </c>
      <c r="BZ27" s="192" t="str">
        <f t="shared" ca="1" si="25"/>
        <v>HP</v>
      </c>
      <c r="CA27" s="185"/>
      <c r="CB27" s="185"/>
      <c r="CC27" s="185"/>
      <c r="CD27" s="185"/>
      <c r="CE27" s="185"/>
      <c r="CF27" s="185"/>
      <c r="CG27" s="185"/>
      <c r="CH27" s="185"/>
      <c r="CI27" s="185"/>
      <c r="CJ27" s="185"/>
      <c r="CK27" s="185"/>
      <c r="CL27" s="185"/>
      <c r="CM27" s="185"/>
      <c r="CN27" s="185"/>
    </row>
    <row r="28" spans="2:92" ht="26.25" customHeight="1" outlineLevel="1" x14ac:dyDescent="0.35">
      <c r="C28" s="212" t="s">
        <v>366</v>
      </c>
      <c r="D28" s="213"/>
      <c r="E28" s="213"/>
      <c r="F28" s="213"/>
      <c r="G28" s="213"/>
      <c r="H28" s="213"/>
      <c r="I28" s="214"/>
      <c r="J28" s="68"/>
      <c r="Q28" s="185">
        <f>SUM(R28:Y28)</f>
        <v>0</v>
      </c>
      <c r="R28" s="185">
        <f>IF($D$29="",0,BH28)</f>
        <v>0</v>
      </c>
      <c r="S28" s="185">
        <f t="shared" si="7"/>
        <v>0</v>
      </c>
      <c r="T28" s="185">
        <f t="shared" si="8"/>
        <v>0</v>
      </c>
      <c r="U28" s="185">
        <f t="shared" si="9"/>
        <v>0</v>
      </c>
      <c r="V28" s="185">
        <f t="shared" si="10"/>
        <v>0</v>
      </c>
      <c r="W28" s="185">
        <f t="shared" si="11"/>
        <v>0</v>
      </c>
      <c r="X28" s="185">
        <f t="shared" si="12"/>
        <v>0</v>
      </c>
      <c r="Y28" s="185">
        <f t="shared" si="13"/>
        <v>0</v>
      </c>
      <c r="Z28" s="196">
        <f ca="1">IF(AA28="","",SUM(BG28,R28:Y28))</f>
        <v>6420</v>
      </c>
      <c r="AA28" s="185" t="str">
        <f ca="1">IF(COUNTIF(AB28:AO28,FALSE)&gt;0,"",AP28)</f>
        <v>Offererad produktnr. 01Qlosr Göteborg AB</v>
      </c>
      <c r="AB28" s="185"/>
      <c r="AC28" s="185" t="b">
        <f ca="1">IFERROR(IF(D16="",TRUE,
IF(OR(D16=$CB$12,D16=$CB$13),IF(LEFT(AS28,FIND(" ",AS28)-1)=D16,TRUE,FALSE),
IF(OFFSET(Processor!$AB$1,MATCH($AS28,Processor!$AA$2:$AA$23,0),MATCH(LEFT(D16,FIND(" ",D16)-1),Processor!$AC$1:$AG$1,0))&gt;=
OFFSET(Processor!$AB$1,MATCH(D16,Processor!$AA$2:$AA$23,0),MATCH(LEFT(D16,FIND(" ",D16)-1),Processor!$AC$1:$AG$1,0)),TRUE,FALSE))),FALSE)</f>
        <v>1</v>
      </c>
      <c r="AD28" s="185" t="b">
        <f t="shared" si="16"/>
        <v>1</v>
      </c>
      <c r="AE28" s="185" t="b">
        <f t="shared" si="17"/>
        <v>1</v>
      </c>
      <c r="AF28" s="185" t="b">
        <f>IF($D$14="",TRUE,IF(COUNTIF(Processor!$I$2:$I$9,$D$14)&gt;0,AND(AV28&gt;INDEX(Processor!$J$2:$J$9,MATCH($D$14,Processor!$I$2:$I$9,0)),AV28&lt;INDEX(Processor!$K$2:$K$9,MATCH($D$14,Processor!$I$2:$I$9,0))),IF(AV28=$D$14,TRUE,FALSE)))</f>
        <v>1</v>
      </c>
      <c r="AG28" s="185" t="b">
        <f t="shared" si="18"/>
        <v>1</v>
      </c>
      <c r="AH28" s="185" t="b">
        <f t="shared" si="19"/>
        <v>1</v>
      </c>
      <c r="AI28" s="185" t="b">
        <f t="shared" si="20"/>
        <v>1</v>
      </c>
      <c r="AJ28" s="185" t="b">
        <f t="shared" si="30"/>
        <v>1</v>
      </c>
      <c r="AK28" s="185" t="b">
        <f t="shared" si="21"/>
        <v>1</v>
      </c>
      <c r="AL28" s="185" t="b">
        <f>IFERROR(IF($D25="",TRUE,IF(MID(BC28,LEN(BC28)-2,1)*1&gt;=MID($D25,LEN($D25)-2,1)*1,TRUE,FALSE)),FALSE)</f>
        <v>1</v>
      </c>
      <c r="AM28" s="185" t="b">
        <f>IF(D24="",TRUE,IF(BB28&gt;=D24,TRUE,FALSE))</f>
        <v>1</v>
      </c>
      <c r="AN28" s="185"/>
      <c r="AO28" s="185"/>
      <c r="AP28" s="185" t="s">
        <v>552</v>
      </c>
      <c r="AQ28" s="185">
        <v>1</v>
      </c>
      <c r="AR28" s="185" t="str">
        <f t="shared" ca="1" si="32"/>
        <v>1920x1080</v>
      </c>
      <c r="AS28" s="185" t="str">
        <f t="shared" ca="1" si="32"/>
        <v>AMD Ryzen 5</v>
      </c>
      <c r="AT28" s="185">
        <f t="shared" ca="1" si="32"/>
        <v>8</v>
      </c>
      <c r="AU28" s="185">
        <f t="shared" ca="1" si="32"/>
        <v>256</v>
      </c>
      <c r="AV28" s="185">
        <f t="shared" ca="1" si="32"/>
        <v>14</v>
      </c>
      <c r="AW28" s="185">
        <f t="shared" ca="1" si="32"/>
        <v>4</v>
      </c>
      <c r="AX28" s="185">
        <f t="shared" ca="1" si="32"/>
        <v>1</v>
      </c>
      <c r="AY28" s="185" t="str">
        <f t="shared" ca="1" si="32"/>
        <v>Ja, HDMI-port finns</v>
      </c>
      <c r="AZ28" s="185" t="str">
        <f t="shared" ca="1" si="32"/>
        <v>802.11a/b/g/n/ac/ax</v>
      </c>
      <c r="BA28" s="185">
        <f t="shared" ca="1" si="32"/>
        <v>5</v>
      </c>
      <c r="BB28" s="185">
        <f t="shared" ca="1" si="33"/>
        <v>11</v>
      </c>
      <c r="BC28" s="185" t="str">
        <f t="shared" ca="1" si="33"/>
        <v>Version 8.0</v>
      </c>
      <c r="BD28" s="185" t="str">
        <f t="shared" ca="1" si="33"/>
        <v>Ja</v>
      </c>
      <c r="BE28" s="185" t="str">
        <f t="shared" ca="1" si="33"/>
        <v>Windows 10 Pro</v>
      </c>
      <c r="BF28" s="185" t="str">
        <f t="shared" ca="1" si="33"/>
        <v>ProBook 445 G8</v>
      </c>
      <c r="BG28" s="185">
        <f t="shared" ca="1" si="33"/>
        <v>6420</v>
      </c>
      <c r="BH28" s="192">
        <f t="shared" ca="1" si="33"/>
        <v>79</v>
      </c>
      <c r="BI28" s="192">
        <f t="shared" ca="1" si="33"/>
        <v>199</v>
      </c>
      <c r="BJ28" s="192">
        <f t="shared" ca="1" si="33"/>
        <v>106</v>
      </c>
      <c r="BK28" s="192">
        <f t="shared" ca="1" si="33"/>
        <v>949</v>
      </c>
      <c r="BL28" s="192">
        <f t="shared" ca="1" si="34"/>
        <v>151</v>
      </c>
      <c r="BM28" s="192">
        <f t="shared" ca="1" si="34"/>
        <v>70</v>
      </c>
      <c r="BN28" s="192">
        <f t="shared" ca="1" si="34"/>
        <v>25</v>
      </c>
      <c r="BO28" s="192">
        <f t="shared" ca="1" si="34"/>
        <v>25</v>
      </c>
      <c r="BP28" s="192" t="str">
        <f t="shared" ca="1" si="34"/>
        <v>HP</v>
      </c>
      <c r="BQ28" s="192" t="str">
        <f t="shared" ca="1" si="34"/>
        <v>HP</v>
      </c>
      <c r="BR28" s="192" t="str">
        <f t="shared" ca="1" si="34"/>
        <v>HP</v>
      </c>
      <c r="BS28" s="192" t="str">
        <f t="shared" ca="1" si="34"/>
        <v>HP</v>
      </c>
      <c r="BT28" s="192" t="str">
        <f t="shared" ca="1" si="34"/>
        <v>GBX2UW01AA</v>
      </c>
      <c r="BU28" s="192" t="str">
        <f t="shared" ca="1" si="34"/>
        <v>GBXJ6E65AA</v>
      </c>
      <c r="BV28" s="192" t="str">
        <f t="shared" ca="1" si="34"/>
        <v>GBXH6Y88AA</v>
      </c>
      <c r="BW28" s="192" t="str">
        <f t="shared" ca="1" si="34"/>
        <v>GBX5TW10AA</v>
      </c>
      <c r="BX28" s="192"/>
      <c r="BY28" s="192" t="str">
        <f t="shared" ca="1" si="25"/>
        <v>Qlosr Göteborg AB</v>
      </c>
      <c r="BZ28" s="192" t="str">
        <f t="shared" ca="1" si="25"/>
        <v>HP</v>
      </c>
      <c r="CA28" s="185"/>
      <c r="CB28" s="185"/>
      <c r="CC28" s="185"/>
      <c r="CD28" s="185"/>
      <c r="CE28" s="185"/>
      <c r="CF28" s="185"/>
      <c r="CG28" s="185"/>
      <c r="CH28" s="185"/>
      <c r="CI28" s="185"/>
      <c r="CJ28" s="185"/>
      <c r="CK28" s="185"/>
      <c r="CL28" s="185"/>
      <c r="CM28" s="185"/>
      <c r="CN28" s="185"/>
    </row>
    <row r="29" spans="2:92" ht="26.25" customHeight="1" outlineLevel="1" x14ac:dyDescent="0.35">
      <c r="B29" s="69" t="s">
        <v>53</v>
      </c>
      <c r="C29" s="115" t="s">
        <v>363</v>
      </c>
      <c r="D29" s="70"/>
      <c r="F29" s="161" t="str">
        <f t="shared" ref="F29:F40" si="35">IF(F$10="Inget antal angivet","",IFERROR(INDEX($AR$11:$BZ$38,MATCH(F$7,$AP$11:$AP$38,0),MATCH($B29,$AR$11:$BZ$11,0)),""))</f>
        <v/>
      </c>
      <c r="G29" s="162">
        <f ca="1">IFERROR(INDEX($AR$11:$BZ$38,MATCH(G$7,$AP$11:$AP$38,0),MATCH($B29,$AR$11:$BZ$11,0)),"")</f>
        <v>79</v>
      </c>
      <c r="H29" s="162">
        <f t="shared" ref="G29:I40" ca="1" si="36">IFERROR(INDEX($AR$11:$BZ$38,MATCH(H$7,$AP$11:$AP$38,0),MATCH($B29,$AR$11:$BZ$11,0)),"")</f>
        <v>123</v>
      </c>
      <c r="I29" s="162">
        <f t="shared" ca="1" si="36"/>
        <v>79</v>
      </c>
      <c r="J29" s="62"/>
      <c r="Q29" s="185">
        <f>SUM(R29:Y29)</f>
        <v>0</v>
      </c>
      <c r="R29" s="185">
        <f>IF($D$29="",0,BH29)</f>
        <v>0</v>
      </c>
      <c r="S29" s="185">
        <f t="shared" si="7"/>
        <v>0</v>
      </c>
      <c r="T29" s="185">
        <f t="shared" si="8"/>
        <v>0</v>
      </c>
      <c r="U29" s="185">
        <f t="shared" si="9"/>
        <v>0</v>
      </c>
      <c r="V29" s="185">
        <f t="shared" si="10"/>
        <v>0</v>
      </c>
      <c r="W29" s="185">
        <f t="shared" si="11"/>
        <v>0</v>
      </c>
      <c r="X29" s="185">
        <f t="shared" si="12"/>
        <v>0</v>
      </c>
      <c r="Y29" s="185">
        <f t="shared" si="13"/>
        <v>0</v>
      </c>
      <c r="Z29" s="196">
        <f t="shared" ca="1" si="14"/>
        <v>9600</v>
      </c>
      <c r="AA29" s="185" t="str">
        <f t="shared" ca="1" si="15"/>
        <v>Offererad produktnr. 02Qlosr Göteborg AB</v>
      </c>
      <c r="AB29" s="185"/>
      <c r="AC29" s="185" t="b">
        <f ca="1">IFERROR(IF(D16="",TRUE,
IF(OR(D16=$CB$12,D16=$CB$13),IF(LEFT(AS29,FIND(" ",AS29)-1)=D16,TRUE,FALSE),
IF(OFFSET(Processor!$AB$1,MATCH($AS29,Processor!$AA$2:$AA$23,0),MATCH(LEFT(D16,FIND(" ",D16)-1),Processor!$AC$1:$AG$1,0))&gt;=
OFFSET(Processor!$AB$1,MATCH(D16,Processor!$AA$2:$AA$23,0),MATCH(LEFT(D16,FIND(" ",D16)-1),Processor!$AC$1:$AG$1,0)),TRUE,FALSE))),FALSE)</f>
        <v>1</v>
      </c>
      <c r="AD29" s="185" t="b">
        <f t="shared" si="16"/>
        <v>1</v>
      </c>
      <c r="AE29" s="185" t="b">
        <f t="shared" si="17"/>
        <v>1</v>
      </c>
      <c r="AF29" s="185" t="b">
        <f>IF($D$14="",TRUE,IF(COUNTIF(Processor!$I$2:$I$9,$D$14)&gt;0,AND(AV29&gt;INDEX(Processor!$J$2:$J$9,MATCH($D$14,Processor!$I$2:$I$9,0)),AV29&lt;INDEX(Processor!$K$2:$K$9,MATCH($D$14,Processor!$I$2:$I$9,0))),IF(AV29=$D$14,TRUE,FALSE)))</f>
        <v>1</v>
      </c>
      <c r="AG29" s="185" t="b">
        <f t="shared" si="18"/>
        <v>1</v>
      </c>
      <c r="AH29" s="185" t="b">
        <f t="shared" si="19"/>
        <v>1</v>
      </c>
      <c r="AI29" s="185" t="b">
        <f t="shared" si="20"/>
        <v>1</v>
      </c>
      <c r="AJ29" s="185" t="b">
        <f t="shared" si="30"/>
        <v>1</v>
      </c>
      <c r="AK29" s="185" t="b">
        <f t="shared" si="21"/>
        <v>1</v>
      </c>
      <c r="AL29" s="185" t="b">
        <f>IFERROR(IF($D25="",TRUE,IF(MID(BC29,LEN(BC29)-2,1)*1&gt;=MID($D25,LEN($D25)-2,1)*1,TRUE,FALSE)),FALSE)</f>
        <v>1</v>
      </c>
      <c r="AM29" s="185" t="b">
        <f>IF(D24="",TRUE,IF(BB29&gt;=D24,TRUE,FALSE))</f>
        <v>1</v>
      </c>
      <c r="AN29" s="185"/>
      <c r="AO29" s="185"/>
      <c r="AP29" s="185" t="s">
        <v>553</v>
      </c>
      <c r="AQ29" s="185">
        <v>1</v>
      </c>
      <c r="AR29" s="185" t="str">
        <f t="shared" ca="1" si="32"/>
        <v>1920x1080</v>
      </c>
      <c r="AS29" s="185" t="str">
        <f t="shared" ca="1" si="32"/>
        <v>Intel i5</v>
      </c>
      <c r="AT29" s="185">
        <f t="shared" ca="1" si="32"/>
        <v>8</v>
      </c>
      <c r="AU29" s="185">
        <f t="shared" ca="1" si="32"/>
        <v>256</v>
      </c>
      <c r="AV29" s="185">
        <f t="shared" ca="1" si="32"/>
        <v>14</v>
      </c>
      <c r="AW29" s="185">
        <f t="shared" ca="1" si="32"/>
        <v>2</v>
      </c>
      <c r="AX29" s="185">
        <f t="shared" ca="1" si="32"/>
        <v>2</v>
      </c>
      <c r="AY29" s="185" t="str">
        <f t="shared" ca="1" si="32"/>
        <v>Ja, HDMI-port finns</v>
      </c>
      <c r="AZ29" s="185" t="str">
        <f t="shared" ca="1" si="32"/>
        <v>802.11a/b/g/n/ac/ax</v>
      </c>
      <c r="BA29" s="185">
        <f t="shared" ca="1" si="32"/>
        <v>5.3</v>
      </c>
      <c r="BB29" s="185">
        <f t="shared" ca="1" si="33"/>
        <v>11</v>
      </c>
      <c r="BC29" s="185" t="str">
        <f t="shared" ca="1" si="33"/>
        <v>Version 8.0</v>
      </c>
      <c r="BD29" s="185" t="str">
        <f t="shared" ca="1" si="33"/>
        <v>Ja</v>
      </c>
      <c r="BE29" s="185" t="str">
        <f t="shared" ca="1" si="33"/>
        <v>Windows 11 Pro</v>
      </c>
      <c r="BF29" s="185" t="str">
        <f t="shared" ca="1" si="33"/>
        <v>Dell Latitude 5440</v>
      </c>
      <c r="BG29" s="185">
        <f t="shared" ca="1" si="33"/>
        <v>9600</v>
      </c>
      <c r="BH29" s="192">
        <f t="shared" ca="1" si="33"/>
        <v>79</v>
      </c>
      <c r="BI29" s="192">
        <f t="shared" ca="1" si="33"/>
        <v>199</v>
      </c>
      <c r="BJ29" s="192">
        <f t="shared" ca="1" si="33"/>
        <v>182</v>
      </c>
      <c r="BK29" s="192">
        <f t="shared" ca="1" si="33"/>
        <v>1138</v>
      </c>
      <c r="BL29" s="192">
        <f t="shared" ca="1" si="34"/>
        <v>151</v>
      </c>
      <c r="BM29" s="192">
        <f t="shared" ca="1" si="34"/>
        <v>70</v>
      </c>
      <c r="BN29" s="192">
        <f t="shared" ca="1" si="34"/>
        <v>25</v>
      </c>
      <c r="BO29" s="192">
        <f t="shared" ca="1" si="34"/>
        <v>25</v>
      </c>
      <c r="BP29" s="192" t="str">
        <f t="shared" ca="1" si="34"/>
        <v>HP</v>
      </c>
      <c r="BQ29" s="192" t="str">
        <f t="shared" ca="1" si="34"/>
        <v>HP</v>
      </c>
      <c r="BR29" s="192" t="str">
        <f t="shared" ca="1" si="34"/>
        <v>Dell</v>
      </c>
      <c r="BS29" s="192" t="str">
        <f t="shared" ca="1" si="34"/>
        <v>HP</v>
      </c>
      <c r="BT29" s="192" t="str">
        <f t="shared" ca="1" si="34"/>
        <v>GBX3E2U7AA</v>
      </c>
      <c r="BU29" s="192" t="str">
        <f t="shared" ca="1" si="34"/>
        <v>GBXJ6E65AA</v>
      </c>
      <c r="BV29" s="192" t="str">
        <f t="shared" ca="1" si="34"/>
        <v>GBXUSBC65W-2</v>
      </c>
      <c r="BW29" s="192" t="str">
        <f t="shared" ca="1" si="34"/>
        <v>GBX5TW10AA</v>
      </c>
      <c r="BX29" s="192"/>
      <c r="BY29" s="192" t="str">
        <f t="shared" ca="1" si="25"/>
        <v>Qlosr Göteborg AB</v>
      </c>
      <c r="BZ29" s="192" t="str">
        <f t="shared" ca="1" si="25"/>
        <v>Dell</v>
      </c>
      <c r="CA29" s="185"/>
      <c r="CB29" s="185"/>
      <c r="CC29" s="185"/>
      <c r="CD29" s="185"/>
      <c r="CE29" s="185"/>
      <c r="CF29" s="185"/>
      <c r="CG29" s="185"/>
      <c r="CH29" s="185"/>
      <c r="CI29" s="185"/>
      <c r="CJ29" s="185"/>
      <c r="CK29" s="185"/>
      <c r="CL29" s="185"/>
      <c r="CM29" s="185"/>
      <c r="CN29" s="185"/>
    </row>
    <row r="30" spans="2:92" ht="26.25" customHeight="1" outlineLevel="1" x14ac:dyDescent="0.35">
      <c r="B30" s="69" t="s">
        <v>340</v>
      </c>
      <c r="C30" s="96" t="s">
        <v>51</v>
      </c>
      <c r="D30" s="131"/>
      <c r="F30" s="84" t="str">
        <f t="shared" si="35"/>
        <v/>
      </c>
      <c r="G30" s="85" t="str">
        <f t="shared" ca="1" si="36"/>
        <v>HP</v>
      </c>
      <c r="H30" s="85" t="str">
        <f t="shared" ca="1" si="36"/>
        <v>Cirafon</v>
      </c>
      <c r="I30" s="85" t="str">
        <f t="shared" ca="1" si="36"/>
        <v>HP</v>
      </c>
      <c r="J30" s="62"/>
      <c r="Q30" s="185">
        <f t="shared" ref="Q30:Q31" si="37">SUM(R30:Y30)</f>
        <v>0</v>
      </c>
      <c r="R30" s="185">
        <f t="shared" ref="R30:R31" si="38">IF($D$29="",0,BH30)</f>
        <v>0</v>
      </c>
      <c r="S30" s="185">
        <f t="shared" ref="S30:S31" si="39">IF($D$32="",0,BI30)</f>
        <v>0</v>
      </c>
      <c r="T30" s="185">
        <f t="shared" ref="T30:T31" si="40">IF($D$35="",0,BJ30)</f>
        <v>0</v>
      </c>
      <c r="U30" s="185">
        <f t="shared" ref="U30:U31" si="41">IF($D$38="",0,BK30)</f>
        <v>0</v>
      </c>
      <c r="V30" s="185">
        <f t="shared" ref="V30:V31" si="42">IF($D$42="",0,BL30)</f>
        <v>0</v>
      </c>
      <c r="W30" s="185">
        <f t="shared" ref="W30:W31" si="43">IF($D$43="",0,BM30)</f>
        <v>0</v>
      </c>
      <c r="X30" s="185">
        <f t="shared" ref="X30:X31" si="44">IF($D$44="",0,BN30)</f>
        <v>0</v>
      </c>
      <c r="Y30" s="185">
        <f t="shared" ref="Y30:Y31" si="45">IF($D$45="",0,BO30)</f>
        <v>0</v>
      </c>
      <c r="Z30" s="196">
        <f t="shared" ca="1" si="14"/>
        <v>7640</v>
      </c>
      <c r="AA30" s="185" t="str">
        <f t="shared" ca="1" si="15"/>
        <v>Offererad produktnr. 03Qlosr Göteborg AB</v>
      </c>
      <c r="AB30" s="185"/>
      <c r="AC30" s="185" t="b">
        <f ca="1">IFERROR(IF(D16="",TRUE,
IF(OR(D16=$CB$12,D16=$CB$13),IF(LEFT(AS30,FIND(" ",AS30)-1)=D16,TRUE,FALSE),
IF(OFFSET(Processor!$AB$1,MATCH($AS30,Processor!$AA$2:$AA$23,0),MATCH(LEFT(D16,FIND(" ",D16)-1),Processor!$AC$1:$AG$1,0))&gt;=
OFFSET(Processor!$AB$1,MATCH(D16,Processor!$AA$2:$AA$23,0),MATCH(LEFT(D16,FIND(" ",D16)-1),Processor!$AC$1:$AG$1,0)),TRUE,FALSE))),FALSE)</f>
        <v>1</v>
      </c>
      <c r="AD30" s="185" t="b">
        <f t="shared" si="16"/>
        <v>1</v>
      </c>
      <c r="AE30" s="185" t="b">
        <f t="shared" si="17"/>
        <v>1</v>
      </c>
      <c r="AF30" s="185" t="b">
        <f>IF($D$14="",TRUE,IF(COUNTIF(Processor!$I$2:$I$9,$D$14)&gt;0,AND(AV30&gt;INDEX(Processor!$J$2:$J$9,MATCH($D$14,Processor!$I$2:$I$9,0)),AV30&lt;INDEX(Processor!$K$2:$K$9,MATCH($D$14,Processor!$I$2:$I$9,0))),IF(AV30=$D$14,TRUE,FALSE)))</f>
        <v>1</v>
      </c>
      <c r="AG30" s="185" t="b">
        <f t="shared" si="18"/>
        <v>1</v>
      </c>
      <c r="AH30" s="185" t="b">
        <f t="shared" si="19"/>
        <v>1</v>
      </c>
      <c r="AI30" s="185" t="b">
        <f t="shared" si="20"/>
        <v>1</v>
      </c>
      <c r="AJ30" s="185" t="b">
        <f t="shared" ref="AJ30:AJ31" si="46">IF($D$22="",TRUE,IF($D$22="802.11a/b/g/n/ac",TRUE,IF(AZ30&gt;=$D$22,TRUE,FALSE)))</f>
        <v>1</v>
      </c>
      <c r="AK30" s="185" t="b">
        <f t="shared" si="21"/>
        <v>1</v>
      </c>
      <c r="AL30" s="185" t="b">
        <f>IFERROR(IF($D25="",TRUE,IF(MID(BC30,LEN(BC30)-2,1)*1&gt;=MID($D25,LEN($D25)-2,1)*1,TRUE,FALSE)),FALSE)</f>
        <v>1</v>
      </c>
      <c r="AM30" s="185" t="b">
        <f>IF(D24="",TRUE,IF(BB30&gt;=D24,TRUE,FALSE))</f>
        <v>1</v>
      </c>
      <c r="AN30" s="185"/>
      <c r="AO30" s="185"/>
      <c r="AP30" s="185" t="s">
        <v>554</v>
      </c>
      <c r="AQ30" s="185">
        <v>1</v>
      </c>
      <c r="AR30" s="185" t="str">
        <f t="shared" ca="1" si="32"/>
        <v>1920x1080</v>
      </c>
      <c r="AS30" s="185" t="str">
        <f t="shared" ca="1" si="32"/>
        <v>AMD Ryzen 7</v>
      </c>
      <c r="AT30" s="185">
        <f t="shared" ca="1" si="32"/>
        <v>16</v>
      </c>
      <c r="AU30" s="185">
        <f t="shared" ca="1" si="32"/>
        <v>512</v>
      </c>
      <c r="AV30" s="185">
        <f t="shared" ca="1" si="32"/>
        <v>14</v>
      </c>
      <c r="AW30" s="185">
        <f t="shared" ca="1" si="32"/>
        <v>4</v>
      </c>
      <c r="AX30" s="185">
        <f t="shared" ca="1" si="32"/>
        <v>1</v>
      </c>
      <c r="AY30" s="185" t="str">
        <f t="shared" ca="1" si="32"/>
        <v>Ja, HDMI-port finns</v>
      </c>
      <c r="AZ30" s="185" t="str">
        <f t="shared" ca="1" si="32"/>
        <v>802.11a/b/g/n/ac/ax</v>
      </c>
      <c r="BA30" s="185">
        <f t="shared" ca="1" si="32"/>
        <v>5</v>
      </c>
      <c r="BB30" s="185">
        <f t="shared" ca="1" si="33"/>
        <v>11</v>
      </c>
      <c r="BC30" s="185" t="str">
        <f t="shared" ca="1" si="33"/>
        <v>Version 8.0</v>
      </c>
      <c r="BD30" s="185" t="str">
        <f t="shared" ca="1" si="33"/>
        <v>Ja</v>
      </c>
      <c r="BE30" s="185" t="str">
        <f t="shared" ca="1" si="33"/>
        <v>Windows 10 Pro</v>
      </c>
      <c r="BF30" s="185" t="str">
        <f t="shared" ca="1" si="33"/>
        <v>ProBook 445 G8</v>
      </c>
      <c r="BG30" s="185">
        <f t="shared" ca="1" si="33"/>
        <v>7640</v>
      </c>
      <c r="BH30" s="192">
        <f t="shared" ca="1" si="33"/>
        <v>79</v>
      </c>
      <c r="BI30" s="192">
        <f t="shared" ca="1" si="33"/>
        <v>199</v>
      </c>
      <c r="BJ30" s="192">
        <f t="shared" ca="1" si="33"/>
        <v>106</v>
      </c>
      <c r="BK30" s="192">
        <f t="shared" ca="1" si="33"/>
        <v>949</v>
      </c>
      <c r="BL30" s="192">
        <f t="shared" ca="1" si="34"/>
        <v>151</v>
      </c>
      <c r="BM30" s="192">
        <f t="shared" ca="1" si="34"/>
        <v>70</v>
      </c>
      <c r="BN30" s="192">
        <f t="shared" ca="1" si="34"/>
        <v>25</v>
      </c>
      <c r="BO30" s="192">
        <f t="shared" ca="1" si="34"/>
        <v>25</v>
      </c>
      <c r="BP30" s="192" t="str">
        <f t="shared" ca="1" si="34"/>
        <v>HP</v>
      </c>
      <c r="BQ30" s="192" t="str">
        <f t="shared" ca="1" si="34"/>
        <v>HP</v>
      </c>
      <c r="BR30" s="192" t="str">
        <f t="shared" ca="1" si="34"/>
        <v>HP</v>
      </c>
      <c r="BS30" s="192" t="str">
        <f t="shared" ca="1" si="34"/>
        <v>HP</v>
      </c>
      <c r="BT30" s="192" t="str">
        <f t="shared" ca="1" si="34"/>
        <v>GBX2UW01AA</v>
      </c>
      <c r="BU30" s="192" t="str">
        <f t="shared" ca="1" si="34"/>
        <v>GBXJ6E65AA</v>
      </c>
      <c r="BV30" s="192" t="str">
        <f t="shared" ca="1" si="34"/>
        <v>GBXH6Y88AA</v>
      </c>
      <c r="BW30" s="192" t="str">
        <f t="shared" ca="1" si="34"/>
        <v>GBX5TW10AA</v>
      </c>
      <c r="BX30" s="192"/>
      <c r="BY30" s="192" t="str">
        <f ca="1">IFERROR(INDEX(INDIRECT(BY$7&amp;"!$A$10:CC100000"),MATCH($AP30,INDIRECT(BY$7&amp;"!BH$10:BH100000"),0),MATCH(BY$9,INDIRECT(BY$7&amp;"!a10:CC10"),0)),"False")</f>
        <v>Qlosr Göteborg AB</v>
      </c>
      <c r="BZ30" s="192" t="str">
        <f t="shared" ca="1" si="25"/>
        <v>HP</v>
      </c>
      <c r="CA30" s="185"/>
      <c r="CB30" s="185"/>
      <c r="CC30" s="185"/>
      <c r="CD30" s="185"/>
      <c r="CE30" s="185"/>
      <c r="CF30" s="185"/>
      <c r="CG30" s="185"/>
      <c r="CH30" s="185"/>
      <c r="CI30" s="185"/>
      <c r="CJ30" s="185"/>
      <c r="CK30" s="185"/>
      <c r="CL30" s="185"/>
      <c r="CM30" s="185"/>
      <c r="CN30" s="185"/>
    </row>
    <row r="31" spans="2:92" ht="67.5" customHeight="1" outlineLevel="1" x14ac:dyDescent="0.35">
      <c r="B31" s="69" t="s">
        <v>345</v>
      </c>
      <c r="C31" s="97" t="s">
        <v>52</v>
      </c>
      <c r="D31" s="132"/>
      <c r="F31" s="86" t="str">
        <f t="shared" si="35"/>
        <v/>
      </c>
      <c r="G31" s="87" t="str">
        <f t="shared" ca="1" si="36"/>
        <v>GBX2UW01AA</v>
      </c>
      <c r="H31" s="87" t="str">
        <f t="shared" ca="1" si="36"/>
        <v>LSN8696R2-14.1</v>
      </c>
      <c r="I31" s="87" t="str">
        <f t="shared" ca="1" si="36"/>
        <v>GBX2UW01AA</v>
      </c>
      <c r="J31" s="62"/>
      <c r="Q31" s="185">
        <f t="shared" si="37"/>
        <v>0</v>
      </c>
      <c r="R31" s="185">
        <f t="shared" si="38"/>
        <v>0</v>
      </c>
      <c r="S31" s="185">
        <f t="shared" si="39"/>
        <v>0</v>
      </c>
      <c r="T31" s="185">
        <f t="shared" si="40"/>
        <v>0</v>
      </c>
      <c r="U31" s="185">
        <f t="shared" si="41"/>
        <v>0</v>
      </c>
      <c r="V31" s="185">
        <f t="shared" si="42"/>
        <v>0</v>
      </c>
      <c r="W31" s="185">
        <f t="shared" si="43"/>
        <v>0</v>
      </c>
      <c r="X31" s="185">
        <f t="shared" si="44"/>
        <v>0</v>
      </c>
      <c r="Y31" s="185">
        <f t="shared" si="45"/>
        <v>0</v>
      </c>
      <c r="Z31" s="196">
        <f t="shared" ca="1" si="14"/>
        <v>8299</v>
      </c>
      <c r="AA31" s="185" t="str">
        <f t="shared" ca="1" si="15"/>
        <v>Offererad produktnr. 04Qlosr Göteborg AB</v>
      </c>
      <c r="AB31" s="185"/>
      <c r="AC31" s="185" t="b">
        <f ca="1">IFERROR(IF(D16="",TRUE,
IF(OR(D16=$CB$12,D16=$CB$13),IF(LEFT(AS31,FIND(" ",AS31)-1)=D16,TRUE,FALSE),
IF(OFFSET(Processor!$AB$1,MATCH($AS31,Processor!$AA$2:$AA$23,0),MATCH(LEFT(D16,FIND(" ",D16)-1),Processor!$AC$1:$AG$1,0))&gt;=
OFFSET(Processor!$AB$1,MATCH(D16,Processor!$AA$2:$AA$23,0),MATCH(LEFT(D16,FIND(" ",D16)-1),Processor!$AC$1:$AG$1,0)),TRUE,FALSE))),FALSE)</f>
        <v>1</v>
      </c>
      <c r="AD31" s="185" t="b">
        <f t="shared" si="16"/>
        <v>1</v>
      </c>
      <c r="AE31" s="185" t="b">
        <f t="shared" si="17"/>
        <v>1</v>
      </c>
      <c r="AF31" s="185" t="b">
        <f>IF($D$14="",TRUE,IF(COUNTIF(Processor!$I$2:$I$9,$D$14)&gt;0,AND(AV31&gt;INDEX(Processor!$J$2:$J$9,MATCH($D$14,Processor!$I$2:$I$9,0)),AV31&lt;INDEX(Processor!$K$2:$K$9,MATCH($D$14,Processor!$I$2:$I$9,0))),IF(AV31=$D$14,TRUE,FALSE)))</f>
        <v>1</v>
      </c>
      <c r="AG31" s="185" t="b">
        <f t="shared" si="18"/>
        <v>1</v>
      </c>
      <c r="AH31" s="185" t="b">
        <f t="shared" si="19"/>
        <v>1</v>
      </c>
      <c r="AI31" s="185" t="b">
        <f t="shared" si="20"/>
        <v>1</v>
      </c>
      <c r="AJ31" s="185" t="b">
        <f t="shared" si="46"/>
        <v>1</v>
      </c>
      <c r="AK31" s="185" t="b">
        <f t="shared" si="21"/>
        <v>1</v>
      </c>
      <c r="AL31" s="185" t="b">
        <f>IFERROR(IF($D25="",TRUE,IF(MID(BC31,LEN(BC31)-2,1)*1&gt;=MID($D25,LEN($D25)-2,1)*1,TRUE,FALSE)),FALSE)</f>
        <v>1</v>
      </c>
      <c r="AM31" s="185" t="b">
        <f>IF(D24="",TRUE,IF(BB31&gt;=D24,TRUE,FALSE))</f>
        <v>1</v>
      </c>
      <c r="AN31" s="185"/>
      <c r="AO31" s="185"/>
      <c r="AP31" s="185" t="s">
        <v>555</v>
      </c>
      <c r="AQ31" s="185">
        <v>1</v>
      </c>
      <c r="AR31" s="185" t="str">
        <f t="shared" ca="1" si="32"/>
        <v>1920x1080</v>
      </c>
      <c r="AS31" s="185" t="str">
        <f t="shared" ca="1" si="32"/>
        <v>Intel i7</v>
      </c>
      <c r="AT31" s="185">
        <f t="shared" ca="1" si="32"/>
        <v>16</v>
      </c>
      <c r="AU31" s="185">
        <f t="shared" ca="1" si="32"/>
        <v>512</v>
      </c>
      <c r="AV31" s="185">
        <f t="shared" ca="1" si="32"/>
        <v>14</v>
      </c>
      <c r="AW31" s="185">
        <f t="shared" ca="1" si="32"/>
        <v>4</v>
      </c>
      <c r="AX31" s="185">
        <f t="shared" ca="1" si="32"/>
        <v>1</v>
      </c>
      <c r="AY31" s="185" t="str">
        <f t="shared" ca="1" si="32"/>
        <v>Ja, HDMI-port finns</v>
      </c>
      <c r="AZ31" s="185" t="str">
        <f t="shared" ca="1" si="32"/>
        <v>802.11a/b/g/n/ac/ax</v>
      </c>
      <c r="BA31" s="185">
        <f t="shared" ca="1" si="32"/>
        <v>5</v>
      </c>
      <c r="BB31" s="185">
        <f t="shared" ca="1" si="33"/>
        <v>11</v>
      </c>
      <c r="BC31" s="185" t="str">
        <f t="shared" ca="1" si="33"/>
        <v>Version 8.0</v>
      </c>
      <c r="BD31" s="185" t="str">
        <f t="shared" ca="1" si="33"/>
        <v>Ja</v>
      </c>
      <c r="BE31" s="185" t="str">
        <f t="shared" ca="1" si="33"/>
        <v>Windows 10 Pro</v>
      </c>
      <c r="BF31" s="185" t="str">
        <f t="shared" ca="1" si="33"/>
        <v>ProBook 440 G8</v>
      </c>
      <c r="BG31" s="185">
        <f t="shared" ca="1" si="33"/>
        <v>8299</v>
      </c>
      <c r="BH31" s="192">
        <f t="shared" ca="1" si="33"/>
        <v>79</v>
      </c>
      <c r="BI31" s="192">
        <f t="shared" ca="1" si="33"/>
        <v>199</v>
      </c>
      <c r="BJ31" s="192">
        <f t="shared" ca="1" si="33"/>
        <v>106</v>
      </c>
      <c r="BK31" s="192">
        <f t="shared" ca="1" si="33"/>
        <v>949</v>
      </c>
      <c r="BL31" s="192">
        <f t="shared" ca="1" si="34"/>
        <v>151</v>
      </c>
      <c r="BM31" s="192">
        <f t="shared" ca="1" si="34"/>
        <v>70</v>
      </c>
      <c r="BN31" s="192">
        <f t="shared" ca="1" si="34"/>
        <v>25</v>
      </c>
      <c r="BO31" s="192">
        <f t="shared" ca="1" si="34"/>
        <v>25</v>
      </c>
      <c r="BP31" s="192" t="str">
        <f t="shared" ca="1" si="34"/>
        <v>HP</v>
      </c>
      <c r="BQ31" s="192" t="str">
        <f t="shared" ca="1" si="34"/>
        <v>HP</v>
      </c>
      <c r="BR31" s="192" t="str">
        <f t="shared" ca="1" si="34"/>
        <v>HP</v>
      </c>
      <c r="BS31" s="192" t="str">
        <f t="shared" ca="1" si="34"/>
        <v>HP</v>
      </c>
      <c r="BT31" s="192" t="str">
        <f t="shared" ca="1" si="34"/>
        <v>GBX2UW01AA</v>
      </c>
      <c r="BU31" s="192" t="str">
        <f t="shared" ca="1" si="34"/>
        <v>GBXJ6E65AA</v>
      </c>
      <c r="BV31" s="192" t="str">
        <f t="shared" ca="1" si="34"/>
        <v>GBXH6Y88AA</v>
      </c>
      <c r="BW31" s="192" t="str">
        <f t="shared" ca="1" si="34"/>
        <v>GBX5TW10AA</v>
      </c>
      <c r="BX31" s="192"/>
      <c r="BY31" s="192" t="str">
        <f t="shared" ca="1" si="25"/>
        <v>Qlosr Göteborg AB</v>
      </c>
      <c r="BZ31" s="192" t="str">
        <f t="shared" ca="1" si="25"/>
        <v>HP</v>
      </c>
      <c r="CA31" s="185"/>
      <c r="CB31" s="185"/>
      <c r="CC31" s="185"/>
      <c r="CD31" s="185"/>
      <c r="CE31" s="185"/>
      <c r="CF31" s="185"/>
      <c r="CG31" s="185"/>
      <c r="CH31" s="185"/>
      <c r="CI31" s="185"/>
      <c r="CJ31" s="185"/>
      <c r="CK31" s="185"/>
      <c r="CL31" s="185"/>
      <c r="CM31" s="185"/>
      <c r="CN31" s="185"/>
    </row>
    <row r="32" spans="2:92" ht="26.25" customHeight="1" outlineLevel="1" x14ac:dyDescent="0.35">
      <c r="B32" s="69" t="s">
        <v>54</v>
      </c>
      <c r="C32" s="98" t="s">
        <v>77</v>
      </c>
      <c r="D32" s="70"/>
      <c r="F32" s="157" t="str">
        <f t="shared" si="35"/>
        <v/>
      </c>
      <c r="G32" s="158">
        <f t="shared" ca="1" si="36"/>
        <v>199</v>
      </c>
      <c r="H32" s="158">
        <f t="shared" ca="1" si="36"/>
        <v>425</v>
      </c>
      <c r="I32" s="158">
        <f t="shared" ca="1" si="36"/>
        <v>199</v>
      </c>
      <c r="J32" s="62"/>
      <c r="BH32" s="63"/>
      <c r="BI32" s="63"/>
      <c r="BJ32" s="63"/>
      <c r="BK32" s="63"/>
      <c r="BL32" s="63"/>
      <c r="BM32" s="63"/>
      <c r="BN32" s="63"/>
      <c r="BO32" s="63"/>
      <c r="BP32" s="63"/>
      <c r="BQ32" s="63"/>
      <c r="BR32" s="63"/>
      <c r="BS32" s="63"/>
      <c r="BT32" s="63"/>
      <c r="BU32" s="63"/>
      <c r="BV32" s="63"/>
      <c r="BW32" s="63"/>
      <c r="BX32" s="63"/>
      <c r="BY32" s="63"/>
      <c r="BZ32" s="63"/>
      <c r="CA32" s="185"/>
      <c r="CB32" s="185"/>
      <c r="CC32" s="185"/>
      <c r="CD32" s="185"/>
      <c r="CE32" s="185"/>
      <c r="CF32" s="185"/>
      <c r="CG32" s="185"/>
      <c r="CH32" s="185"/>
      <c r="CI32" s="185"/>
      <c r="CJ32" s="185"/>
      <c r="CK32" s="185"/>
      <c r="CL32" s="185"/>
      <c r="CM32" s="185"/>
      <c r="CN32" s="185"/>
    </row>
    <row r="33" spans="2:92" ht="26.25" customHeight="1" outlineLevel="1" x14ac:dyDescent="0.35">
      <c r="B33" s="69" t="s">
        <v>341</v>
      </c>
      <c r="C33" s="61" t="s">
        <v>51</v>
      </c>
      <c r="D33" s="131"/>
      <c r="F33" s="88" t="str">
        <f t="shared" si="35"/>
        <v/>
      </c>
      <c r="G33" s="89" t="str">
        <f t="shared" ca="1" si="36"/>
        <v>HP</v>
      </c>
      <c r="H33" s="89" t="str">
        <f t="shared" ca="1" si="36"/>
        <v>Cirafon</v>
      </c>
      <c r="I33" s="89" t="str">
        <f t="shared" ca="1" si="36"/>
        <v>HP</v>
      </c>
      <c r="J33" s="62"/>
      <c r="BH33" s="63"/>
      <c r="BI33" s="63"/>
      <c r="BJ33" s="63"/>
      <c r="BK33" s="63"/>
      <c r="BL33" s="63"/>
      <c r="BM33" s="63"/>
      <c r="BN33" s="63"/>
      <c r="BO33" s="63"/>
      <c r="BP33" s="63"/>
      <c r="BQ33" s="63"/>
      <c r="BR33" s="63"/>
      <c r="BS33" s="63"/>
      <c r="BT33" s="63"/>
      <c r="BU33" s="63"/>
      <c r="BV33" s="63"/>
      <c r="BW33" s="63"/>
      <c r="BX33" s="63"/>
      <c r="BY33" s="63"/>
      <c r="BZ33" s="63"/>
      <c r="CA33" s="185"/>
      <c r="CB33" s="185"/>
      <c r="CC33" s="185"/>
      <c r="CD33" s="185"/>
      <c r="CE33" s="185"/>
      <c r="CF33" s="185"/>
      <c r="CG33" s="185"/>
      <c r="CH33" s="185"/>
      <c r="CI33" s="185"/>
      <c r="CJ33" s="185"/>
      <c r="CK33" s="185"/>
      <c r="CL33" s="185"/>
      <c r="CM33" s="185"/>
      <c r="CN33" s="185"/>
    </row>
    <row r="34" spans="2:92" ht="68.25" customHeight="1" outlineLevel="1" x14ac:dyDescent="0.35">
      <c r="B34" s="69" t="s">
        <v>346</v>
      </c>
      <c r="C34" s="99" t="s">
        <v>52</v>
      </c>
      <c r="D34" s="132"/>
      <c r="F34" s="90" t="str">
        <f t="shared" si="35"/>
        <v/>
      </c>
      <c r="G34" s="91" t="str">
        <f t="shared" ca="1" si="36"/>
        <v>GBXJ6E65AA</v>
      </c>
      <c r="H34" s="91" t="str">
        <f t="shared" ca="1" si="36"/>
        <v>DPF14-9</v>
      </c>
      <c r="I34" s="91" t="str">
        <f t="shared" ca="1" si="36"/>
        <v>GBXJ6E65AA</v>
      </c>
      <c r="J34" s="62"/>
      <c r="BH34" s="63"/>
      <c r="BI34" s="63"/>
      <c r="BJ34" s="63"/>
      <c r="BK34" s="63"/>
      <c r="BL34" s="63"/>
      <c r="BM34" s="63"/>
      <c r="BN34" s="63"/>
      <c r="BO34" s="63"/>
      <c r="BP34" s="63"/>
      <c r="BQ34" s="63"/>
      <c r="BR34" s="63"/>
      <c r="BS34" s="63"/>
      <c r="BT34" s="63"/>
      <c r="BU34" s="63"/>
      <c r="BV34" s="63"/>
      <c r="BW34" s="63"/>
      <c r="BX34" s="63"/>
      <c r="BY34" s="63"/>
      <c r="BZ34" s="63"/>
      <c r="CA34" s="185"/>
      <c r="CB34" s="185"/>
      <c r="CC34" s="185"/>
      <c r="CD34" s="185"/>
      <c r="CE34" s="185"/>
      <c r="CF34" s="185"/>
      <c r="CG34" s="185"/>
      <c r="CH34" s="185"/>
      <c r="CI34" s="185"/>
      <c r="CJ34" s="185"/>
      <c r="CK34" s="185"/>
      <c r="CL34" s="185"/>
      <c r="CM34" s="185"/>
      <c r="CN34" s="185"/>
    </row>
    <row r="35" spans="2:92" ht="31.5" customHeight="1" outlineLevel="1" x14ac:dyDescent="0.35">
      <c r="B35" s="69" t="s">
        <v>55</v>
      </c>
      <c r="C35" s="95" t="s">
        <v>371</v>
      </c>
      <c r="D35" s="70"/>
      <c r="F35" s="159" t="str">
        <f t="shared" si="35"/>
        <v/>
      </c>
      <c r="G35" s="160">
        <f t="shared" ca="1" si="36"/>
        <v>106</v>
      </c>
      <c r="H35" s="160">
        <f t="shared" ca="1" si="36"/>
        <v>149</v>
      </c>
      <c r="I35" s="160">
        <f t="shared" ca="1" si="36"/>
        <v>106</v>
      </c>
      <c r="J35" s="62"/>
      <c r="BH35" s="63"/>
      <c r="BI35" s="63"/>
      <c r="BJ35" s="63"/>
      <c r="BK35" s="63"/>
      <c r="BL35" s="63"/>
      <c r="BM35" s="63"/>
      <c r="BN35" s="63"/>
      <c r="BO35" s="63"/>
      <c r="BP35" s="63"/>
      <c r="BQ35" s="63"/>
      <c r="BR35" s="63"/>
      <c r="BS35" s="63"/>
      <c r="BT35" s="63"/>
      <c r="BU35" s="63"/>
      <c r="BV35" s="63"/>
      <c r="BW35" s="63"/>
      <c r="BX35" s="63"/>
      <c r="BY35" s="63"/>
      <c r="BZ35" s="63"/>
      <c r="CA35" s="185"/>
      <c r="CB35" s="185"/>
      <c r="CC35" s="185"/>
      <c r="CD35" s="185"/>
      <c r="CE35" s="185"/>
      <c r="CF35" s="185"/>
      <c r="CG35" s="185"/>
      <c r="CH35" s="185"/>
      <c r="CI35" s="185"/>
      <c r="CJ35" s="185"/>
      <c r="CK35" s="185"/>
      <c r="CL35" s="185"/>
      <c r="CM35" s="185"/>
      <c r="CN35" s="185"/>
    </row>
    <row r="36" spans="2:92" ht="26.25" customHeight="1" outlineLevel="1" x14ac:dyDescent="0.35">
      <c r="B36" s="69" t="s">
        <v>342</v>
      </c>
      <c r="C36" s="96" t="s">
        <v>51</v>
      </c>
      <c r="D36" s="131"/>
      <c r="F36" s="84" t="str">
        <f t="shared" si="35"/>
        <v/>
      </c>
      <c r="G36" s="85" t="str">
        <f t="shared" ca="1" si="36"/>
        <v>HP</v>
      </c>
      <c r="H36" s="85" t="str">
        <f t="shared" ca="1" si="36"/>
        <v>HP</v>
      </c>
      <c r="I36" s="85" t="str">
        <f t="shared" ca="1" si="36"/>
        <v>HP</v>
      </c>
      <c r="J36" s="62"/>
    </row>
    <row r="37" spans="2:92" ht="67.5" customHeight="1" outlineLevel="1" x14ac:dyDescent="0.35">
      <c r="B37" s="69" t="s">
        <v>347</v>
      </c>
      <c r="C37" s="97" t="s">
        <v>52</v>
      </c>
      <c r="D37" s="132"/>
      <c r="F37" s="86" t="str">
        <f t="shared" si="35"/>
        <v/>
      </c>
      <c r="G37" s="87" t="str">
        <f t="shared" ca="1" si="36"/>
        <v>GBXH6Y88AA</v>
      </c>
      <c r="H37" s="87" t="str">
        <f t="shared" ca="1" si="36"/>
        <v xml:space="preserve">1MZ01AA </v>
      </c>
      <c r="I37" s="87" t="str">
        <f t="shared" ca="1" si="36"/>
        <v>GBXH6Y88AA</v>
      </c>
      <c r="J37" s="62"/>
      <c r="AC37" s="190"/>
    </row>
    <row r="38" spans="2:92" ht="26.25" customHeight="1" outlineLevel="1" x14ac:dyDescent="0.35">
      <c r="B38" s="69" t="s">
        <v>59</v>
      </c>
      <c r="C38" s="98" t="s">
        <v>364</v>
      </c>
      <c r="D38" s="70"/>
      <c r="F38" s="157" t="str">
        <f t="shared" si="35"/>
        <v/>
      </c>
      <c r="G38" s="158">
        <f t="shared" ca="1" si="36"/>
        <v>949</v>
      </c>
      <c r="H38" s="158">
        <f t="shared" ca="1" si="36"/>
        <v>1185</v>
      </c>
      <c r="I38" s="158">
        <f t="shared" ca="1" si="36"/>
        <v>949</v>
      </c>
      <c r="J38" s="62"/>
      <c r="BH38" s="63"/>
      <c r="BI38" s="63"/>
      <c r="BJ38" s="63"/>
      <c r="BK38" s="63"/>
      <c r="BL38" s="63"/>
      <c r="BM38" s="63"/>
      <c r="BN38" s="63"/>
      <c r="BO38" s="63"/>
      <c r="BP38" s="63"/>
      <c r="BQ38" s="63"/>
      <c r="BR38" s="63"/>
      <c r="BS38" s="63"/>
      <c r="BT38" s="63"/>
      <c r="BU38" s="63"/>
      <c r="BV38" s="63"/>
      <c r="BW38" s="63"/>
      <c r="BX38" s="63"/>
      <c r="BY38" s="63"/>
      <c r="BZ38" s="63"/>
    </row>
    <row r="39" spans="2:92" ht="26.25" customHeight="1" outlineLevel="1" x14ac:dyDescent="0.35">
      <c r="B39" s="69" t="s">
        <v>343</v>
      </c>
      <c r="C39" s="61" t="s">
        <v>51</v>
      </c>
      <c r="D39" s="131" t="str">
        <f>IF("Ska Ingå"=D38,"Ska Ingå","")</f>
        <v/>
      </c>
      <c r="F39" s="88" t="str">
        <f t="shared" si="35"/>
        <v/>
      </c>
      <c r="G39" s="89" t="str">
        <f t="shared" ca="1" si="36"/>
        <v>HP</v>
      </c>
      <c r="H39" s="89" t="str">
        <f t="shared" ca="1" si="36"/>
        <v>HP</v>
      </c>
      <c r="I39" s="89" t="str">
        <f t="shared" ca="1" si="36"/>
        <v>HP</v>
      </c>
      <c r="J39" s="62"/>
    </row>
    <row r="40" spans="2:92" ht="67.5" customHeight="1" outlineLevel="1" x14ac:dyDescent="0.35">
      <c r="B40" s="69" t="s">
        <v>348</v>
      </c>
      <c r="C40" s="99" t="s">
        <v>52</v>
      </c>
      <c r="D40" s="132" t="str">
        <f>IF("Ska Ingå"=D38,"Ska Ingå","")</f>
        <v/>
      </c>
      <c r="F40" s="90" t="str">
        <f t="shared" si="35"/>
        <v/>
      </c>
      <c r="G40" s="91" t="str">
        <f t="shared" ca="1" si="36"/>
        <v>GBX5TW10AA</v>
      </c>
      <c r="H40" s="91" t="str">
        <f t="shared" ca="1" si="36"/>
        <v>72C71AA</v>
      </c>
      <c r="I40" s="91" t="str">
        <f t="shared" ca="1" si="36"/>
        <v>GBX5TW10AA</v>
      </c>
      <c r="J40" s="62"/>
      <c r="BH40" s="63"/>
      <c r="BI40" s="63"/>
      <c r="BJ40" s="63"/>
      <c r="BK40" s="63"/>
      <c r="BL40" s="63"/>
      <c r="BM40" s="63"/>
      <c r="BN40" s="63"/>
      <c r="BO40" s="63"/>
      <c r="BP40" s="63"/>
      <c r="BQ40" s="63"/>
      <c r="BR40" s="63"/>
      <c r="BS40" s="63"/>
      <c r="BT40" s="63"/>
      <c r="BU40" s="63"/>
      <c r="BV40" s="63"/>
      <c r="BW40" s="63"/>
      <c r="BX40" s="63"/>
      <c r="BY40" s="63"/>
      <c r="BZ40" s="63"/>
    </row>
    <row r="41" spans="2:92" ht="26.25" customHeight="1" outlineLevel="1" x14ac:dyDescent="0.35">
      <c r="B41" s="69"/>
      <c r="C41" s="212" t="s">
        <v>365</v>
      </c>
      <c r="D41" s="215"/>
      <c r="E41" s="213"/>
      <c r="F41" s="213"/>
      <c r="G41" s="213"/>
      <c r="H41" s="213"/>
      <c r="I41" s="214"/>
      <c r="J41" s="62"/>
      <c r="BH41" s="63"/>
      <c r="BI41" s="63"/>
      <c r="BJ41" s="63"/>
      <c r="BK41" s="63"/>
      <c r="BL41" s="63"/>
      <c r="BM41" s="63"/>
      <c r="BN41" s="63"/>
      <c r="BO41" s="63"/>
      <c r="BP41" s="63"/>
      <c r="BQ41" s="63"/>
      <c r="BR41" s="63"/>
      <c r="BS41" s="63"/>
      <c r="BT41" s="63"/>
      <c r="BU41" s="63"/>
      <c r="BV41" s="63"/>
      <c r="BW41" s="63"/>
      <c r="BX41" s="63"/>
      <c r="BY41" s="63"/>
      <c r="BZ41" s="63"/>
    </row>
    <row r="42" spans="2:92" ht="26.25" customHeight="1" outlineLevel="1" x14ac:dyDescent="0.35">
      <c r="B42" s="71" t="s">
        <v>228</v>
      </c>
      <c r="C42" s="115" t="s">
        <v>367</v>
      </c>
      <c r="D42" s="70"/>
      <c r="F42" s="151" t="str">
        <f>IF(F$10="Inget antal angivet","",IFERROR(INDEX($AR$11:$BZ$38,MATCH(F$7,$AP$11:$AP$38,0),MATCH($B42,$AR$11:$BZ$11,0)),""))</f>
        <v/>
      </c>
      <c r="G42" s="152">
        <f t="shared" ref="G42:I45" ca="1" si="47">IFERROR(INDEX($AR$11:$BZ$38,MATCH(G$7,$AP$11:$AP$38,0),MATCH($B42,$AR$11:$BZ$11,0)),"")</f>
        <v>151</v>
      </c>
      <c r="H42" s="152">
        <f t="shared" ca="1" si="47"/>
        <v>450</v>
      </c>
      <c r="I42" s="152">
        <f t="shared" ca="1" si="47"/>
        <v>151</v>
      </c>
      <c r="J42" s="62"/>
    </row>
    <row r="43" spans="2:92" ht="26.25" customHeight="1" outlineLevel="1" x14ac:dyDescent="0.35">
      <c r="B43" s="71" t="s">
        <v>229</v>
      </c>
      <c r="C43" s="61" t="s">
        <v>368</v>
      </c>
      <c r="D43" s="70"/>
      <c r="F43" s="153" t="str">
        <f>IF(F$10="Inget antal angivet","",IFERROR(INDEX($AR$11:$BZ$38,MATCH(F$7,$AP$11:$AP$38,0),MATCH($B43,$AR$11:$BZ$11,0)),""))</f>
        <v/>
      </c>
      <c r="G43" s="154">
        <f t="shared" ca="1" si="47"/>
        <v>70</v>
      </c>
      <c r="H43" s="154">
        <f t="shared" ca="1" si="47"/>
        <v>133</v>
      </c>
      <c r="I43" s="154">
        <f t="shared" ca="1" si="47"/>
        <v>70</v>
      </c>
      <c r="J43" s="62"/>
    </row>
    <row r="44" spans="2:92" ht="26.25" customHeight="1" outlineLevel="1" x14ac:dyDescent="0.35">
      <c r="B44" s="71" t="s">
        <v>230</v>
      </c>
      <c r="C44" s="96" t="s">
        <v>369</v>
      </c>
      <c r="D44" s="70"/>
      <c r="F44" s="155" t="str">
        <f>IF(F$10="Inget antal angivet","",IFERROR(INDEX($AR$11:$BZ$38,MATCH(F$7,$AP$11:$AP$38,0),MATCH($B44,$AR$11:$BZ$11,0)),""))</f>
        <v/>
      </c>
      <c r="G44" s="156">
        <f t="shared" ca="1" si="47"/>
        <v>25</v>
      </c>
      <c r="H44" s="156">
        <f t="shared" ca="1" si="47"/>
        <v>20</v>
      </c>
      <c r="I44" s="156">
        <f t="shared" ca="1" si="47"/>
        <v>25</v>
      </c>
      <c r="J44" s="62"/>
    </row>
    <row r="45" spans="2:92" ht="26.25" customHeight="1" outlineLevel="1" x14ac:dyDescent="0.35">
      <c r="B45" s="71" t="s">
        <v>231</v>
      </c>
      <c r="C45" s="61" t="s">
        <v>370</v>
      </c>
      <c r="D45" s="70"/>
      <c r="F45" s="153" t="str">
        <f>IF(F$10="Inget antal angivet","",IFERROR(INDEX($AR$11:$BZ$38,MATCH(F$7,$AP$11:$AP$38,0),MATCH($B45,$AR$11:$BZ$11,0)),""))</f>
        <v/>
      </c>
      <c r="G45" s="154">
        <f t="shared" ca="1" si="47"/>
        <v>25</v>
      </c>
      <c r="H45" s="154">
        <f t="shared" ca="1" si="47"/>
        <v>20</v>
      </c>
      <c r="I45" s="154">
        <f t="shared" ca="1" si="47"/>
        <v>25</v>
      </c>
      <c r="J45" s="62"/>
    </row>
    <row r="46" spans="2:92" ht="24" customHeight="1" outlineLevel="1" x14ac:dyDescent="0.35"/>
    <row r="47" spans="2:92" ht="24" customHeight="1" x14ac:dyDescent="0.35"/>
    <row r="48" spans="2:92" ht="24" customHeight="1" x14ac:dyDescent="0.35">
      <c r="D48" s="72" t="s">
        <v>233</v>
      </c>
      <c r="F48" s="216" t="s">
        <v>362</v>
      </c>
      <c r="G48" s="216"/>
      <c r="H48" s="216"/>
      <c r="I48" s="217"/>
      <c r="J48" s="73"/>
    </row>
    <row r="49" spans="2:92" ht="24" customHeight="1" x14ac:dyDescent="0.35">
      <c r="D49" s="74">
        <v>0</v>
      </c>
      <c r="F49" s="202" t="str">
        <f ca="1">IFERROR(INDEX($Z$12:$Z$38,MATCH(F7,$AA$12:$AA$38,0)) *D49,"")</f>
        <v/>
      </c>
      <c r="G49" s="202">
        <f ca="1">IFERROR(P12 *D49,"")</f>
        <v>0</v>
      </c>
      <c r="H49" s="202">
        <f ca="1">IFERROR(P13 *D49,"")</f>
        <v>0</v>
      </c>
      <c r="I49" s="202">
        <f ca="1">IFERROR(P14 * D49,"")</f>
        <v>0</v>
      </c>
      <c r="J49" s="54"/>
    </row>
    <row r="51" spans="2:92" ht="15" thickBot="1" x14ac:dyDescent="0.4">
      <c r="C51" s="174"/>
      <c r="D51" s="174"/>
      <c r="E51" s="174"/>
      <c r="F51" s="174"/>
      <c r="G51" s="174"/>
      <c r="H51" s="174"/>
      <c r="I51" s="174"/>
    </row>
    <row r="52" spans="2:92" ht="15" thickTop="1" x14ac:dyDescent="0.35"/>
    <row r="54" spans="2:92" ht="18" customHeight="1" collapsed="1" x14ac:dyDescent="0.35">
      <c r="C54" s="53"/>
      <c r="D54" s="53"/>
      <c r="F54" s="169" t="e">
        <f ca="1">N58</f>
        <v>#N/A</v>
      </c>
      <c r="G54" s="169" t="str">
        <f ca="1">INDEX(AA59:AA85,MATCH(P59,Z59:Z85,0))</f>
        <v>Offererad produktnr. 01Qlosr Göteborg AB</v>
      </c>
      <c r="H54" s="169" t="str">
        <f ca="1">INDEX(AA59:AA85,MATCH(P60,Z59:Z85,0))</f>
        <v>Offererad produktnr. 01Dustin Sverige AB</v>
      </c>
      <c r="I54" s="169" t="str">
        <f ca="1">INDEX(AA59:AA85,MATCH(P61,Z59:Z85,0))</f>
        <v>Offererad produktnr. 03Qlosr Göteborg AB</v>
      </c>
      <c r="J54" s="54"/>
      <c r="AR54" s="12" t="s">
        <v>124</v>
      </c>
      <c r="AS54" s="12" t="s">
        <v>124</v>
      </c>
      <c r="AT54" s="12" t="s">
        <v>124</v>
      </c>
      <c r="AU54" s="12" t="s">
        <v>124</v>
      </c>
      <c r="AV54" s="12" t="s">
        <v>124</v>
      </c>
      <c r="AW54" s="12" t="s">
        <v>124</v>
      </c>
      <c r="AX54" s="12" t="s">
        <v>124</v>
      </c>
      <c r="AY54" s="12" t="s">
        <v>124</v>
      </c>
      <c r="AZ54" s="12" t="s">
        <v>124</v>
      </c>
      <c r="BA54" s="12" t="s">
        <v>124</v>
      </c>
      <c r="BB54" s="12" t="s">
        <v>124</v>
      </c>
      <c r="BC54" s="12" t="s">
        <v>124</v>
      </c>
      <c r="BD54" s="12" t="s">
        <v>124</v>
      </c>
      <c r="BE54" s="12" t="s">
        <v>124</v>
      </c>
      <c r="BF54" s="12" t="s">
        <v>124</v>
      </c>
      <c r="BG54" s="12" t="s">
        <v>124</v>
      </c>
      <c r="BH54" s="12" t="s">
        <v>124</v>
      </c>
      <c r="BI54" s="12" t="s">
        <v>124</v>
      </c>
      <c r="BJ54" s="12" t="s">
        <v>124</v>
      </c>
      <c r="BK54" s="12" t="s">
        <v>124</v>
      </c>
      <c r="BL54" s="12" t="s">
        <v>124</v>
      </c>
      <c r="BM54" s="12" t="s">
        <v>124</v>
      </c>
      <c r="BN54" s="12" t="s">
        <v>124</v>
      </c>
      <c r="BO54" s="12" t="s">
        <v>124</v>
      </c>
      <c r="BP54" s="12" t="s">
        <v>124</v>
      </c>
      <c r="BQ54" s="12" t="s">
        <v>124</v>
      </c>
      <c r="BR54" s="12" t="s">
        <v>124</v>
      </c>
      <c r="BS54" s="12" t="s">
        <v>124</v>
      </c>
      <c r="BT54" s="12" t="s">
        <v>124</v>
      </c>
      <c r="BU54" s="12" t="s">
        <v>124</v>
      </c>
      <c r="BV54" s="12" t="s">
        <v>124</v>
      </c>
      <c r="BW54" s="12" t="s">
        <v>124</v>
      </c>
      <c r="BX54" s="12"/>
      <c r="BY54" s="12" t="s">
        <v>124</v>
      </c>
      <c r="BZ54" s="12" t="s">
        <v>124</v>
      </c>
      <c r="CA54" s="12"/>
      <c r="CB54" s="12"/>
      <c r="CC54" s="12"/>
      <c r="CD54" s="12"/>
      <c r="CE54" s="12"/>
      <c r="CF54" s="12"/>
      <c r="CG54" s="12"/>
      <c r="CH54" s="12"/>
      <c r="CI54" s="12"/>
      <c r="CJ54" s="12"/>
      <c r="CK54" s="12"/>
      <c r="CL54" s="12"/>
      <c r="CM54" s="12"/>
      <c r="CN54" s="12"/>
    </row>
    <row r="55" spans="2:92" ht="33" customHeight="1" thickBot="1" x14ac:dyDescent="0.4">
      <c r="C55" s="53"/>
      <c r="D55" s="53"/>
      <c r="F55" s="140" t="s">
        <v>446</v>
      </c>
      <c r="G55" s="205" t="s">
        <v>447</v>
      </c>
      <c r="H55" s="205"/>
      <c r="I55" s="205"/>
      <c r="J55" s="54"/>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row>
    <row r="56" spans="2:92" ht="22.5" customHeight="1" thickBot="1" x14ac:dyDescent="0.4">
      <c r="B56" t="str">
        <f ca="1" xml:space="preserve"> "Produkt "  &amp; B57</f>
        <v>Produkt 2</v>
      </c>
      <c r="C56" s="206" t="str">
        <f>IF(F57="Ingen produkt motsvarar","Felmeddelande",IF(COUNTIF($P$1:$P$6,TRUE)&gt;0,"","Felmeddelande"))</f>
        <v/>
      </c>
      <c r="D56" s="207"/>
      <c r="F56" s="208" t="s">
        <v>271</v>
      </c>
      <c r="G56" s="209"/>
      <c r="H56" s="209"/>
      <c r="I56" s="209"/>
      <c r="J56" s="55"/>
      <c r="O56">
        <v>1</v>
      </c>
      <c r="AR56" s="13" t="str">
        <f t="shared" ref="AR56:BF56" si="48">AR58</f>
        <v>Upplösning</v>
      </c>
      <c r="AS56" s="13" t="str">
        <f t="shared" si="48"/>
        <v>Processor</v>
      </c>
      <c r="AT56" s="13" t="str">
        <f t="shared" si="48"/>
        <v>Internminne (GB)</v>
      </c>
      <c r="AU56" s="13" t="str">
        <f t="shared" si="48"/>
        <v>Hårddisk</v>
      </c>
      <c r="AV56" s="13" t="str">
        <f t="shared" si="48"/>
        <v>Skärmstorlek (tum)</v>
      </c>
      <c r="AW56" s="13" t="str">
        <f t="shared" si="48"/>
        <v>Portar USB</v>
      </c>
      <c r="AX56" s="13" t="str">
        <f t="shared" si="48"/>
        <v>Portar USB C</v>
      </c>
      <c r="AY56" s="13" t="str">
        <f t="shared" si="48"/>
        <v>Portar HDMI/Display</v>
      </c>
      <c r="AZ56" s="13" t="str">
        <f t="shared" si="48"/>
        <v>Kommunikation WLAN</v>
      </c>
      <c r="BA56" s="13" t="str">
        <f t="shared" si="48"/>
        <v>Kommunikation Bluetooth</v>
      </c>
      <c r="BB56" s="13" t="str">
        <f t="shared" si="48"/>
        <v>Batteritid (tim)</v>
      </c>
      <c r="BC56" s="13" t="str">
        <f t="shared" si="48"/>
        <v>Energiprestanda</v>
      </c>
      <c r="BD56" s="13" t="str">
        <f t="shared" si="48"/>
        <v>Låsskydd</v>
      </c>
      <c r="BE56" s="13" t="str">
        <f t="shared" si="48"/>
        <v>Operativsystem</v>
      </c>
      <c r="BF56" s="13" t="str">
        <f t="shared" si="48"/>
        <v>Modellbenämning</v>
      </c>
      <c r="BG56" t="s">
        <v>224</v>
      </c>
      <c r="BH56" s="56" t="s">
        <v>53</v>
      </c>
      <c r="BI56" s="56" t="s">
        <v>54</v>
      </c>
      <c r="BJ56" s="56" t="s">
        <v>55</v>
      </c>
      <c r="BK56" s="56" t="s">
        <v>59</v>
      </c>
      <c r="BL56" s="57" t="s">
        <v>228</v>
      </c>
      <c r="BM56" s="57" t="s">
        <v>229</v>
      </c>
      <c r="BN56" s="57" t="s">
        <v>230</v>
      </c>
      <c r="BO56" s="57" t="s">
        <v>231</v>
      </c>
      <c r="BP56" s="57" t="s">
        <v>340</v>
      </c>
      <c r="BQ56" s="57" t="s">
        <v>341</v>
      </c>
      <c r="BR56" s="57" t="s">
        <v>342</v>
      </c>
      <c r="BS56" s="57" t="s">
        <v>343</v>
      </c>
      <c r="BT56" s="57" t="s">
        <v>345</v>
      </c>
      <c r="BU56" s="57" t="s">
        <v>346</v>
      </c>
      <c r="BV56" s="57" t="s">
        <v>347</v>
      </c>
      <c r="BW56" s="57" t="s">
        <v>348</v>
      </c>
      <c r="BX56" s="57"/>
      <c r="BY56" s="57" t="s">
        <v>6</v>
      </c>
      <c r="BZ56" s="4" t="s">
        <v>51</v>
      </c>
      <c r="CA56" s="13"/>
      <c r="CB56" s="13"/>
      <c r="CC56" s="13"/>
      <c r="CD56" s="13"/>
      <c r="CE56" s="13"/>
      <c r="CF56" s="13"/>
      <c r="CG56" s="13"/>
      <c r="CH56" s="13"/>
      <c r="CI56" s="13"/>
      <c r="CJ56" s="13"/>
      <c r="CK56" s="13"/>
      <c r="CL56" s="13"/>
      <c r="CM56" s="13"/>
      <c r="CN56" s="13"/>
    </row>
    <row r="57" spans="2:92" ht="22.5" customHeight="1" x14ac:dyDescent="0.35">
      <c r="B57">
        <f ca="1">COUNTIF($F$7:F60,"Produkt I varukorg*")</f>
        <v>2</v>
      </c>
      <c r="C57" t="s">
        <v>474</v>
      </c>
      <c r="F57" s="187" t="str" cm="1">
        <f t="array" ref="F57">IF(D96&lt;1,"Inget antal angivet",IFERROR(INDEX($Z59:$Z85,MATCH(F54,$AA59:$AA85,0),0),"Ingen produkt motsvarar"))</f>
        <v>Inget antal angivet</v>
      </c>
      <c r="G57" s="188">
        <f ca="1">IFERROR(P59,"Ingen produkt motsvarar")</f>
        <v>6420</v>
      </c>
      <c r="H57" s="188">
        <f ca="1">IFERROR(P60,"")</f>
        <v>7599</v>
      </c>
      <c r="I57" s="188">
        <f ca="1">IFERROR(P61,"")</f>
        <v>7640</v>
      </c>
      <c r="J57" s="54"/>
      <c r="AA57" t="str">
        <f>IF(COUNTIF(AB57:AK57,FALSE)&gt;0,AP57,"")</f>
        <v/>
      </c>
      <c r="AB57" t="b">
        <f>IF($D$62="",TRUE,IF(AR57=$D$62,TRUE,FALSE))</f>
        <v>1</v>
      </c>
      <c r="AC57" t="b">
        <f>IF(D59="",TRUE,IF(AS57=$D$63,TRUE,FALSE))</f>
        <v>1</v>
      </c>
      <c r="AD57" t="b">
        <f>IF(D62="",TRUE,IF(AT57=D62,TRUE,FALSE))</f>
        <v>1</v>
      </c>
      <c r="AE57" t="b">
        <f>IF(D63="",TRUE,IF(AU57=D63,TRUE,FALSE))</f>
        <v>1</v>
      </c>
      <c r="AF57" t="b">
        <f>IF(D64="",TRUE,IF(AV57=D64,TRUE,FALSE))</f>
        <v>1</v>
      </c>
      <c r="AG57" t="b">
        <f>IF(D65="",TRUE,IF(AW57=D65,TRUE,FALSE))</f>
        <v>1</v>
      </c>
      <c r="AH57" t="b">
        <f>IF(D61="",TRUE,IF(AX57=D61,TRUE,FALSE))</f>
        <v>1</v>
      </c>
      <c r="AI57" t="b">
        <f>IF(D66="",TRUE,IF(AY57=D66,TRUE,FALSE))</f>
        <v>1</v>
      </c>
      <c r="AJ57" t="b">
        <f>IF(D67="",TRUE,IF(AZ57=D67,TRUE,FALSE))</f>
        <v>1</v>
      </c>
      <c r="AK57" t="b">
        <f>IF(D68="",TRUE,IF(BA57=D68,TRUE,FALSE))</f>
        <v>1</v>
      </c>
      <c r="AP57" t="s">
        <v>126</v>
      </c>
      <c r="AR57" s="58" t="str">
        <f t="shared" ref="AR57:BW57" ca="1" si="49">IFERROR(INDEX(INDIRECT(AR$54&amp;"!$A$10:CC100000"),MATCH($AP57,INDIRECT(AR$54&amp;"!BH$10:BH100000"),0),MATCH(AR$56,INDIRECT(AR$54&amp;"!a10:CC10"),0)),"False")</f>
        <v>False</v>
      </c>
      <c r="AS57" s="58" t="str">
        <f t="shared" ca="1" si="49"/>
        <v>False</v>
      </c>
      <c r="AT57" s="58" t="str">
        <f t="shared" ca="1" si="49"/>
        <v>False</v>
      </c>
      <c r="AU57" s="58" t="str">
        <f t="shared" ca="1" si="49"/>
        <v>False</v>
      </c>
      <c r="AV57" s="58" t="str">
        <f t="shared" ca="1" si="49"/>
        <v>False</v>
      </c>
      <c r="AW57" s="58" t="str">
        <f t="shared" ca="1" si="49"/>
        <v>False</v>
      </c>
      <c r="AX57" s="58" t="str">
        <f t="shared" ca="1" si="49"/>
        <v>False</v>
      </c>
      <c r="AY57" s="58" t="str">
        <f t="shared" ca="1" si="49"/>
        <v>False</v>
      </c>
      <c r="AZ57" s="58" t="str">
        <f t="shared" ca="1" si="49"/>
        <v>False</v>
      </c>
      <c r="BA57" s="58" t="str">
        <f t="shared" ca="1" si="49"/>
        <v>False</v>
      </c>
      <c r="BB57" s="58" t="str">
        <f t="shared" ca="1" si="49"/>
        <v>False</v>
      </c>
      <c r="BC57" s="58" t="str">
        <f t="shared" ca="1" si="49"/>
        <v>False</v>
      </c>
      <c r="BD57" s="58" t="str">
        <f t="shared" ca="1" si="49"/>
        <v>False</v>
      </c>
      <c r="BE57" s="58" t="str">
        <f t="shared" ca="1" si="49"/>
        <v>False</v>
      </c>
      <c r="BF57" s="58" t="str">
        <f t="shared" ca="1" si="49"/>
        <v>False</v>
      </c>
      <c r="BG57" s="58" t="str">
        <f t="shared" ca="1" si="49"/>
        <v>False</v>
      </c>
      <c r="BH57" s="58" t="str">
        <f t="shared" ca="1" si="49"/>
        <v>False</v>
      </c>
      <c r="BI57" s="58" t="str">
        <f t="shared" ca="1" si="49"/>
        <v>False</v>
      </c>
      <c r="BJ57" s="58" t="str">
        <f t="shared" ca="1" si="49"/>
        <v>False</v>
      </c>
      <c r="BK57" s="58" t="str">
        <f t="shared" ca="1" si="49"/>
        <v>False</v>
      </c>
      <c r="BL57" s="58" t="str">
        <f t="shared" ca="1" si="49"/>
        <v>False</v>
      </c>
      <c r="BM57" s="58" t="str">
        <f t="shared" ca="1" si="49"/>
        <v>False</v>
      </c>
      <c r="BN57" s="58" t="str">
        <f t="shared" ca="1" si="49"/>
        <v>False</v>
      </c>
      <c r="BO57" s="58" t="str">
        <f t="shared" ca="1" si="49"/>
        <v>False</v>
      </c>
      <c r="BP57" s="58" t="str">
        <f t="shared" ca="1" si="49"/>
        <v>False</v>
      </c>
      <c r="BQ57" s="58" t="str">
        <f t="shared" ca="1" si="49"/>
        <v>False</v>
      </c>
      <c r="BR57" s="58" t="str">
        <f t="shared" ca="1" si="49"/>
        <v>False</v>
      </c>
      <c r="BS57" s="58" t="str">
        <f t="shared" ca="1" si="49"/>
        <v>False</v>
      </c>
      <c r="BT57" s="58" t="str">
        <f t="shared" ca="1" si="49"/>
        <v>False</v>
      </c>
      <c r="BU57" s="58" t="str">
        <f t="shared" ca="1" si="49"/>
        <v>False</v>
      </c>
      <c r="BV57" s="58" t="str">
        <f t="shared" ca="1" si="49"/>
        <v>False</v>
      </c>
      <c r="BW57" s="58" t="str">
        <f t="shared" ca="1" si="49"/>
        <v>False</v>
      </c>
      <c r="BX57" s="58"/>
      <c r="BY57" s="58" t="str">
        <f ca="1">IFERROR(INDEX(INDIRECT(BY$54&amp;"!$A$10:CC100000"),MATCH($AP57,INDIRECT(BY$54&amp;"!BH$10:BH100000"),0),MATCH(BY$56,INDIRECT(BY$54&amp;"!a10:CC10"),0)),"False")</f>
        <v>False</v>
      </c>
      <c r="BZ57" s="58" t="str">
        <f ca="1">IFERROR(INDEX(INDIRECT(BZ$54&amp;"!$A$10:CC100000"),MATCH($AP57,INDIRECT(BZ$54&amp;"!BH$10:BH100000"),0),MATCH(BZ$56,INDIRECT(BZ$54&amp;"!a10:CC10"),0)),"False")</f>
        <v>False</v>
      </c>
      <c r="CA57" s="58"/>
      <c r="CB57" s="58"/>
      <c r="CC57" s="58"/>
      <c r="CD57" s="58"/>
      <c r="CE57" s="58"/>
      <c r="CF57" s="58"/>
      <c r="CG57" s="58"/>
      <c r="CH57" s="58"/>
      <c r="CI57" s="58"/>
      <c r="CJ57" s="58"/>
      <c r="CK57" s="58"/>
      <c r="CL57" s="58"/>
      <c r="CM57" s="58"/>
      <c r="CN57" s="58"/>
    </row>
    <row r="58" spans="2:92" ht="22.5" customHeight="1" x14ac:dyDescent="0.35">
      <c r="C58" s="210" t="str">
        <f ca="1" xml:space="preserve"> "Bärbar dator (A) "  &amp; RIGHT("00" &amp; B57,2)</f>
        <v>Bärbar dator (A) 02</v>
      </c>
      <c r="D58" s="211"/>
      <c r="F58" s="59" t="str">
        <f>IF(F$57="Inget antal angivet","",IFERROR(INDEX($AR$58:$BZ$85,MATCH(F$54,$AP$58:$AP$85,0),MATCH("Modellbenämning",$AR$58:$BZ$58,0)),""))</f>
        <v/>
      </c>
      <c r="G58" s="59" t="str">
        <f ca="1">IFERROR(INDEX($AR$58:$BZ$85,MATCH(G$54,$AP$58:$AP$85,0),MATCH("Modellbenämning",$AR$58:$BZ$58,0)),"")</f>
        <v>ProBook 445 G8</v>
      </c>
      <c r="H58" s="59" t="str">
        <f ca="1">IFERROR(INDEX($AR$58:$BZ$85,MATCH(H$54,$AP$58:$AP$85,0),MATCH("Modellbenämning",$AR$58:$BZ$58,0)),"")</f>
        <v>ProBook 445 G10</v>
      </c>
      <c r="I58" s="59" t="str">
        <f ca="1">IFERROR(INDEX($AR$58:$BZ$85,MATCH(I$54,$AP$58:$AP$85,0),MATCH("Modellbenämning",$AR$58:$BZ$58,0)),"")</f>
        <v>ProBook 445 G8</v>
      </c>
      <c r="J58" s="60"/>
      <c r="K58" s="195"/>
      <c r="L58" s="195"/>
      <c r="M58" s="195"/>
      <c r="N58" s="195" t="e">
        <f ca="1">INDEX($N$59:$N$64,MATCH(Överblick!$L$2,$M$59:$M$64,0))</f>
        <v>#N/A</v>
      </c>
      <c r="O58" s="195"/>
      <c r="P58" s="195"/>
      <c r="Q58" s="195"/>
      <c r="R58" s="195">
        <v>1</v>
      </c>
      <c r="S58" s="195">
        <v>2</v>
      </c>
      <c r="T58" s="195">
        <v>3</v>
      </c>
      <c r="U58" s="195">
        <v>4</v>
      </c>
      <c r="V58" s="195">
        <v>5</v>
      </c>
      <c r="W58" s="195">
        <v>6</v>
      </c>
      <c r="X58" s="195">
        <v>7</v>
      </c>
      <c r="Y58" s="195">
        <v>8</v>
      </c>
      <c r="Z58" s="195"/>
      <c r="AA58" s="195" t="s">
        <v>122</v>
      </c>
      <c r="AB58" s="195" t="s">
        <v>2</v>
      </c>
      <c r="AC58" s="195" t="s">
        <v>4</v>
      </c>
      <c r="AD58" s="195" t="s">
        <v>119</v>
      </c>
      <c r="AE58" s="195" t="s">
        <v>16</v>
      </c>
      <c r="AF58" s="195" t="s">
        <v>7</v>
      </c>
      <c r="AG58" s="195" t="s">
        <v>67</v>
      </c>
      <c r="AH58" s="195" t="s">
        <v>74</v>
      </c>
      <c r="AI58" s="195" t="s">
        <v>97</v>
      </c>
      <c r="AJ58" s="195" t="s">
        <v>103</v>
      </c>
      <c r="AK58" s="195" t="s">
        <v>75</v>
      </c>
      <c r="AL58" s="195" t="s">
        <v>38</v>
      </c>
      <c r="AM58" s="195" t="s">
        <v>120</v>
      </c>
      <c r="AN58" s="195"/>
      <c r="AO58" s="195"/>
      <c r="AP58" s="195" t="s">
        <v>222</v>
      </c>
      <c r="AQ58" s="195">
        <v>1</v>
      </c>
      <c r="AR58" s="195" t="s">
        <v>2</v>
      </c>
      <c r="AS58" s="195" t="s">
        <v>4</v>
      </c>
      <c r="AT58" s="195" t="s">
        <v>119</v>
      </c>
      <c r="AU58" s="195" t="s">
        <v>16</v>
      </c>
      <c r="AV58" s="195" t="s">
        <v>7</v>
      </c>
      <c r="AW58" s="195" t="s">
        <v>67</v>
      </c>
      <c r="AX58" s="195" t="s">
        <v>74</v>
      </c>
      <c r="AY58" s="195" t="s">
        <v>97</v>
      </c>
      <c r="AZ58" s="195" t="s">
        <v>103</v>
      </c>
      <c r="BA58" s="195" t="s">
        <v>75</v>
      </c>
      <c r="BB58" s="195" t="s">
        <v>120</v>
      </c>
      <c r="BC58" s="195" t="s">
        <v>38</v>
      </c>
      <c r="BD58" s="195" t="s">
        <v>37</v>
      </c>
      <c r="BE58" s="195" t="s">
        <v>3</v>
      </c>
      <c r="BF58" s="195" t="s">
        <v>52</v>
      </c>
      <c r="BG58" s="195" t="s">
        <v>25</v>
      </c>
      <c r="BH58" s="195" t="s">
        <v>53</v>
      </c>
      <c r="BI58" s="195" t="s">
        <v>54</v>
      </c>
      <c r="BJ58" s="195" t="s">
        <v>55</v>
      </c>
      <c r="BK58" s="195" t="s">
        <v>59</v>
      </c>
      <c r="BL58" s="195" t="s">
        <v>228</v>
      </c>
      <c r="BM58" s="195" t="s">
        <v>229</v>
      </c>
      <c r="BN58" s="195" t="s">
        <v>230</v>
      </c>
      <c r="BO58" s="195" t="s">
        <v>231</v>
      </c>
      <c r="BP58" s="195" t="s">
        <v>340</v>
      </c>
      <c r="BQ58" s="195" t="s">
        <v>341</v>
      </c>
      <c r="BR58" s="195" t="s">
        <v>342</v>
      </c>
      <c r="BS58" s="195" t="s">
        <v>343</v>
      </c>
      <c r="BT58" s="195" t="s">
        <v>345</v>
      </c>
      <c r="BU58" s="195" t="s">
        <v>346</v>
      </c>
      <c r="BV58" s="195" t="s">
        <v>347</v>
      </c>
      <c r="BW58" s="195" t="s">
        <v>348</v>
      </c>
      <c r="BX58" s="195"/>
      <c r="BY58" s="195" t="s">
        <v>6</v>
      </c>
      <c r="BZ58" s="195" t="s">
        <v>51</v>
      </c>
      <c r="CA58" s="184" t="s">
        <v>2</v>
      </c>
      <c r="CB58" s="184" t="s">
        <v>4</v>
      </c>
      <c r="CC58" s="184" t="s">
        <v>119</v>
      </c>
      <c r="CD58" s="184" t="s">
        <v>16</v>
      </c>
      <c r="CE58" s="184" t="s">
        <v>7</v>
      </c>
      <c r="CF58" s="184" t="s">
        <v>67</v>
      </c>
      <c r="CG58" s="184" t="s">
        <v>74</v>
      </c>
      <c r="CH58" s="184" t="s">
        <v>97</v>
      </c>
      <c r="CI58" s="184" t="s">
        <v>103</v>
      </c>
      <c r="CJ58" s="184" t="s">
        <v>75</v>
      </c>
      <c r="CK58" s="184" t="s">
        <v>120</v>
      </c>
      <c r="CL58" s="184" t="s">
        <v>38</v>
      </c>
      <c r="CM58" s="184" t="s">
        <v>37</v>
      </c>
      <c r="CN58" s="184" t="s">
        <v>3</v>
      </c>
    </row>
    <row r="59" spans="2:92" ht="22.5" customHeight="1" outlineLevel="1" x14ac:dyDescent="0.35">
      <c r="C59" s="210" t="s">
        <v>261</v>
      </c>
      <c r="D59" s="211"/>
      <c r="F59" s="82" t="str">
        <f>IF(F$57="Inget antal angivet","",IFERROR(INDEX($AR$58:$BZ$85,MATCH(F$54,$AP$58:$AP$85,0),MATCH("Varumärke",$AR$58:$BZ$58,0)),""))</f>
        <v/>
      </c>
      <c r="G59" s="83" t="str">
        <f ca="1">IFERROR(INDEX($AR$58:$BZ$85,MATCH(G$54,$AP$58:$AP$85,0),MATCH("Varumärke",$AR$58:$BZ$58,0)),"")</f>
        <v>HP</v>
      </c>
      <c r="H59" s="83" t="str">
        <f ca="1">IFERROR(INDEX($AR$58:$BZ$85,MATCH(H$54,$AP$58:$AP$85,0),MATCH("Varumärke",$AR$58:$BZ$58,0)),"")</f>
        <v>HP</v>
      </c>
      <c r="I59" s="119" t="str">
        <f ca="1">IFERROR(INDEX($AR$58:$BZ$85,MATCH(I$54,$AP$58:$AP$85,0),MATCH("Varumärke",$AR$58:$BZ$58,0)),"")</f>
        <v>HP</v>
      </c>
      <c r="J59" s="62"/>
      <c r="K59" s="196">
        <f t="shared" ref="K59:K64" ca="1" si="50">O59*$D$96</f>
        <v>0</v>
      </c>
      <c r="L59" s="185" t="b">
        <f t="shared" ref="L59:L64" si="51">IF($D$96=0,TRUE,IF(K59=0,FALSE,TRUE))</f>
        <v>1</v>
      </c>
      <c r="M59" s="185" t="s">
        <v>162</v>
      </c>
      <c r="N59" s="185" t="str">
        <f t="shared" ref="N59:N64" ca="1" si="52">INDEX($AA$59:$AA$85,MATCH(O59,$Z$59:$Z$85,0))</f>
        <v>Offererad produktnr. 01Advania Sverige AB</v>
      </c>
      <c r="O59" s="196" cm="1">
        <f t="array" aca="1" ref="O59" ca="1">MIN(IF(($BY$59:$BY$82=M59)*($AQ$59:$AQ$82=$O$56),$Z$59:$Z$82))</f>
        <v>8880</v>
      </c>
      <c r="P59" s="197">
        <f ca="1">SMALL($Z$59:$Z$85,1)</f>
        <v>6420</v>
      </c>
      <c r="Q59" s="185">
        <f t="shared" ref="Q59:Q78" si="53">SUM(R59:Y59)</f>
        <v>0</v>
      </c>
      <c r="R59" s="185">
        <f t="shared" ref="R59:R78" si="54">IF($D$76="",0,BH59)</f>
        <v>0</v>
      </c>
      <c r="S59" s="185">
        <f t="shared" ref="S59:S78" si="55">IF($D$79="",0,BI59)</f>
        <v>0</v>
      </c>
      <c r="T59" s="185">
        <f t="shared" ref="T59:T78" si="56">IF($D$82="",0,BJ59)</f>
        <v>0</v>
      </c>
      <c r="U59" s="185">
        <f t="shared" ref="U59:U78" si="57">IF($D$85="",0,BK59)</f>
        <v>0</v>
      </c>
      <c r="V59" s="185">
        <f t="shared" ref="V59:V78" si="58">IF($D$89="",0,BL59)</f>
        <v>0</v>
      </c>
      <c r="W59" s="185">
        <f t="shared" ref="W59:W78" si="59">IF($D$90="",0,BM59)</f>
        <v>0</v>
      </c>
      <c r="X59" s="185">
        <f t="shared" ref="X59:X78" si="60">IF($D$91="",0,BN59)</f>
        <v>0</v>
      </c>
      <c r="Y59" s="185">
        <f t="shared" ref="Y59:Y78" si="61">IF($D$92="",0,BO59)</f>
        <v>0</v>
      </c>
      <c r="Z59" s="196">
        <f t="shared" ref="Z59:Z78" ca="1" si="62">IF(AA59="","",SUM(BG59,R59:Y59))</f>
        <v>8880</v>
      </c>
      <c r="AA59" s="185" t="str">
        <f t="shared" ref="AA59:AA78" ca="1" si="63">IF(COUNTIF(AB59:AO59,FALSE)&gt;0,"",AP59)</f>
        <v>Offererad produktnr. 01Advania Sverige AB</v>
      </c>
      <c r="AB59" s="185"/>
      <c r="AC59" s="185" t="b">
        <f ca="1">IFERROR(IF(D63="",TRUE,
IF(OR(D63=$CB$12,D63=$CB$13),IF(LEFT(AS59,FIND(" ",AS59)-1)=D63,TRUE,FALSE),
IF(OFFSET(Processor!$AB$1,MATCH($AS59,Processor!$AA$2:$AA$23,0),MATCH(LEFT(D63,FIND(" ",D63)-1),Processor!$AC$1:$AG$1,0))&gt;=
OFFSET(Processor!$AB$1,MATCH(D63,Processor!$AA$2:$AA$23,0),MATCH(LEFT(D63,FIND(" ",D63)-1),Processor!$AC$1:$AG$1,0)),TRUE,FALSE))),FALSE)</f>
        <v>1</v>
      </c>
      <c r="AD59" s="185" t="b">
        <f t="shared" ref="AD59:AD78" si="64">IF($D$64="",TRUE,IF(AT59&gt;=$D$64,TRUE,FALSE))</f>
        <v>1</v>
      </c>
      <c r="AE59" s="185" t="b">
        <f t="shared" ref="AE59:AE78" si="65">IF($D$65="",TRUE,IF(AU59&gt;=$D$65,TRUE,FALSE))</f>
        <v>1</v>
      </c>
      <c r="AF59" s="185" t="b">
        <f>IF($D$61="",TRUE,IF(COUNTIF(Processor!$I$2:$I$9,$D$61)&gt;0,AND(AV59&gt;INDEX(Processor!$J$2:$J$9,MATCH($D$61,Processor!$I$2:$I$9,0)),AV59&lt;INDEX(Processor!$K$2:$K$9,MATCH($D$61,Processor!$I$2:$I$9,0))),IF(AV59=$D$61,TRUE,FALSE)))</f>
        <v>1</v>
      </c>
      <c r="AG59" s="185" t="b">
        <f t="shared" ref="AG59:AG78" si="66">IF($D$66="",TRUE,IF(AW59&gt;=$D$66,TRUE,FALSE))</f>
        <v>1</v>
      </c>
      <c r="AH59" s="185" t="b">
        <f t="shared" ref="AH59:AH78" si="67">IF($D$67="",TRUE,IF(AX59&gt;=$D$67,TRUE,FALSE))</f>
        <v>1</v>
      </c>
      <c r="AI59" s="185" t="b">
        <f t="shared" ref="AI59:AI78" si="68">IF($D$68="",TRUE,IF(AY59=$D$68,TRUE,FALSE))</f>
        <v>1</v>
      </c>
      <c r="AJ59" s="185" t="b">
        <f t="shared" ref="AJ59:AJ78" si="69">IF($D$69="",TRUE,IF($D$69="802.11a/b/g/n/ac",TRUE,IF(AZ59&gt;=$D$69,TRUE,FALSE)))</f>
        <v>1</v>
      </c>
      <c r="AK59" s="185" t="b">
        <f t="shared" ref="AK59:AK78" si="70">IF($D$70="",TRUE,IF(BA59&gt;=$D$70,TRUE,FALSE))</f>
        <v>1</v>
      </c>
      <c r="AL59" s="185" t="b">
        <f>IFERROR(IF($D72="",TRUE,IF(MID(BC59,LEN(BC59)-2,1)*1&gt;=MID($D72,LEN($D72)-2,1)*1,TRUE,FALSE)),FALSE)</f>
        <v>1</v>
      </c>
      <c r="AM59" s="185" t="b">
        <f>IF(D71="",TRUE,IF(BB59&gt;=D71,TRUE,FALSE))</f>
        <v>1</v>
      </c>
      <c r="AN59" s="185"/>
      <c r="AO59" s="185"/>
      <c r="AP59" s="185" t="s">
        <v>198</v>
      </c>
      <c r="AQ59" s="185">
        <v>1</v>
      </c>
      <c r="AR59" s="185" t="str">
        <f t="shared" ref="AR59:BA68" ca="1" si="71">IFERROR(INDEX(INDIRECT(AR$54&amp;"!$A$10:CC100000"),MATCH($AP59,INDIRECT(AR$54&amp;"!BH$10:BH100000"),0),MATCH(AR$56,INDIRECT(AR$54&amp;"!a10:CC10"),0)),"False")</f>
        <v>1920x1080</v>
      </c>
      <c r="AS59" s="185" t="str">
        <f t="shared" ca="1" si="71"/>
        <v>AMD Ryzen 5</v>
      </c>
      <c r="AT59" s="185">
        <f t="shared" ca="1" si="71"/>
        <v>16</v>
      </c>
      <c r="AU59" s="185">
        <f t="shared" ca="1" si="71"/>
        <v>256</v>
      </c>
      <c r="AV59" s="185">
        <f t="shared" ca="1" si="71"/>
        <v>14</v>
      </c>
      <c r="AW59" s="185">
        <f t="shared" ca="1" si="71"/>
        <v>4</v>
      </c>
      <c r="AX59" s="185">
        <f t="shared" ca="1" si="71"/>
        <v>1</v>
      </c>
      <c r="AY59" s="185" t="str">
        <f t="shared" ca="1" si="71"/>
        <v>Ja, HDMI-port finns</v>
      </c>
      <c r="AZ59" s="185" t="str">
        <f t="shared" ca="1" si="71"/>
        <v>802.11a/b/g/n/ac/ax</v>
      </c>
      <c r="BA59" s="185">
        <f t="shared" ca="1" si="71"/>
        <v>5.3</v>
      </c>
      <c r="BB59" s="185">
        <f t="shared" ref="BB59:BK68" ca="1" si="72">IFERROR(INDEX(INDIRECT(BB$54&amp;"!$A$10:CC100000"),MATCH($AP59,INDIRECT(BB$54&amp;"!BH$10:BH100000"),0),MATCH(BB$56,INDIRECT(BB$54&amp;"!a10:CC10"),0)),"False")</f>
        <v>11</v>
      </c>
      <c r="BC59" s="185" t="str">
        <f t="shared" ca="1" si="72"/>
        <v>Version 8.0</v>
      </c>
      <c r="BD59" s="185" t="str">
        <f t="shared" ca="1" si="72"/>
        <v>Ja</v>
      </c>
      <c r="BE59" s="185" t="str">
        <f t="shared" ca="1" si="72"/>
        <v>Windows 11 Pro</v>
      </c>
      <c r="BF59" s="185" t="str">
        <f t="shared" ca="1" si="72"/>
        <v>ProBook 445 G10</v>
      </c>
      <c r="BG59" s="185">
        <f t="shared" ca="1" si="72"/>
        <v>8880</v>
      </c>
      <c r="BH59" s="192">
        <f t="shared" ca="1" si="72"/>
        <v>60</v>
      </c>
      <c r="BI59" s="192">
        <f t="shared" ca="1" si="72"/>
        <v>218</v>
      </c>
      <c r="BJ59" s="192">
        <f t="shared" ca="1" si="72"/>
        <v>251</v>
      </c>
      <c r="BK59" s="192">
        <f t="shared" ca="1" si="72"/>
        <v>1462</v>
      </c>
      <c r="BL59" s="192">
        <f t="shared" ref="BL59:BW68" ca="1" si="73">IFERROR(INDEX(INDIRECT(BL$54&amp;"!$A$10:CC100000"),MATCH($AP59,INDIRECT(BL$54&amp;"!BH$10:BH100000"),0),MATCH(BL$56,INDIRECT(BL$54&amp;"!a10:CC10"),0)),"False")</f>
        <v>226</v>
      </c>
      <c r="BM59" s="192">
        <f t="shared" ca="1" si="73"/>
        <v>112</v>
      </c>
      <c r="BN59" s="192">
        <f t="shared" ca="1" si="73"/>
        <v>50</v>
      </c>
      <c r="BO59" s="192">
        <f t="shared" ca="1" si="73"/>
        <v>50</v>
      </c>
      <c r="BP59" s="192" t="str">
        <f t="shared" ca="1" si="73"/>
        <v>V7</v>
      </c>
      <c r="BQ59" s="192" t="str">
        <f t="shared" ca="1" si="73"/>
        <v>PORT Designs</v>
      </c>
      <c r="BR59" s="192" t="str">
        <f t="shared" ca="1" si="73"/>
        <v>CoreParts</v>
      </c>
      <c r="BS59" s="192" t="str">
        <f t="shared" ca="1" si="73"/>
        <v>HP</v>
      </c>
      <c r="BT59" s="192" t="str">
        <f t="shared" ca="1" si="73"/>
        <v xml:space="preserve"> CSE14-BLK-3E  -Fodral för bärbar dator - 14" - svart</v>
      </c>
      <c r="BU59" s="192" t="str">
        <f t="shared" ca="1" si="73"/>
        <v>900003 - Professional - filter för personlig integritet - 14"</v>
      </c>
      <c r="BV59" s="192" t="str">
        <f t="shared" ca="1" si="73"/>
        <v>MBXUSBC-AC0005 - USB-C - strömadapter 45 Watt</v>
      </c>
      <c r="BW59" s="192" t="str">
        <f t="shared" ca="1" si="73"/>
        <v>72C71AA#ABB - Essential - dockningsstation</v>
      </c>
      <c r="BX59" s="192"/>
      <c r="BY59" s="192" t="str">
        <f t="shared" ref="BY59:BZ78" ca="1" si="74">IFERROR(INDEX(INDIRECT(BY$54&amp;"!$A$10:CC100000"),MATCH($AP59,INDIRECT(BY$54&amp;"!BH$10:BH100000"),0),MATCH(BY$56,INDIRECT(BY$54&amp;"!a10:CC10"),0)),"False")</f>
        <v>Advania Sverige AB</v>
      </c>
      <c r="BZ59" s="192" t="str">
        <f t="shared" ca="1" si="74"/>
        <v>HP</v>
      </c>
      <c r="CA59" s="185" t="s">
        <v>71</v>
      </c>
      <c r="CB59" s="185" t="s">
        <v>687</v>
      </c>
      <c r="CC59" s="185">
        <v>8</v>
      </c>
      <c r="CD59" s="185">
        <v>256</v>
      </c>
      <c r="CE59" s="185">
        <v>14</v>
      </c>
      <c r="CF59" s="185">
        <v>3</v>
      </c>
      <c r="CG59" s="185">
        <v>1</v>
      </c>
      <c r="CH59" s="185" t="s">
        <v>84</v>
      </c>
      <c r="CI59" s="185" t="s">
        <v>86</v>
      </c>
      <c r="CJ59" s="186">
        <v>5.3</v>
      </c>
      <c r="CK59" s="185">
        <v>11</v>
      </c>
      <c r="CL59" s="185" t="s">
        <v>686</v>
      </c>
      <c r="CM59" s="185" t="s">
        <v>69</v>
      </c>
      <c r="CN59" s="185" t="s">
        <v>567</v>
      </c>
    </row>
    <row r="60" spans="2:92" ht="22.5" customHeight="1" outlineLevel="1" x14ac:dyDescent="0.35">
      <c r="C60" s="61" t="s">
        <v>3</v>
      </c>
      <c r="D60" s="64"/>
      <c r="F60" s="80" t="str">
        <f t="shared" ref="F60:F73" si="75">IF(F$57="Inget antal angivet","",IFERROR(INDEX($AR$58:$BZ$85,MATCH(F$54,$AP$58:$AP$85,0),MATCH($C60,$AR$58:$BZ$58,0)),""))</f>
        <v/>
      </c>
      <c r="G60" s="81" t="str">
        <f t="shared" ref="G60:I73" ca="1" si="76">IFERROR(INDEX($AR$58:$BZ$85,MATCH(G$54,$AP$58:$AP$85,0),MATCH($C60,$AR$58:$BZ$58,0)),"")</f>
        <v>Windows 10 Pro</v>
      </c>
      <c r="H60" s="81" t="str">
        <f t="shared" ca="1" si="76"/>
        <v>Windows 11 Pro</v>
      </c>
      <c r="I60" s="120" t="str">
        <f t="shared" ca="1" si="76"/>
        <v>Windows 10 Pro</v>
      </c>
      <c r="J60" s="62"/>
      <c r="K60" s="196">
        <f t="shared" ca="1" si="50"/>
        <v>0</v>
      </c>
      <c r="L60" s="185" t="b">
        <f t="shared" si="51"/>
        <v>1</v>
      </c>
      <c r="M60" s="185" t="s">
        <v>150</v>
      </c>
      <c r="N60" s="185" t="str">
        <f t="shared" ca="1" si="52"/>
        <v>Offererad produktnr. 01Atea Sverige AB</v>
      </c>
      <c r="O60" s="196" cm="1">
        <f t="array" aca="1" ref="O60" ca="1">MIN(IF(($BY$59:$BY$82=M60)*($AQ$59:$AQ$82=$O$56),$Z$59:$Z$82))</f>
        <v>11724</v>
      </c>
      <c r="P60" s="197">
        <f ca="1">SMALL($Z$59:$Z$85,2)</f>
        <v>7599</v>
      </c>
      <c r="Q60" s="185">
        <f t="shared" si="53"/>
        <v>0</v>
      </c>
      <c r="R60" s="185">
        <f t="shared" si="54"/>
        <v>0</v>
      </c>
      <c r="S60" s="185">
        <f t="shared" si="55"/>
        <v>0</v>
      </c>
      <c r="T60" s="185">
        <f t="shared" si="56"/>
        <v>0</v>
      </c>
      <c r="U60" s="185">
        <f t="shared" si="57"/>
        <v>0</v>
      </c>
      <c r="V60" s="185">
        <f t="shared" si="58"/>
        <v>0</v>
      </c>
      <c r="W60" s="185">
        <f t="shared" si="59"/>
        <v>0</v>
      </c>
      <c r="X60" s="185">
        <f t="shared" si="60"/>
        <v>0</v>
      </c>
      <c r="Y60" s="185">
        <f t="shared" si="61"/>
        <v>0</v>
      </c>
      <c r="Z60" s="196">
        <f t="shared" ca="1" si="62"/>
        <v>9324</v>
      </c>
      <c r="AA60" s="185" t="str">
        <f t="shared" ca="1" si="63"/>
        <v>Offererad produktnr. 02Advania Sverige AB</v>
      </c>
      <c r="AB60" s="185"/>
      <c r="AC60" s="185" t="b">
        <f ca="1">IFERROR(IF(D63="",TRUE,
IF(OR(D63=$CB$12,D63=$CB$13),IF(LEFT(AS60,FIND(" ",AS60)-1)=D63,TRUE,FALSE),
IF(OFFSET(Processor!$AB$1,MATCH($AS60,Processor!$AA$2:$AA$23,0),MATCH(LEFT(D63,FIND(" ",D63)-1),Processor!$AC$1:$AG$1,0))&gt;=
OFFSET(Processor!$AB$1,MATCH(D63,Processor!$AA$2:$AA$23,0),MATCH(LEFT(D63,FIND(" ",D63)-1),Processor!$AC$1:$AG$1,0)),TRUE,FALSE))),FALSE)</f>
        <v>1</v>
      </c>
      <c r="AD60" s="185" t="b">
        <f t="shared" si="64"/>
        <v>1</v>
      </c>
      <c r="AE60" s="185" t="b">
        <f t="shared" si="65"/>
        <v>1</v>
      </c>
      <c r="AF60" s="185" t="b">
        <f>IF($D$61="",TRUE,IF(COUNTIF(Processor!$I$2:$I$9,$D$61)&gt;0,AND(AV60&gt;INDEX(Processor!$J$2:$J$9,MATCH($D$61,Processor!$I$2:$I$9,0)),AV60&lt;INDEX(Processor!$K$2:$K$9,MATCH($D$61,Processor!$I$2:$I$9,0))),IF(AV60=$D$61,TRUE,FALSE)))</f>
        <v>1</v>
      </c>
      <c r="AG60" s="185" t="b">
        <f t="shared" si="66"/>
        <v>1</v>
      </c>
      <c r="AH60" s="185" t="b">
        <f t="shared" si="67"/>
        <v>1</v>
      </c>
      <c r="AI60" s="185" t="b">
        <f t="shared" si="68"/>
        <v>1</v>
      </c>
      <c r="AJ60" s="185" t="b">
        <f t="shared" si="69"/>
        <v>1</v>
      </c>
      <c r="AK60" s="185" t="b">
        <f t="shared" si="70"/>
        <v>1</v>
      </c>
      <c r="AL60" s="185" t="b">
        <f>IFERROR(IF($D72="",TRUE,IF(MID(BC60,LEN(BC60)-2,1)*1&gt;=MID($D72,LEN($D72)-2,1)*1,TRUE,FALSE)),FALSE)</f>
        <v>1</v>
      </c>
      <c r="AM60" s="185" t="b">
        <f>IF(D71="",TRUE,IF(BB60&gt;=D71,TRUE,FALSE))</f>
        <v>1</v>
      </c>
      <c r="AN60" s="185"/>
      <c r="AO60" s="185"/>
      <c r="AP60" s="185" t="s">
        <v>199</v>
      </c>
      <c r="AQ60" s="185">
        <v>1</v>
      </c>
      <c r="AR60" s="185" t="str">
        <f t="shared" ca="1" si="71"/>
        <v>1920x1080</v>
      </c>
      <c r="AS60" s="185" t="str">
        <f t="shared" ca="1" si="71"/>
        <v>Intel i5 Gen 12</v>
      </c>
      <c r="AT60" s="185">
        <f t="shared" ca="1" si="71"/>
        <v>16</v>
      </c>
      <c r="AU60" s="185">
        <f t="shared" ca="1" si="71"/>
        <v>256</v>
      </c>
      <c r="AV60" s="185">
        <f t="shared" ca="1" si="71"/>
        <v>14</v>
      </c>
      <c r="AW60" s="185">
        <f t="shared" ca="1" si="71"/>
        <v>4</v>
      </c>
      <c r="AX60" s="185">
        <f t="shared" ca="1" si="71"/>
        <v>1</v>
      </c>
      <c r="AY60" s="185" t="str">
        <f t="shared" ca="1" si="71"/>
        <v>Ja, HDMI-port finns</v>
      </c>
      <c r="AZ60" s="185" t="str">
        <f t="shared" ca="1" si="71"/>
        <v>802.11a/b/g/n/ac</v>
      </c>
      <c r="BA60" s="185">
        <f t="shared" ca="1" si="71"/>
        <v>5.2</v>
      </c>
      <c r="BB60" s="185">
        <f t="shared" ca="1" si="72"/>
        <v>11</v>
      </c>
      <c r="BC60" s="185" t="str">
        <f t="shared" ca="1" si="72"/>
        <v>Version 8.0</v>
      </c>
      <c r="BD60" s="185" t="str">
        <f t="shared" ca="1" si="72"/>
        <v>Ja</v>
      </c>
      <c r="BE60" s="185" t="str">
        <f t="shared" ca="1" si="72"/>
        <v>Windows 11 Pro</v>
      </c>
      <c r="BF60" s="185" t="str">
        <f t="shared" ca="1" si="72"/>
        <v>ProBook 440 G10</v>
      </c>
      <c r="BG60" s="185">
        <f t="shared" ca="1" si="72"/>
        <v>9324</v>
      </c>
      <c r="BH60" s="192">
        <f t="shared" ca="1" si="72"/>
        <v>60</v>
      </c>
      <c r="BI60" s="192">
        <f t="shared" ca="1" si="72"/>
        <v>218</v>
      </c>
      <c r="BJ60" s="192">
        <f t="shared" ca="1" si="72"/>
        <v>251</v>
      </c>
      <c r="BK60" s="192">
        <f t="shared" ca="1" si="72"/>
        <v>1462</v>
      </c>
      <c r="BL60" s="192">
        <f t="shared" ca="1" si="73"/>
        <v>226</v>
      </c>
      <c r="BM60" s="192">
        <f t="shared" ca="1" si="73"/>
        <v>112</v>
      </c>
      <c r="BN60" s="192">
        <f t="shared" ca="1" si="73"/>
        <v>50</v>
      </c>
      <c r="BO60" s="192">
        <f t="shared" ca="1" si="73"/>
        <v>50</v>
      </c>
      <c r="BP60" s="192" t="str">
        <f t="shared" ca="1" si="73"/>
        <v>V7</v>
      </c>
      <c r="BQ60" s="192" t="str">
        <f t="shared" ca="1" si="73"/>
        <v>PORT Designs</v>
      </c>
      <c r="BR60" s="192" t="str">
        <f t="shared" ca="1" si="73"/>
        <v>CoreParts</v>
      </c>
      <c r="BS60" s="192" t="str">
        <f t="shared" ca="1" si="73"/>
        <v>HP</v>
      </c>
      <c r="BT60" s="192" t="str">
        <f t="shared" ca="1" si="73"/>
        <v xml:space="preserve"> CSE14-BLK-3E  -Fodral för bärbar dator - 14" - svart</v>
      </c>
      <c r="BU60" s="192" t="str">
        <f t="shared" ca="1" si="73"/>
        <v>900003 - Professional - filter för personlig integritet - 14"</v>
      </c>
      <c r="BV60" s="192" t="str">
        <f t="shared" ca="1" si="73"/>
        <v>MBXUSBC-AC0005 - USB-C - strömadapter 45 Watt</v>
      </c>
      <c r="BW60" s="192" t="str">
        <f t="shared" ca="1" si="73"/>
        <v>72C71AA#ABB - Essential - dockningsstation</v>
      </c>
      <c r="BX60" s="192"/>
      <c r="BY60" s="192" t="str">
        <f t="shared" ca="1" si="74"/>
        <v>Advania Sverige AB</v>
      </c>
      <c r="BZ60" s="192" t="str">
        <f t="shared" ca="1" si="74"/>
        <v>HP</v>
      </c>
      <c r="CA60" s="185" t="s">
        <v>163</v>
      </c>
      <c r="CB60" s="185" t="s">
        <v>688</v>
      </c>
      <c r="CC60" s="185">
        <v>16</v>
      </c>
      <c r="CD60" s="185">
        <v>512</v>
      </c>
      <c r="CE60" s="185">
        <v>0</v>
      </c>
      <c r="CF60" s="185">
        <v>4</v>
      </c>
      <c r="CG60" s="185">
        <v>2</v>
      </c>
      <c r="CH60" s="185">
        <v>0</v>
      </c>
      <c r="CI60" s="185" t="s">
        <v>79</v>
      </c>
      <c r="CJ60" s="186">
        <v>5.2</v>
      </c>
      <c r="CK60" s="185">
        <v>8</v>
      </c>
      <c r="CL60" s="185" t="s">
        <v>527</v>
      </c>
      <c r="CM60" s="185">
        <v>0</v>
      </c>
      <c r="CN60" s="185" t="s">
        <v>80</v>
      </c>
    </row>
    <row r="61" spans="2:92" ht="22.5" customHeight="1" outlineLevel="1" x14ac:dyDescent="0.35">
      <c r="C61" s="61" t="s">
        <v>7</v>
      </c>
      <c r="D61" s="64"/>
      <c r="F61" s="80" t="str">
        <f t="shared" si="75"/>
        <v/>
      </c>
      <c r="G61" s="81">
        <f t="shared" ca="1" si="76"/>
        <v>14</v>
      </c>
      <c r="H61" s="81">
        <f t="shared" ca="1" si="76"/>
        <v>14</v>
      </c>
      <c r="I61" s="120">
        <f t="shared" ca="1" si="76"/>
        <v>14</v>
      </c>
      <c r="J61" s="62"/>
      <c r="K61" s="196">
        <f t="shared" ca="1" si="50"/>
        <v>0</v>
      </c>
      <c r="L61" s="185" t="b">
        <f t="shared" si="51"/>
        <v>1</v>
      </c>
      <c r="M61" s="185" t="s">
        <v>128</v>
      </c>
      <c r="N61" s="185" t="str">
        <f t="shared" ca="1" si="52"/>
        <v>Offererad produktnr. 01Dustin Sverige AB</v>
      </c>
      <c r="O61" s="196" cm="1">
        <f t="array" aca="1" ref="O61" ca="1">MIN(IF(($BY$59:$BY$82=M61)*($AQ$59:$AQ$82=$O$56),$Z$59:$Z$82))</f>
        <v>7599</v>
      </c>
      <c r="P61" s="197">
        <f ca="1">SMALL($Z$59:$Z$85,3)</f>
        <v>7640</v>
      </c>
      <c r="Q61" s="185">
        <f t="shared" si="53"/>
        <v>0</v>
      </c>
      <c r="R61" s="185">
        <f t="shared" si="54"/>
        <v>0</v>
      </c>
      <c r="S61" s="185">
        <f t="shared" si="55"/>
        <v>0</v>
      </c>
      <c r="T61" s="185">
        <f t="shared" si="56"/>
        <v>0</v>
      </c>
      <c r="U61" s="185">
        <f t="shared" si="57"/>
        <v>0</v>
      </c>
      <c r="V61" s="185">
        <f t="shared" si="58"/>
        <v>0</v>
      </c>
      <c r="W61" s="185">
        <f t="shared" si="59"/>
        <v>0</v>
      </c>
      <c r="X61" s="185">
        <f t="shared" si="60"/>
        <v>0</v>
      </c>
      <c r="Y61" s="185">
        <f t="shared" si="61"/>
        <v>0</v>
      </c>
      <c r="Z61" s="196">
        <f t="shared" ca="1" si="62"/>
        <v>10608</v>
      </c>
      <c r="AA61" s="185" t="str">
        <f t="shared" ca="1" si="63"/>
        <v>Offererad produktnr. 03Advania Sverige AB</v>
      </c>
      <c r="AB61" s="185"/>
      <c r="AC61" s="185" t="b">
        <f ca="1">IFERROR(IF(D63="",TRUE,
IF(OR(D63=$CB$12,D63=$CB$13),IF(LEFT(AS61,FIND(" ",AS61)-1)=D63,TRUE,FALSE),
IF(OFFSET(Processor!$AB$1,MATCH($AS61,Processor!$AA$2:$AA$23,0),MATCH(LEFT(D63,FIND(" ",D63)-1),Processor!$AC$1:$AG$1,0))&gt;=
OFFSET(Processor!$AB$1,MATCH(D63,Processor!$AA$2:$AA$23,0),MATCH(LEFT(D63,FIND(" ",D63)-1),Processor!$AC$1:$AG$1,0)),TRUE,FALSE))),FALSE)</f>
        <v>1</v>
      </c>
      <c r="AD61" s="185" t="b">
        <f t="shared" si="64"/>
        <v>1</v>
      </c>
      <c r="AE61" s="185" t="b">
        <f t="shared" si="65"/>
        <v>1</v>
      </c>
      <c r="AF61" s="185" t="b">
        <f>IF($D$61="",TRUE,IF(COUNTIF(Processor!$I$2:$I$9,$D$61)&gt;0,AND(AV61&gt;INDEX(Processor!$J$2:$J$9,MATCH($D$61,Processor!$I$2:$I$9,0)),AV61&lt;INDEX(Processor!$K$2:$K$9,MATCH($D$61,Processor!$I$2:$I$9,0))),IF(AV61=$D$61,TRUE,FALSE)))</f>
        <v>1</v>
      </c>
      <c r="AG61" s="185" t="b">
        <f t="shared" si="66"/>
        <v>1</v>
      </c>
      <c r="AH61" s="185" t="b">
        <f t="shared" si="67"/>
        <v>1</v>
      </c>
      <c r="AI61" s="185" t="b">
        <f t="shared" si="68"/>
        <v>1</v>
      </c>
      <c r="AJ61" s="185" t="b">
        <f t="shared" si="69"/>
        <v>1</v>
      </c>
      <c r="AK61" s="185" t="b">
        <f t="shared" si="70"/>
        <v>1</v>
      </c>
      <c r="AL61" s="185" t="b">
        <f>IFERROR(IF($D72="",TRUE,IF(MID(BC61,LEN(BC61)-2,1)*1&gt;=MID($D72,LEN($D72)-2,1)*1,TRUE,FALSE)),FALSE)</f>
        <v>1</v>
      </c>
      <c r="AM61" s="185" t="b">
        <f>IF(D71="",TRUE,IF(BB61&gt;=D71,TRUE,FALSE))</f>
        <v>1</v>
      </c>
      <c r="AN61" s="185"/>
      <c r="AO61" s="185"/>
      <c r="AP61" s="185" t="s">
        <v>200</v>
      </c>
      <c r="AQ61" s="185">
        <v>1</v>
      </c>
      <c r="AR61" s="185" t="str">
        <f t="shared" ca="1" si="71"/>
        <v>1920x1080</v>
      </c>
      <c r="AS61" s="185" t="str">
        <f t="shared" ca="1" si="71"/>
        <v>AMD Ryzen 7</v>
      </c>
      <c r="AT61" s="185">
        <f t="shared" ca="1" si="71"/>
        <v>16</v>
      </c>
      <c r="AU61" s="185">
        <f t="shared" ca="1" si="71"/>
        <v>512</v>
      </c>
      <c r="AV61" s="185">
        <f t="shared" ca="1" si="71"/>
        <v>14</v>
      </c>
      <c r="AW61" s="185">
        <f t="shared" ca="1" si="71"/>
        <v>4</v>
      </c>
      <c r="AX61" s="185">
        <f t="shared" ca="1" si="71"/>
        <v>1</v>
      </c>
      <c r="AY61" s="185" t="str">
        <f t="shared" ca="1" si="71"/>
        <v>Ja, HDMI-port finns</v>
      </c>
      <c r="AZ61" s="185" t="str">
        <f t="shared" ca="1" si="71"/>
        <v>802.11a/b/g/n/ac/ax</v>
      </c>
      <c r="BA61" s="185">
        <f t="shared" ca="1" si="71"/>
        <v>5.2</v>
      </c>
      <c r="BB61" s="185">
        <f t="shared" ca="1" si="72"/>
        <v>11</v>
      </c>
      <c r="BC61" s="185" t="str">
        <f t="shared" ca="1" si="72"/>
        <v>Version 8.0</v>
      </c>
      <c r="BD61" s="185" t="str">
        <f t="shared" ca="1" si="72"/>
        <v>Ja</v>
      </c>
      <c r="BE61" s="185" t="str">
        <f t="shared" ca="1" si="72"/>
        <v>Windows 11 Pro</v>
      </c>
      <c r="BF61" s="185" t="str">
        <f t="shared" ca="1" si="72"/>
        <v>HP ProBook 445 G10</v>
      </c>
      <c r="BG61" s="185">
        <f t="shared" ca="1" si="72"/>
        <v>10608</v>
      </c>
      <c r="BH61" s="192">
        <f t="shared" ca="1" si="72"/>
        <v>60</v>
      </c>
      <c r="BI61" s="192">
        <f t="shared" ca="1" si="72"/>
        <v>218</v>
      </c>
      <c r="BJ61" s="192">
        <f t="shared" ca="1" si="72"/>
        <v>251</v>
      </c>
      <c r="BK61" s="192">
        <f t="shared" ca="1" si="72"/>
        <v>1462</v>
      </c>
      <c r="BL61" s="192">
        <f t="shared" ca="1" si="73"/>
        <v>226</v>
      </c>
      <c r="BM61" s="192">
        <f t="shared" ca="1" si="73"/>
        <v>112</v>
      </c>
      <c r="BN61" s="192">
        <f t="shared" ca="1" si="73"/>
        <v>50</v>
      </c>
      <c r="BO61" s="192">
        <f t="shared" ca="1" si="73"/>
        <v>50</v>
      </c>
      <c r="BP61" s="192" t="str">
        <f t="shared" ca="1" si="73"/>
        <v>V7</v>
      </c>
      <c r="BQ61" s="192" t="str">
        <f t="shared" ca="1" si="73"/>
        <v>PORT Designs</v>
      </c>
      <c r="BR61" s="192" t="str">
        <f t="shared" ca="1" si="73"/>
        <v>CoreParts</v>
      </c>
      <c r="BS61" s="192" t="str">
        <f t="shared" ca="1" si="73"/>
        <v>HP</v>
      </c>
      <c r="BT61" s="192" t="str">
        <f t="shared" ca="1" si="73"/>
        <v xml:space="preserve"> CSE14-BLK-3E  -Fodral för bärbar dator - 14" - svart</v>
      </c>
      <c r="BU61" s="192" t="str">
        <f t="shared" ca="1" si="73"/>
        <v>900003 - Professional - filter för personlig integritet - 14"</v>
      </c>
      <c r="BV61" s="192" t="str">
        <f t="shared" ca="1" si="73"/>
        <v>MBXUSBC-AC0005 - USB-C - strömadapter 45 Watt</v>
      </c>
      <c r="BW61" s="192" t="str">
        <f t="shared" ca="1" si="73"/>
        <v>72C71AA#ABB - Essential - dockningsstation</v>
      </c>
      <c r="BX61" s="192"/>
      <c r="BY61" s="192" t="str">
        <f t="shared" ca="1" si="74"/>
        <v>Advania Sverige AB</v>
      </c>
      <c r="BZ61" s="192" t="str">
        <f t="shared" ca="1" si="74"/>
        <v>HP</v>
      </c>
      <c r="CA61" s="185">
        <v>0</v>
      </c>
      <c r="CB61" s="185"/>
      <c r="CC61" s="185">
        <v>32</v>
      </c>
      <c r="CD61" s="185">
        <v>0</v>
      </c>
      <c r="CE61" s="185"/>
      <c r="CF61" s="185">
        <v>2</v>
      </c>
      <c r="CG61" s="185">
        <v>0</v>
      </c>
      <c r="CH61" s="185"/>
      <c r="CI61" s="185">
        <v>0</v>
      </c>
      <c r="CJ61" s="186">
        <v>5</v>
      </c>
      <c r="CK61" s="185">
        <v>0</v>
      </c>
      <c r="CL61" s="185">
        <v>0</v>
      </c>
      <c r="CM61" s="185"/>
      <c r="CN61" s="185">
        <v>0</v>
      </c>
    </row>
    <row r="62" spans="2:92" ht="22.5" customHeight="1" outlineLevel="1" x14ac:dyDescent="0.35">
      <c r="C62" s="61" t="s">
        <v>2</v>
      </c>
      <c r="D62" s="64"/>
      <c r="F62" s="80" t="str">
        <f t="shared" si="75"/>
        <v/>
      </c>
      <c r="G62" s="81" t="str">
        <f t="shared" ca="1" si="76"/>
        <v>1920x1080</v>
      </c>
      <c r="H62" s="81" t="str">
        <f t="shared" ca="1" si="76"/>
        <v>1920x1080</v>
      </c>
      <c r="I62" s="120" t="str">
        <f t="shared" ca="1" si="76"/>
        <v>1920x1080</v>
      </c>
      <c r="J62" s="62"/>
      <c r="K62" s="196">
        <f t="shared" ca="1" si="50"/>
        <v>0</v>
      </c>
      <c r="L62" s="185" t="b">
        <f t="shared" si="51"/>
        <v>1</v>
      </c>
      <c r="M62" s="185" t="s">
        <v>169</v>
      </c>
      <c r="N62" s="185" t="str">
        <f t="shared" ca="1" si="52"/>
        <v>Offererad produktnr. 01Foxway Education AB</v>
      </c>
      <c r="O62" s="196" cm="1">
        <f t="array" aca="1" ref="O62" ca="1">MIN(IF(($BY$59:$BY$82=M62)*($AQ$59:$AQ$82=$O$56),$Z$59:$Z$82))</f>
        <v>8848</v>
      </c>
      <c r="P62" s="197"/>
      <c r="Q62" s="185">
        <f t="shared" si="53"/>
        <v>0</v>
      </c>
      <c r="R62" s="185">
        <f t="shared" si="54"/>
        <v>0</v>
      </c>
      <c r="S62" s="185">
        <f t="shared" si="55"/>
        <v>0</v>
      </c>
      <c r="T62" s="185">
        <f t="shared" si="56"/>
        <v>0</v>
      </c>
      <c r="U62" s="185">
        <f t="shared" si="57"/>
        <v>0</v>
      </c>
      <c r="V62" s="185">
        <f t="shared" si="58"/>
        <v>0</v>
      </c>
      <c r="W62" s="185">
        <f t="shared" si="59"/>
        <v>0</v>
      </c>
      <c r="X62" s="185">
        <f t="shared" si="60"/>
        <v>0</v>
      </c>
      <c r="Y62" s="185">
        <f t="shared" si="61"/>
        <v>0</v>
      </c>
      <c r="Z62" s="196">
        <f t="shared" ca="1" si="62"/>
        <v>11474</v>
      </c>
      <c r="AA62" s="185" t="str">
        <f t="shared" ca="1" si="63"/>
        <v>Offererad produktnr. 04Advania Sverige AB</v>
      </c>
      <c r="AB62" s="185"/>
      <c r="AC62" s="185" t="b">
        <f ca="1">IFERROR(IF(D63="",TRUE,
IF(OR(D63=$CB$12,D63=$CB$13),IF(LEFT(AS62,FIND(" ",AS62)-1)=D63,TRUE,FALSE),
IF(OFFSET(Processor!$AB$1,MATCH($AS62,Processor!$AA$2:$AA$23,0),MATCH(LEFT(D63,FIND(" ",D63)-1),Processor!$AC$1:$AG$1,0))&gt;=
OFFSET(Processor!$AB$1,MATCH(D63,Processor!$AA$2:$AA$23,0),MATCH(LEFT(D63,FIND(" ",D63)-1),Processor!$AC$1:$AG$1,0)),TRUE,FALSE))),FALSE)</f>
        <v>1</v>
      </c>
      <c r="AD62" s="185" t="b">
        <f t="shared" si="64"/>
        <v>1</v>
      </c>
      <c r="AE62" s="185" t="b">
        <f t="shared" si="65"/>
        <v>1</v>
      </c>
      <c r="AF62" s="185" t="b">
        <f>IF($D$61="",TRUE,IF(COUNTIF(Processor!$I$2:$I$9,$D$61)&gt;0,AND(AV62&gt;INDEX(Processor!$J$2:$J$9,MATCH($D$61,Processor!$I$2:$I$9,0)),AV62&lt;INDEX(Processor!$K$2:$K$9,MATCH($D$61,Processor!$I$2:$I$9,0))),IF(AV62=$D$61,TRUE,FALSE)))</f>
        <v>1</v>
      </c>
      <c r="AG62" s="185" t="b">
        <f t="shared" si="66"/>
        <v>1</v>
      </c>
      <c r="AH62" s="185" t="b">
        <f t="shared" si="67"/>
        <v>1</v>
      </c>
      <c r="AI62" s="185" t="b">
        <f t="shared" si="68"/>
        <v>1</v>
      </c>
      <c r="AJ62" s="185" t="b">
        <f t="shared" si="69"/>
        <v>1</v>
      </c>
      <c r="AK62" s="185" t="b">
        <f t="shared" si="70"/>
        <v>1</v>
      </c>
      <c r="AL62" s="185" t="b">
        <f>IFERROR(IF($D72="",TRUE,IF(MID(BC62,LEN(BC62)-2,1)*1&gt;=MID($D72,LEN($D72)-2,1)*1,TRUE,FALSE)),FALSE)</f>
        <v>1</v>
      </c>
      <c r="AM62" s="185" t="b">
        <f>IF(D71="",TRUE,IF(BB62&gt;=D71,TRUE,FALSE))</f>
        <v>1</v>
      </c>
      <c r="AN62" s="185"/>
      <c r="AO62" s="185"/>
      <c r="AP62" s="185" t="s">
        <v>201</v>
      </c>
      <c r="AQ62" s="185">
        <v>1</v>
      </c>
      <c r="AR62" s="185" t="str">
        <f t="shared" ca="1" si="71"/>
        <v>1920x1080</v>
      </c>
      <c r="AS62" s="185" t="str">
        <f t="shared" ca="1" si="71"/>
        <v>Intel i7 Gen 12</v>
      </c>
      <c r="AT62" s="185">
        <f t="shared" ca="1" si="71"/>
        <v>16</v>
      </c>
      <c r="AU62" s="185">
        <f t="shared" ca="1" si="71"/>
        <v>512</v>
      </c>
      <c r="AV62" s="185">
        <f t="shared" ca="1" si="71"/>
        <v>14</v>
      </c>
      <c r="AW62" s="185">
        <f t="shared" ca="1" si="71"/>
        <v>4</v>
      </c>
      <c r="AX62" s="185">
        <f t="shared" ca="1" si="71"/>
        <v>2</v>
      </c>
      <c r="AY62" s="185" t="str">
        <f t="shared" ca="1" si="71"/>
        <v>Ja, HDMI-port finns</v>
      </c>
      <c r="AZ62" s="185" t="str">
        <f t="shared" ca="1" si="71"/>
        <v>802.11a/b/g/n/ac/ax</v>
      </c>
      <c r="BA62" s="185">
        <f t="shared" ca="1" si="71"/>
        <v>5.2</v>
      </c>
      <c r="BB62" s="185">
        <f t="shared" ca="1" si="72"/>
        <v>11</v>
      </c>
      <c r="BC62" s="185" t="str">
        <f t="shared" ca="1" si="72"/>
        <v>Version 8.0</v>
      </c>
      <c r="BD62" s="185" t="str">
        <f t="shared" ca="1" si="72"/>
        <v>Ja</v>
      </c>
      <c r="BE62" s="185" t="str">
        <f t="shared" ca="1" si="72"/>
        <v>Windows 11 Pro</v>
      </c>
      <c r="BF62" s="185" t="str">
        <f t="shared" ca="1" si="72"/>
        <v>ProBook 440 G11</v>
      </c>
      <c r="BG62" s="185">
        <f t="shared" ca="1" si="72"/>
        <v>11474</v>
      </c>
      <c r="BH62" s="192">
        <f t="shared" ca="1" si="72"/>
        <v>60</v>
      </c>
      <c r="BI62" s="192">
        <f t="shared" ca="1" si="72"/>
        <v>218</v>
      </c>
      <c r="BJ62" s="192">
        <f t="shared" ca="1" si="72"/>
        <v>251</v>
      </c>
      <c r="BK62" s="192">
        <f t="shared" ca="1" si="72"/>
        <v>1462</v>
      </c>
      <c r="BL62" s="192">
        <f t="shared" ca="1" si="73"/>
        <v>226</v>
      </c>
      <c r="BM62" s="192">
        <f t="shared" ca="1" si="73"/>
        <v>112</v>
      </c>
      <c r="BN62" s="192">
        <f t="shared" ca="1" si="73"/>
        <v>50</v>
      </c>
      <c r="BO62" s="192">
        <f t="shared" ca="1" si="73"/>
        <v>50</v>
      </c>
      <c r="BP62" s="192" t="str">
        <f t="shared" ca="1" si="73"/>
        <v>V7</v>
      </c>
      <c r="BQ62" s="192" t="str">
        <f t="shared" ca="1" si="73"/>
        <v>DICOTA</v>
      </c>
      <c r="BR62" s="192" t="str">
        <f t="shared" ca="1" si="73"/>
        <v>CoreParts</v>
      </c>
      <c r="BS62" s="192" t="str">
        <f t="shared" ca="1" si="73"/>
        <v>HP</v>
      </c>
      <c r="BT62" s="192" t="str">
        <f t="shared" ca="1" si="73"/>
        <v xml:space="preserve"> CSE14-BLK-3E  -Fodral för bärbar dator - 14" - svart</v>
      </c>
      <c r="BU62" s="192" t="str">
        <f t="shared" ca="1" si="73"/>
        <v>D70513 - Sekretessfilter till bärbar dator - 2-vägs - borttagbar - lim - 14 tum bred - svart</v>
      </c>
      <c r="BV62" s="192" t="str">
        <f t="shared" ca="1" si="73"/>
        <v>MBXUSBC-AC0005 - USB-C - strömadapter 45 Watt</v>
      </c>
      <c r="BW62" s="192" t="str">
        <f t="shared" ca="1" si="73"/>
        <v>72C71AA#ABB - Essential - dockningsstation</v>
      </c>
      <c r="BX62" s="192"/>
      <c r="BY62" s="192" t="str">
        <f t="shared" ca="1" si="74"/>
        <v>Advania Sverige AB</v>
      </c>
      <c r="BZ62" s="192" t="str">
        <f t="shared" ca="1" si="74"/>
        <v>HP</v>
      </c>
      <c r="CA62" s="185"/>
      <c r="CB62" s="185" t="s">
        <v>65</v>
      </c>
      <c r="CC62" s="185">
        <v>0</v>
      </c>
      <c r="CD62" s="185"/>
      <c r="CE62" s="185"/>
      <c r="CF62" s="185">
        <v>0</v>
      </c>
      <c r="CG62" s="185"/>
      <c r="CH62" s="185"/>
      <c r="CI62" s="185"/>
      <c r="CJ62" s="186">
        <v>0</v>
      </c>
      <c r="CK62" s="185"/>
      <c r="CL62" s="185"/>
      <c r="CM62" s="185"/>
      <c r="CN62" s="185"/>
    </row>
    <row r="63" spans="2:92" ht="22.5" customHeight="1" outlineLevel="1" x14ac:dyDescent="0.35">
      <c r="C63" s="61" t="s">
        <v>4</v>
      </c>
      <c r="D63" s="64"/>
      <c r="F63" s="80" t="str">
        <f t="shared" si="75"/>
        <v/>
      </c>
      <c r="G63" s="81" t="str">
        <f t="shared" ca="1" si="76"/>
        <v>AMD Ryzen 5</v>
      </c>
      <c r="H63" s="81" t="str">
        <f t="shared" ca="1" si="76"/>
        <v>AMD Ryzen 5</v>
      </c>
      <c r="I63" s="120" t="str">
        <f t="shared" ca="1" si="76"/>
        <v>AMD Ryzen 7</v>
      </c>
      <c r="J63" s="62"/>
      <c r="K63" s="196">
        <f t="shared" ca="1" si="50"/>
        <v>0</v>
      </c>
      <c r="L63" s="185" t="b">
        <f t="shared" si="51"/>
        <v>1</v>
      </c>
      <c r="M63" s="185" t="s">
        <v>167</v>
      </c>
      <c r="N63" s="185" t="e">
        <f t="shared" ca="1" si="52"/>
        <v>#N/A</v>
      </c>
      <c r="O63" s="196" cm="1">
        <f t="array" aca="1" ref="O63" ca="1">MIN(IF(($BY$59:$BY$82=M63)*($AQ$59:$AQ$82=$O$56),$Z$59:$Z$82))</f>
        <v>0</v>
      </c>
      <c r="P63" s="197"/>
      <c r="Q63" s="185">
        <f t="shared" si="53"/>
        <v>0</v>
      </c>
      <c r="R63" s="185">
        <f t="shared" si="54"/>
        <v>0</v>
      </c>
      <c r="S63" s="185">
        <f t="shared" si="55"/>
        <v>0</v>
      </c>
      <c r="T63" s="185">
        <f t="shared" si="56"/>
        <v>0</v>
      </c>
      <c r="U63" s="185">
        <f t="shared" si="57"/>
        <v>0</v>
      </c>
      <c r="V63" s="185">
        <f t="shared" si="58"/>
        <v>0</v>
      </c>
      <c r="W63" s="185">
        <f t="shared" si="59"/>
        <v>0</v>
      </c>
      <c r="X63" s="185">
        <f t="shared" si="60"/>
        <v>0</v>
      </c>
      <c r="Y63" s="185">
        <f t="shared" si="61"/>
        <v>0</v>
      </c>
      <c r="Z63" s="196">
        <f t="shared" ca="1" si="62"/>
        <v>11724</v>
      </c>
      <c r="AA63" s="185" t="str">
        <f t="shared" ca="1" si="63"/>
        <v>Offererad produktnr. 01Atea Sverige AB</v>
      </c>
      <c r="AB63" s="185"/>
      <c r="AC63" s="185" t="b">
        <f ca="1">IFERROR(IF(D63="",TRUE,
IF(OR(D63=$CB$12,D63=$CB$13),IF(LEFT(AS63,FIND(" ",AS63)-1)=D63,TRUE,FALSE),
IF(OFFSET(Processor!$AB$1,MATCH($AS63,Processor!$AA$2:$AA$23,0),MATCH(LEFT(D63,FIND(" ",D63)-1),Processor!$AC$1:$AG$1,0))&gt;=
OFFSET(Processor!$AB$1,MATCH(D63,Processor!$AA$2:$AA$23,0),MATCH(LEFT(D63,FIND(" ",D63)-1),Processor!$AC$1:$AG$1,0)),TRUE,FALSE))),FALSE)</f>
        <v>1</v>
      </c>
      <c r="AD63" s="185" t="b">
        <f t="shared" si="64"/>
        <v>1</v>
      </c>
      <c r="AE63" s="185" t="b">
        <f t="shared" si="65"/>
        <v>1</v>
      </c>
      <c r="AF63" s="185" t="b">
        <f>IF($D$61="",TRUE,IF(COUNTIF(Processor!$I$2:$I$9,$D$61)&gt;0,AND(AV63&gt;INDEX(Processor!$J$2:$J$9,MATCH($D$61,Processor!$I$2:$I$9,0)),AV63&lt;INDEX(Processor!$K$2:$K$9,MATCH($D$61,Processor!$I$2:$I$9,0))),IF(AV63=$D$61,TRUE,FALSE)))</f>
        <v>1</v>
      </c>
      <c r="AG63" s="185" t="b">
        <f t="shared" si="66"/>
        <v>1</v>
      </c>
      <c r="AH63" s="185" t="b">
        <f t="shared" si="67"/>
        <v>1</v>
      </c>
      <c r="AI63" s="185" t="b">
        <f t="shared" si="68"/>
        <v>1</v>
      </c>
      <c r="AJ63" s="185" t="b">
        <f t="shared" si="69"/>
        <v>1</v>
      </c>
      <c r="AK63" s="185" t="b">
        <f t="shared" si="70"/>
        <v>1</v>
      </c>
      <c r="AL63" s="185" t="b">
        <f>IFERROR(IF($D72="",TRUE,IF(MID(BC63,LEN(BC63)-2,1)*1&gt;=MID($D72,LEN($D72)-2,1)*1,TRUE,FALSE)),FALSE)</f>
        <v>1</v>
      </c>
      <c r="AM63" s="185" t="b">
        <f>IF(D71="",TRUE,IF(BB63&gt;=D71,TRUE,FALSE))</f>
        <v>1</v>
      </c>
      <c r="AN63" s="185"/>
      <c r="AO63" s="185"/>
      <c r="AP63" s="185" t="s">
        <v>186</v>
      </c>
      <c r="AQ63" s="185">
        <v>1</v>
      </c>
      <c r="AR63" s="185" t="str">
        <f t="shared" ca="1" si="71"/>
        <v>1920x1080</v>
      </c>
      <c r="AS63" s="185" t="str">
        <f t="shared" ca="1" si="71"/>
        <v>Intel i5 Gen 13</v>
      </c>
      <c r="AT63" s="185">
        <f t="shared" ca="1" si="71"/>
        <v>16</v>
      </c>
      <c r="AU63" s="185">
        <f t="shared" ca="1" si="71"/>
        <v>256</v>
      </c>
      <c r="AV63" s="185">
        <f t="shared" ca="1" si="71"/>
        <v>14</v>
      </c>
      <c r="AW63" s="185">
        <f t="shared" ca="1" si="71"/>
        <v>4</v>
      </c>
      <c r="AX63" s="185">
        <f t="shared" ca="1" si="71"/>
        <v>2</v>
      </c>
      <c r="AY63" s="185" t="str">
        <f t="shared" ca="1" si="71"/>
        <v>Ja, HDMI-port finns</v>
      </c>
      <c r="AZ63" s="185" t="str">
        <f t="shared" ca="1" si="71"/>
        <v>802.11a/b/g/n/ac/ax</v>
      </c>
      <c r="BA63" s="185">
        <f t="shared" ca="1" si="71"/>
        <v>5.2</v>
      </c>
      <c r="BB63" s="185">
        <f t="shared" ca="1" si="72"/>
        <v>8</v>
      </c>
      <c r="BC63" s="185" t="str">
        <f t="shared" ca="1" si="72"/>
        <v>Version 8.0</v>
      </c>
      <c r="BD63" s="185" t="str">
        <f t="shared" ca="1" si="72"/>
        <v>Ja</v>
      </c>
      <c r="BE63" s="185" t="str">
        <f t="shared" ca="1" si="72"/>
        <v>Windows 11 Pro</v>
      </c>
      <c r="BF63" s="185" t="str">
        <f t="shared" ca="1" si="72"/>
        <v>Elitebook 640 G10</v>
      </c>
      <c r="BG63" s="185">
        <f t="shared" ca="1" si="72"/>
        <v>11724</v>
      </c>
      <c r="BH63" s="192">
        <f t="shared" ca="1" si="72"/>
        <v>134</v>
      </c>
      <c r="BI63" s="192">
        <f t="shared" ca="1" si="72"/>
        <v>449</v>
      </c>
      <c r="BJ63" s="192">
        <f t="shared" ca="1" si="72"/>
        <v>241</v>
      </c>
      <c r="BK63" s="192">
        <f t="shared" ca="1" si="72"/>
        <v>1788</v>
      </c>
      <c r="BL63" s="192">
        <f t="shared" ca="1" si="73"/>
        <v>706</v>
      </c>
      <c r="BM63" s="192">
        <f t="shared" ca="1" si="73"/>
        <v>120</v>
      </c>
      <c r="BN63" s="192">
        <f t="shared" ca="1" si="73"/>
        <v>85</v>
      </c>
      <c r="BO63" s="192">
        <f t="shared" ca="1" si="73"/>
        <v>100</v>
      </c>
      <c r="BP63" s="192" t="str">
        <f t="shared" ca="1" si="73"/>
        <v>DELTACO</v>
      </c>
      <c r="BQ63" s="192" t="str">
        <f t="shared" ca="1" si="73"/>
        <v>Targus</v>
      </c>
      <c r="BR63" s="192" t="str">
        <f t="shared" ca="1" si="73"/>
        <v>HP</v>
      </c>
      <c r="BS63" s="192" t="str">
        <f t="shared" ca="1" si="73"/>
        <v>HP</v>
      </c>
      <c r="BT63" s="192" t="str">
        <f t="shared" ca="1" si="73"/>
        <v>Fodral för bärbar dator</v>
      </c>
      <c r="BU63" s="192" t="str">
        <f t="shared" ca="1" si="73"/>
        <v>Targus Privacy Screen 14" Widescreen</v>
      </c>
      <c r="BV63" s="192" t="str">
        <f t="shared" ca="1" si="73"/>
        <v>HP 65W Smart AC Adapter</v>
      </c>
      <c r="BW63" s="192" t="str">
        <f t="shared" ca="1" si="73"/>
        <v>HP USB-C Dock G5 Essential</v>
      </c>
      <c r="BX63" s="192"/>
      <c r="BY63" s="192" t="str">
        <f t="shared" ca="1" si="74"/>
        <v>Atea Sverige AB</v>
      </c>
      <c r="BZ63" s="192" t="str">
        <f t="shared" ca="1" si="74"/>
        <v>HP</v>
      </c>
      <c r="CA63" s="185"/>
      <c r="CB63" s="185" t="s">
        <v>66</v>
      </c>
      <c r="CC63" s="185"/>
      <c r="CD63" s="185"/>
      <c r="CE63" s="185"/>
      <c r="CF63" s="185"/>
      <c r="CG63" s="185"/>
      <c r="CH63" s="185"/>
      <c r="CI63" s="185"/>
      <c r="CJ63" s="185"/>
      <c r="CK63" s="185"/>
      <c r="CL63" s="185"/>
      <c r="CM63" s="185"/>
      <c r="CN63" s="185"/>
    </row>
    <row r="64" spans="2:92" ht="22.5" customHeight="1" outlineLevel="1" x14ac:dyDescent="0.35">
      <c r="C64" s="61" t="s">
        <v>119</v>
      </c>
      <c r="D64" s="64"/>
      <c r="F64" s="80" t="str">
        <f t="shared" si="75"/>
        <v/>
      </c>
      <c r="G64" s="81">
        <f t="shared" ca="1" si="76"/>
        <v>8</v>
      </c>
      <c r="H64" s="81">
        <f t="shared" ca="1" si="76"/>
        <v>8</v>
      </c>
      <c r="I64" s="120">
        <f t="shared" ca="1" si="76"/>
        <v>16</v>
      </c>
      <c r="J64" s="62"/>
      <c r="K64" s="196">
        <f t="shared" ca="1" si="50"/>
        <v>0</v>
      </c>
      <c r="L64" s="185" t="b">
        <f t="shared" si="51"/>
        <v>1</v>
      </c>
      <c r="M64" s="185" t="s">
        <v>546</v>
      </c>
      <c r="N64" s="185" t="str">
        <f t="shared" ca="1" si="52"/>
        <v>Offererad produktnr. 01Qlosr Göteborg AB</v>
      </c>
      <c r="O64" s="196" cm="1">
        <f t="array" aca="1" ref="O64" ca="1">MIN(IF(($BY$59:$BY$82=M64)*($AQ$59:$AQ$82=$O$56),$Z$59:$Z$82))</f>
        <v>6420</v>
      </c>
      <c r="P64" s="197"/>
      <c r="Q64" s="185">
        <f t="shared" si="53"/>
        <v>0</v>
      </c>
      <c r="R64" s="185">
        <f t="shared" si="54"/>
        <v>0</v>
      </c>
      <c r="S64" s="185">
        <f t="shared" si="55"/>
        <v>0</v>
      </c>
      <c r="T64" s="185">
        <f t="shared" si="56"/>
        <v>0</v>
      </c>
      <c r="U64" s="185">
        <f t="shared" si="57"/>
        <v>0</v>
      </c>
      <c r="V64" s="185">
        <f t="shared" si="58"/>
        <v>0</v>
      </c>
      <c r="W64" s="185">
        <f t="shared" si="59"/>
        <v>0</v>
      </c>
      <c r="X64" s="185">
        <f t="shared" si="60"/>
        <v>0</v>
      </c>
      <c r="Y64" s="185">
        <f t="shared" si="61"/>
        <v>0</v>
      </c>
      <c r="Z64" s="196">
        <f t="shared" ca="1" si="62"/>
        <v>14238</v>
      </c>
      <c r="AA64" s="185" t="str">
        <f t="shared" ca="1" si="63"/>
        <v>Offererad produktnr. 02Atea Sverige AB</v>
      </c>
      <c r="AB64" s="185"/>
      <c r="AC64" s="185" t="b">
        <f ca="1">IFERROR(IF(D63="",TRUE,
IF(OR(D63=$CB$12,D63=$CB$13),IF(LEFT(AS64,FIND(" ",AS64)-1)=D63,TRUE,FALSE),
IF(OFFSET(Processor!$AB$1,MATCH($AS64,Processor!$AA$2:$AA$23,0),MATCH(LEFT(D63,FIND(" ",D63)-1),Processor!$AC$1:$AG$1,0))&gt;=
OFFSET(Processor!$AB$1,MATCH(D63,Processor!$AA$2:$AA$23,0),MATCH(LEFT(D63,FIND(" ",D63)-1),Processor!$AC$1:$AG$1,0)),TRUE,FALSE))),FALSE)</f>
        <v>1</v>
      </c>
      <c r="AD64" s="185" t="b">
        <f t="shared" si="64"/>
        <v>1</v>
      </c>
      <c r="AE64" s="185" t="b">
        <f t="shared" si="65"/>
        <v>1</v>
      </c>
      <c r="AF64" s="185" t="b">
        <f>IF($D$61="",TRUE,IF(COUNTIF(Processor!$I$2:$I$9,$D$61)&gt;0,AND(AV64&gt;INDEX(Processor!$J$2:$J$9,MATCH($D$61,Processor!$I$2:$I$9,0)),AV64&lt;INDEX(Processor!$K$2:$K$9,MATCH($D$61,Processor!$I$2:$I$9,0))),IF(AV64=$D$61,TRUE,FALSE)))</f>
        <v>1</v>
      </c>
      <c r="AG64" s="185" t="b">
        <f t="shared" si="66"/>
        <v>1</v>
      </c>
      <c r="AH64" s="185" t="b">
        <f t="shared" si="67"/>
        <v>1</v>
      </c>
      <c r="AI64" s="185" t="b">
        <f t="shared" si="68"/>
        <v>1</v>
      </c>
      <c r="AJ64" s="185" t="b">
        <f t="shared" si="69"/>
        <v>1</v>
      </c>
      <c r="AK64" s="185" t="b">
        <f t="shared" si="70"/>
        <v>1</v>
      </c>
      <c r="AL64" s="185" t="b">
        <f>IFERROR(IF($D72="",TRUE,IF(MID(BC64,LEN(BC64)-2,1)*1&gt;=MID($D72,LEN($D72)-2,1)*1,TRUE,FALSE)),FALSE)</f>
        <v>1</v>
      </c>
      <c r="AM64" s="185" t="b">
        <f>IF(D71="",TRUE,IF(BB64&gt;=D71,TRUE,FALSE))</f>
        <v>1</v>
      </c>
      <c r="AN64" s="185"/>
      <c r="AO64" s="185"/>
      <c r="AP64" s="185" t="s">
        <v>187</v>
      </c>
      <c r="AQ64" s="185">
        <v>1</v>
      </c>
      <c r="AR64" s="185" t="str">
        <f t="shared" ca="1" si="71"/>
        <v>1920x1200</v>
      </c>
      <c r="AS64" s="185" t="str">
        <f t="shared" ca="1" si="71"/>
        <v>Intel i5 Gen 13</v>
      </c>
      <c r="AT64" s="185">
        <f t="shared" ca="1" si="71"/>
        <v>16</v>
      </c>
      <c r="AU64" s="185">
        <f t="shared" ca="1" si="71"/>
        <v>256</v>
      </c>
      <c r="AV64" s="185">
        <f t="shared" ca="1" si="71"/>
        <v>14</v>
      </c>
      <c r="AW64" s="185">
        <f t="shared" ca="1" si="71"/>
        <v>4</v>
      </c>
      <c r="AX64" s="185">
        <f t="shared" ca="1" si="71"/>
        <v>2</v>
      </c>
      <c r="AY64" s="185" t="str">
        <f t="shared" ca="1" si="71"/>
        <v>Ja, HDMI-port finns</v>
      </c>
      <c r="AZ64" s="185" t="str">
        <f t="shared" ca="1" si="71"/>
        <v>802.11a/b/g/n/ac/ax</v>
      </c>
      <c r="BA64" s="185">
        <f t="shared" ca="1" si="71"/>
        <v>5.3</v>
      </c>
      <c r="BB64" s="185">
        <f t="shared" ca="1" si="72"/>
        <v>8</v>
      </c>
      <c r="BC64" s="185" t="str">
        <f t="shared" ca="1" si="72"/>
        <v>Version 8.0</v>
      </c>
      <c r="BD64" s="185" t="str">
        <f t="shared" ca="1" si="72"/>
        <v>Ja</v>
      </c>
      <c r="BE64" s="185" t="str">
        <f t="shared" ca="1" si="72"/>
        <v>Windows 11 Pro</v>
      </c>
      <c r="BF64" s="185" t="str">
        <f t="shared" ca="1" si="72"/>
        <v>Elitebook 840 G10</v>
      </c>
      <c r="BG64" s="185">
        <f t="shared" ca="1" si="72"/>
        <v>14238</v>
      </c>
      <c r="BH64" s="192">
        <f t="shared" ca="1" si="72"/>
        <v>134</v>
      </c>
      <c r="BI64" s="192">
        <f t="shared" ca="1" si="72"/>
        <v>449</v>
      </c>
      <c r="BJ64" s="192">
        <f t="shared" ca="1" si="72"/>
        <v>241</v>
      </c>
      <c r="BK64" s="192">
        <f t="shared" ca="1" si="72"/>
        <v>1788</v>
      </c>
      <c r="BL64" s="192">
        <f t="shared" ca="1" si="73"/>
        <v>2039</v>
      </c>
      <c r="BM64" s="192">
        <f t="shared" ca="1" si="73"/>
        <v>120</v>
      </c>
      <c r="BN64" s="192">
        <f t="shared" ca="1" si="73"/>
        <v>85</v>
      </c>
      <c r="BO64" s="192">
        <f t="shared" ca="1" si="73"/>
        <v>100</v>
      </c>
      <c r="BP64" s="192" t="str">
        <f t="shared" ca="1" si="73"/>
        <v>DELTACO</v>
      </c>
      <c r="BQ64" s="192" t="str">
        <f t="shared" ca="1" si="73"/>
        <v>Targus</v>
      </c>
      <c r="BR64" s="192" t="str">
        <f t="shared" ca="1" si="73"/>
        <v>HP</v>
      </c>
      <c r="BS64" s="192" t="str">
        <f t="shared" ca="1" si="73"/>
        <v>HP</v>
      </c>
      <c r="BT64" s="192" t="str">
        <f t="shared" ca="1" si="73"/>
        <v>Fodral för bärbar dator</v>
      </c>
      <c r="BU64" s="192" t="str">
        <f t="shared" ca="1" si="73"/>
        <v>Targus Privacy Screen 14" Widescreen</v>
      </c>
      <c r="BV64" s="192" t="str">
        <f t="shared" ca="1" si="73"/>
        <v>HP 65W Smart AC Adapter</v>
      </c>
      <c r="BW64" s="192" t="str">
        <f t="shared" ca="1" si="73"/>
        <v>HP USB-C Dock G5 Essential</v>
      </c>
      <c r="BX64" s="192"/>
      <c r="BY64" s="192" t="str">
        <f t="shared" ca="1" si="74"/>
        <v>Atea Sverige AB</v>
      </c>
      <c r="BZ64" s="192" t="str">
        <f t="shared" ca="1" si="74"/>
        <v>HP</v>
      </c>
      <c r="CA64" s="185"/>
      <c r="CB64" s="185" t="s">
        <v>63</v>
      </c>
      <c r="CC64" s="185"/>
      <c r="CD64" s="185"/>
      <c r="CE64" s="185"/>
      <c r="CF64" s="185"/>
      <c r="CG64" s="185"/>
      <c r="CH64" s="185"/>
      <c r="CI64" s="185"/>
      <c r="CJ64" s="186"/>
      <c r="CK64" s="185"/>
      <c r="CL64" s="185"/>
      <c r="CM64" s="185"/>
      <c r="CN64" s="185"/>
    </row>
    <row r="65" spans="2:92" ht="22.5" customHeight="1" outlineLevel="1" x14ac:dyDescent="0.35">
      <c r="C65" s="61" t="s">
        <v>16</v>
      </c>
      <c r="D65" s="64"/>
      <c r="F65" s="80" t="str">
        <f t="shared" si="75"/>
        <v/>
      </c>
      <c r="G65" s="81">
        <f t="shared" ca="1" si="76"/>
        <v>256</v>
      </c>
      <c r="H65" s="81">
        <f t="shared" ca="1" si="76"/>
        <v>256</v>
      </c>
      <c r="I65" s="120">
        <f t="shared" ca="1" si="76"/>
        <v>512</v>
      </c>
      <c r="J65" s="62"/>
      <c r="Q65" s="185">
        <f t="shared" si="53"/>
        <v>0</v>
      </c>
      <c r="R65" s="185">
        <f t="shared" si="54"/>
        <v>0</v>
      </c>
      <c r="S65" s="185">
        <f t="shared" si="55"/>
        <v>0</v>
      </c>
      <c r="T65" s="185">
        <f t="shared" si="56"/>
        <v>0</v>
      </c>
      <c r="U65" s="185">
        <f t="shared" si="57"/>
        <v>0</v>
      </c>
      <c r="V65" s="185">
        <f t="shared" si="58"/>
        <v>0</v>
      </c>
      <c r="W65" s="185">
        <f t="shared" si="59"/>
        <v>0</v>
      </c>
      <c r="X65" s="185">
        <f t="shared" si="60"/>
        <v>0</v>
      </c>
      <c r="Y65" s="185">
        <f t="shared" si="61"/>
        <v>0</v>
      </c>
      <c r="Z65" s="196">
        <f t="shared" ca="1" si="62"/>
        <v>13908</v>
      </c>
      <c r="AA65" s="185" t="str">
        <f t="shared" ca="1" si="63"/>
        <v>Offererad produktnr. 03Atea Sverige AB</v>
      </c>
      <c r="AB65" s="185"/>
      <c r="AC65" s="185" t="b">
        <f ca="1">IFERROR(IF(D63="",TRUE,
IF(OR(D63=$CB$12,D63=$CB$13),IF(LEFT(AS65,FIND(" ",AS65)-1)=D63,TRUE,FALSE),
IF(OFFSET(Processor!$AB$1,MATCH($AS65,Processor!$AA$2:$AA$23,0),MATCH(LEFT(D63,FIND(" ",D63)-1),Processor!$AC$1:$AG$1,0))&gt;=
OFFSET(Processor!$AB$1,MATCH(D63,Processor!$AA$2:$AA$23,0),MATCH(LEFT(D63,FIND(" ",D63)-1),Processor!$AC$1:$AG$1,0)),TRUE,FALSE))),FALSE)</f>
        <v>1</v>
      </c>
      <c r="AD65" s="185" t="b">
        <f t="shared" si="64"/>
        <v>1</v>
      </c>
      <c r="AE65" s="185" t="b">
        <f t="shared" si="65"/>
        <v>1</v>
      </c>
      <c r="AF65" s="185" t="b">
        <f>IF($D$61="",TRUE,IF(COUNTIF(Processor!$I$2:$I$9,$D$61)&gt;0,AND(AV65&gt;INDEX(Processor!$J$2:$J$9,MATCH($D$61,Processor!$I$2:$I$9,0)),AV65&lt;INDEX(Processor!$K$2:$K$9,MATCH($D$61,Processor!$I$2:$I$9,0))),IF(AV65=$D$61,TRUE,FALSE)))</f>
        <v>1</v>
      </c>
      <c r="AG65" s="185" t="b">
        <f t="shared" si="66"/>
        <v>1</v>
      </c>
      <c r="AH65" s="185" t="b">
        <f t="shared" si="67"/>
        <v>1</v>
      </c>
      <c r="AI65" s="185" t="b">
        <f t="shared" si="68"/>
        <v>1</v>
      </c>
      <c r="AJ65" s="185" t="b">
        <f t="shared" si="69"/>
        <v>1</v>
      </c>
      <c r="AK65" s="185" t="b">
        <f t="shared" si="70"/>
        <v>1</v>
      </c>
      <c r="AL65" s="185" t="b">
        <f>IFERROR(IF($D72="",TRUE,IF(MID(BC65,LEN(BC65)-2,1)*1&gt;=MID($D72,LEN($D72)-2,1)*1,TRUE,FALSE)),FALSE)</f>
        <v>1</v>
      </c>
      <c r="AM65" s="185" t="b">
        <f>IF(D71="",TRUE,IF(BB65&gt;=D71,TRUE,FALSE))</f>
        <v>1</v>
      </c>
      <c r="AN65" s="185"/>
      <c r="AO65" s="185"/>
      <c r="AP65" s="185" t="s">
        <v>188</v>
      </c>
      <c r="AQ65" s="185">
        <v>1</v>
      </c>
      <c r="AR65" s="185" t="str">
        <f t="shared" ca="1" si="71"/>
        <v>1920x1080</v>
      </c>
      <c r="AS65" s="185" t="str">
        <f t="shared" ca="1" si="71"/>
        <v>Intel i7 Gen 13</v>
      </c>
      <c r="AT65" s="185">
        <f t="shared" ca="1" si="71"/>
        <v>16</v>
      </c>
      <c r="AU65" s="185">
        <f t="shared" ca="1" si="71"/>
        <v>512</v>
      </c>
      <c r="AV65" s="185">
        <f t="shared" ca="1" si="71"/>
        <v>14</v>
      </c>
      <c r="AW65" s="185">
        <f t="shared" ca="1" si="71"/>
        <v>4</v>
      </c>
      <c r="AX65" s="185">
        <f t="shared" ca="1" si="71"/>
        <v>2</v>
      </c>
      <c r="AY65" s="185" t="str">
        <f t="shared" ca="1" si="71"/>
        <v>Ja, HDMI-port finns</v>
      </c>
      <c r="AZ65" s="185" t="str">
        <f t="shared" ca="1" si="71"/>
        <v>802.11a/b/g/n/ac/ax</v>
      </c>
      <c r="BA65" s="185">
        <f t="shared" ca="1" si="71"/>
        <v>5.3</v>
      </c>
      <c r="BB65" s="185">
        <f t="shared" ca="1" si="72"/>
        <v>8</v>
      </c>
      <c r="BC65" s="185" t="str">
        <f t="shared" ca="1" si="72"/>
        <v>Version 8.0</v>
      </c>
      <c r="BD65" s="185" t="str">
        <f t="shared" ca="1" si="72"/>
        <v>Ja</v>
      </c>
      <c r="BE65" s="185" t="str">
        <f t="shared" ca="1" si="72"/>
        <v>Windows 11 Pro</v>
      </c>
      <c r="BF65" s="185" t="str">
        <f t="shared" ca="1" si="72"/>
        <v>Probook 440 G10</v>
      </c>
      <c r="BG65" s="185">
        <f t="shared" ca="1" si="72"/>
        <v>13908</v>
      </c>
      <c r="BH65" s="192">
        <f t="shared" ca="1" si="72"/>
        <v>134</v>
      </c>
      <c r="BI65" s="192">
        <f t="shared" ca="1" si="72"/>
        <v>449</v>
      </c>
      <c r="BJ65" s="192">
        <f t="shared" ca="1" si="72"/>
        <v>241</v>
      </c>
      <c r="BK65" s="192">
        <f t="shared" ca="1" si="72"/>
        <v>1788</v>
      </c>
      <c r="BL65" s="192">
        <f t="shared" ca="1" si="73"/>
        <v>706</v>
      </c>
      <c r="BM65" s="192">
        <f t="shared" ca="1" si="73"/>
        <v>120</v>
      </c>
      <c r="BN65" s="192">
        <f t="shared" ca="1" si="73"/>
        <v>85</v>
      </c>
      <c r="BO65" s="192">
        <f t="shared" ca="1" si="73"/>
        <v>100</v>
      </c>
      <c r="BP65" s="192" t="str">
        <f t="shared" ca="1" si="73"/>
        <v>DELTACO</v>
      </c>
      <c r="BQ65" s="192" t="str">
        <f t="shared" ca="1" si="73"/>
        <v>Targus</v>
      </c>
      <c r="BR65" s="192" t="str">
        <f t="shared" ca="1" si="73"/>
        <v>HP</v>
      </c>
      <c r="BS65" s="192" t="str">
        <f t="shared" ca="1" si="73"/>
        <v>HP</v>
      </c>
      <c r="BT65" s="192" t="str">
        <f t="shared" ca="1" si="73"/>
        <v>Fodral för bärbar dator</v>
      </c>
      <c r="BU65" s="192" t="str">
        <f t="shared" ca="1" si="73"/>
        <v>Targus Privacy Screen 14" Widescreen</v>
      </c>
      <c r="BV65" s="192" t="str">
        <f t="shared" ca="1" si="73"/>
        <v>HP 65W Smart AC Adapter</v>
      </c>
      <c r="BW65" s="192" t="str">
        <f t="shared" ca="1" si="73"/>
        <v>HP USB-C Dock G5 Essential</v>
      </c>
      <c r="BX65" s="192"/>
      <c r="BY65" s="192" t="str">
        <f t="shared" ca="1" si="74"/>
        <v>Atea Sverige AB</v>
      </c>
      <c r="BZ65" s="192" t="str">
        <f t="shared" ca="1" si="74"/>
        <v>HP</v>
      </c>
      <c r="CA65" s="185"/>
      <c r="CB65" s="185" t="s">
        <v>569</v>
      </c>
      <c r="CC65" s="185"/>
      <c r="CD65" s="185"/>
      <c r="CE65" s="185"/>
      <c r="CF65" s="185"/>
      <c r="CG65" s="185"/>
      <c r="CH65" s="185"/>
      <c r="CI65" s="185"/>
      <c r="CJ65" s="185"/>
      <c r="CK65" s="185"/>
      <c r="CL65" s="185"/>
      <c r="CM65" s="185"/>
      <c r="CN65" s="185"/>
    </row>
    <row r="66" spans="2:92" ht="22.5" customHeight="1" outlineLevel="1" x14ac:dyDescent="0.35">
      <c r="C66" s="61" t="s">
        <v>67</v>
      </c>
      <c r="D66" s="64"/>
      <c r="F66" s="80" t="str">
        <f t="shared" si="75"/>
        <v/>
      </c>
      <c r="G66" s="81">
        <f t="shared" ca="1" si="76"/>
        <v>4</v>
      </c>
      <c r="H66" s="81">
        <f t="shared" ca="1" si="76"/>
        <v>3</v>
      </c>
      <c r="I66" s="120">
        <f t="shared" ca="1" si="76"/>
        <v>4</v>
      </c>
      <c r="J66" s="62"/>
      <c r="Q66" s="185">
        <f t="shared" si="53"/>
        <v>0</v>
      </c>
      <c r="R66" s="185">
        <f t="shared" si="54"/>
        <v>0</v>
      </c>
      <c r="S66" s="185">
        <f t="shared" si="55"/>
        <v>0</v>
      </c>
      <c r="T66" s="185">
        <f t="shared" si="56"/>
        <v>0</v>
      </c>
      <c r="U66" s="185">
        <f t="shared" si="57"/>
        <v>0</v>
      </c>
      <c r="V66" s="185">
        <f t="shared" si="58"/>
        <v>0</v>
      </c>
      <c r="W66" s="185">
        <f t="shared" si="59"/>
        <v>0</v>
      </c>
      <c r="X66" s="185">
        <f t="shared" si="60"/>
        <v>0</v>
      </c>
      <c r="Y66" s="185">
        <f t="shared" si="61"/>
        <v>0</v>
      </c>
      <c r="Z66" s="196">
        <f t="shared" ca="1" si="62"/>
        <v>15588</v>
      </c>
      <c r="AA66" s="185" t="str">
        <f t="shared" ca="1" si="63"/>
        <v>Offererad produktnr. 04Atea Sverige AB</v>
      </c>
      <c r="AB66" s="185"/>
      <c r="AC66" s="185" t="b">
        <f ca="1">IFERROR(IF(D63="",TRUE,
IF(OR(D63=$CB$12,D63=$CB$13),IF(LEFT(AS66,FIND(" ",AS66)-1)=D63,TRUE,FALSE),
IF(OFFSET(Processor!$AB$1,MATCH($AS66,Processor!$AA$2:$AA$23,0),MATCH(LEFT(D63,FIND(" ",D63)-1),Processor!$AC$1:$AG$1,0))&gt;=
OFFSET(Processor!$AB$1,MATCH(D63,Processor!$AA$2:$AA$23,0),MATCH(LEFT(D63,FIND(" ",D63)-1),Processor!$AC$1:$AG$1,0)),TRUE,FALSE))),FALSE)</f>
        <v>1</v>
      </c>
      <c r="AD66" s="185" t="b">
        <f t="shared" si="64"/>
        <v>1</v>
      </c>
      <c r="AE66" s="185" t="b">
        <f t="shared" si="65"/>
        <v>1</v>
      </c>
      <c r="AF66" s="185" t="b">
        <f>IF($D$61="",TRUE,IF(COUNTIF(Processor!$I$2:$I$9,$D$61)&gt;0,AND(AV66&gt;INDEX(Processor!$J$2:$J$9,MATCH($D$61,Processor!$I$2:$I$9,0)),AV66&lt;INDEX(Processor!$K$2:$K$9,MATCH($D$61,Processor!$I$2:$I$9,0))),IF(AV66=$D$61,TRUE,FALSE)))</f>
        <v>1</v>
      </c>
      <c r="AG66" s="185" t="b">
        <f t="shared" si="66"/>
        <v>1</v>
      </c>
      <c r="AH66" s="185" t="b">
        <f t="shared" si="67"/>
        <v>1</v>
      </c>
      <c r="AI66" s="185" t="b">
        <f t="shared" si="68"/>
        <v>1</v>
      </c>
      <c r="AJ66" s="185" t="b">
        <f t="shared" si="69"/>
        <v>1</v>
      </c>
      <c r="AK66" s="185" t="b">
        <f t="shared" si="70"/>
        <v>1</v>
      </c>
      <c r="AL66" s="185" t="b">
        <f>IFERROR(IF($D72="",TRUE,IF(MID(BC66,LEN(BC66)-2,1)*1&gt;=MID($D72,LEN($D72)-2,1)*1,TRUE,FALSE)),FALSE)</f>
        <v>1</v>
      </c>
      <c r="AM66" s="185" t="b">
        <f>IF(D71="",TRUE,IF(BB66&gt;=D71,TRUE,FALSE))</f>
        <v>1</v>
      </c>
      <c r="AN66" s="185"/>
      <c r="AO66" s="185"/>
      <c r="AP66" s="185" t="s">
        <v>189</v>
      </c>
      <c r="AQ66" s="185">
        <v>1</v>
      </c>
      <c r="AR66" s="185" t="str">
        <f t="shared" ca="1" si="71"/>
        <v>1920x1080</v>
      </c>
      <c r="AS66" s="185" t="str">
        <f t="shared" ca="1" si="71"/>
        <v>Intel i7 Gen 13</v>
      </c>
      <c r="AT66" s="185">
        <f t="shared" ca="1" si="71"/>
        <v>16</v>
      </c>
      <c r="AU66" s="185">
        <f t="shared" ca="1" si="71"/>
        <v>512</v>
      </c>
      <c r="AV66" s="185">
        <f t="shared" ca="1" si="71"/>
        <v>14</v>
      </c>
      <c r="AW66" s="185">
        <f t="shared" ca="1" si="71"/>
        <v>4</v>
      </c>
      <c r="AX66" s="185">
        <f t="shared" ca="1" si="71"/>
        <v>2</v>
      </c>
      <c r="AY66" s="185" t="str">
        <f t="shared" ca="1" si="71"/>
        <v>Ja, HDMI-port finns</v>
      </c>
      <c r="AZ66" s="185" t="str">
        <f t="shared" ca="1" si="71"/>
        <v>802.11a/b/g/n/ac/ax</v>
      </c>
      <c r="BA66" s="185">
        <f t="shared" ca="1" si="71"/>
        <v>5.2</v>
      </c>
      <c r="BB66" s="185">
        <f t="shared" ca="1" si="72"/>
        <v>8</v>
      </c>
      <c r="BC66" s="185" t="str">
        <f t="shared" ca="1" si="72"/>
        <v>Version 8.0</v>
      </c>
      <c r="BD66" s="185" t="str">
        <f t="shared" ca="1" si="72"/>
        <v>Ja</v>
      </c>
      <c r="BE66" s="185" t="str">
        <f t="shared" ca="1" si="72"/>
        <v>Windows 11 Pro</v>
      </c>
      <c r="BF66" s="185" t="str">
        <f t="shared" ca="1" si="72"/>
        <v>Elitebook 640 G10</v>
      </c>
      <c r="BG66" s="185">
        <f t="shared" ca="1" si="72"/>
        <v>15588</v>
      </c>
      <c r="BH66" s="192">
        <f t="shared" ca="1" si="72"/>
        <v>134</v>
      </c>
      <c r="BI66" s="192">
        <f t="shared" ca="1" si="72"/>
        <v>449</v>
      </c>
      <c r="BJ66" s="192">
        <f t="shared" ca="1" si="72"/>
        <v>241</v>
      </c>
      <c r="BK66" s="192">
        <f t="shared" ca="1" si="72"/>
        <v>1788</v>
      </c>
      <c r="BL66" s="192">
        <f t="shared" ca="1" si="73"/>
        <v>2039</v>
      </c>
      <c r="BM66" s="192">
        <f t="shared" ca="1" si="73"/>
        <v>120</v>
      </c>
      <c r="BN66" s="192">
        <f t="shared" ca="1" si="73"/>
        <v>85</v>
      </c>
      <c r="BO66" s="192">
        <f t="shared" ca="1" si="73"/>
        <v>100</v>
      </c>
      <c r="BP66" s="192" t="str">
        <f t="shared" ca="1" si="73"/>
        <v>DELTACO</v>
      </c>
      <c r="BQ66" s="192" t="str">
        <f t="shared" ca="1" si="73"/>
        <v>Targus</v>
      </c>
      <c r="BR66" s="192" t="str">
        <f t="shared" ca="1" si="73"/>
        <v>HP</v>
      </c>
      <c r="BS66" s="192" t="str">
        <f t="shared" ca="1" si="73"/>
        <v>HP</v>
      </c>
      <c r="BT66" s="192" t="str">
        <f t="shared" ca="1" si="73"/>
        <v>Fodral för bärbar dator</v>
      </c>
      <c r="BU66" s="192" t="str">
        <f t="shared" ca="1" si="73"/>
        <v>Targus Privacy Screen 14" Widescreen</v>
      </c>
      <c r="BV66" s="192" t="str">
        <f t="shared" ca="1" si="73"/>
        <v>HP 65W Smart AC Adapter</v>
      </c>
      <c r="BW66" s="192" t="str">
        <f t="shared" ca="1" si="73"/>
        <v>HP USB-C Dock G5 Essential</v>
      </c>
      <c r="BX66" s="192"/>
      <c r="BY66" s="192" t="str">
        <f t="shared" ca="1" si="74"/>
        <v>Atea Sverige AB</v>
      </c>
      <c r="BZ66" s="192" t="str">
        <f t="shared" ca="1" si="74"/>
        <v>HP</v>
      </c>
      <c r="CA66" s="185"/>
      <c r="CB66" s="185" t="s">
        <v>711</v>
      </c>
      <c r="CC66" s="185"/>
      <c r="CD66" s="185"/>
      <c r="CE66" s="185"/>
      <c r="CF66" s="185"/>
      <c r="CG66" s="185"/>
      <c r="CH66" s="185"/>
      <c r="CI66" s="185"/>
      <c r="CJ66" s="185"/>
      <c r="CK66" s="185"/>
      <c r="CL66" s="185"/>
      <c r="CM66" s="185"/>
      <c r="CN66" s="185"/>
    </row>
    <row r="67" spans="2:92" ht="22.5" customHeight="1" outlineLevel="1" x14ac:dyDescent="0.35">
      <c r="C67" s="61" t="s">
        <v>74</v>
      </c>
      <c r="D67" s="64"/>
      <c r="F67" s="80" t="str">
        <f t="shared" si="75"/>
        <v/>
      </c>
      <c r="G67" s="81">
        <f t="shared" ca="1" si="76"/>
        <v>1</v>
      </c>
      <c r="H67" s="81">
        <f t="shared" ca="1" si="76"/>
        <v>1</v>
      </c>
      <c r="I67" s="120">
        <f t="shared" ca="1" si="76"/>
        <v>1</v>
      </c>
      <c r="J67" s="62"/>
      <c r="Q67" s="185">
        <f t="shared" si="53"/>
        <v>0</v>
      </c>
      <c r="R67" s="185">
        <f t="shared" si="54"/>
        <v>0</v>
      </c>
      <c r="S67" s="185">
        <f t="shared" si="55"/>
        <v>0</v>
      </c>
      <c r="T67" s="185">
        <f t="shared" si="56"/>
        <v>0</v>
      </c>
      <c r="U67" s="185">
        <f t="shared" si="57"/>
        <v>0</v>
      </c>
      <c r="V67" s="185">
        <f t="shared" si="58"/>
        <v>0</v>
      </c>
      <c r="W67" s="185">
        <f t="shared" si="59"/>
        <v>0</v>
      </c>
      <c r="X67" s="185">
        <f t="shared" si="60"/>
        <v>0</v>
      </c>
      <c r="Y67" s="185">
        <f t="shared" si="61"/>
        <v>0</v>
      </c>
      <c r="Z67" s="196">
        <f t="shared" ca="1" si="62"/>
        <v>7599</v>
      </c>
      <c r="AA67" s="185" t="str">
        <f t="shared" ca="1" si="63"/>
        <v>Offererad produktnr. 01Dustin Sverige AB</v>
      </c>
      <c r="AB67" s="185"/>
      <c r="AC67" s="185" t="b">
        <f ca="1">IFERROR(IF(D63="",TRUE,
IF(OR(D63=$CB$12,D63=$CB$13),IF(LEFT(AS67,FIND(" ",AS67)-1)=D63,TRUE,FALSE),
IF(OFFSET(Processor!$AB$1,MATCH($AS67,Processor!$AA$2:$AA$23,0),MATCH(LEFT(D63,FIND(" ",D63)-1),Processor!$AC$1:$AG$1,0))&gt;=
OFFSET(Processor!$AB$1,MATCH(D63,Processor!$AA$2:$AA$23,0),MATCH(LEFT(D63,FIND(" ",D63)-1),Processor!$AC$1:$AG$1,0)),TRUE,FALSE))),FALSE)</f>
        <v>1</v>
      </c>
      <c r="AD67" s="185" t="b">
        <f t="shared" si="64"/>
        <v>1</v>
      </c>
      <c r="AE67" s="185" t="b">
        <f t="shared" si="65"/>
        <v>1</v>
      </c>
      <c r="AF67" s="185" t="b">
        <f>IF($D$61="",TRUE,IF(COUNTIF(Processor!$I$2:$I$9,$D$61)&gt;0,AND(AV67&gt;INDEX(Processor!$J$2:$J$9,MATCH($D$61,Processor!$I$2:$I$9,0)),AV67&lt;INDEX(Processor!$K$2:$K$9,MATCH($D$61,Processor!$I$2:$I$9,0))),IF(AV67=$D$61,TRUE,FALSE)))</f>
        <v>1</v>
      </c>
      <c r="AG67" s="185" t="b">
        <f t="shared" si="66"/>
        <v>1</v>
      </c>
      <c r="AH67" s="185" t="b">
        <f t="shared" si="67"/>
        <v>1</v>
      </c>
      <c r="AI67" s="185" t="b">
        <f t="shared" si="68"/>
        <v>1</v>
      </c>
      <c r="AJ67" s="185" t="b">
        <f t="shared" si="69"/>
        <v>1</v>
      </c>
      <c r="AK67" s="185" t="b">
        <f t="shared" si="70"/>
        <v>1</v>
      </c>
      <c r="AL67" s="185" t="b">
        <f>IFERROR(IF($D72="",TRUE,IF(MID(BC67,LEN(BC67)-2,1)*1&gt;=MID($D72,LEN($D72)-2,1)*1,TRUE,FALSE)),FALSE)</f>
        <v>1</v>
      </c>
      <c r="AM67" s="185" t="b">
        <f>IF(D71="",TRUE,IF(BB67&gt;=D71,TRUE,FALSE))</f>
        <v>1</v>
      </c>
      <c r="AN67" s="185"/>
      <c r="AO67" s="185"/>
      <c r="AP67" s="185" t="s">
        <v>174</v>
      </c>
      <c r="AQ67" s="185">
        <v>1</v>
      </c>
      <c r="AR67" s="185" t="str">
        <f t="shared" ca="1" si="71"/>
        <v>1920x1080</v>
      </c>
      <c r="AS67" s="185" t="str">
        <f t="shared" ca="1" si="71"/>
        <v>AMD Ryzen 5</v>
      </c>
      <c r="AT67" s="185">
        <f t="shared" ca="1" si="71"/>
        <v>8</v>
      </c>
      <c r="AU67" s="185">
        <f t="shared" ca="1" si="71"/>
        <v>256</v>
      </c>
      <c r="AV67" s="185">
        <f t="shared" ca="1" si="71"/>
        <v>14</v>
      </c>
      <c r="AW67" s="185">
        <f t="shared" ca="1" si="71"/>
        <v>3</v>
      </c>
      <c r="AX67" s="185">
        <f t="shared" ca="1" si="71"/>
        <v>1</v>
      </c>
      <c r="AY67" s="185" t="str">
        <f t="shared" ca="1" si="71"/>
        <v>Ja, HDMI-port finns</v>
      </c>
      <c r="AZ67" s="185" t="str">
        <f t="shared" ca="1" si="71"/>
        <v>802.11a/b/g/n/ac/ax</v>
      </c>
      <c r="BA67" s="185">
        <f t="shared" ca="1" si="71"/>
        <v>5.3</v>
      </c>
      <c r="BB67" s="185">
        <f t="shared" ca="1" si="72"/>
        <v>11</v>
      </c>
      <c r="BC67" s="185" t="str">
        <f t="shared" ca="1" si="72"/>
        <v>Version 8.0</v>
      </c>
      <c r="BD67" s="185" t="str">
        <f t="shared" ca="1" si="72"/>
        <v>Ja</v>
      </c>
      <c r="BE67" s="185" t="str">
        <f t="shared" ca="1" si="72"/>
        <v>Windows 11 Pro</v>
      </c>
      <c r="BF67" s="185" t="str">
        <f t="shared" ca="1" si="72"/>
        <v>ProBook 445 G10</v>
      </c>
      <c r="BG67" s="185">
        <f t="shared" ca="1" si="72"/>
        <v>7599</v>
      </c>
      <c r="BH67" s="192">
        <f t="shared" ca="1" si="72"/>
        <v>123</v>
      </c>
      <c r="BI67" s="192">
        <f t="shared" ca="1" si="72"/>
        <v>425</v>
      </c>
      <c r="BJ67" s="192">
        <f t="shared" ca="1" si="72"/>
        <v>149</v>
      </c>
      <c r="BK67" s="192">
        <f t="shared" ca="1" si="72"/>
        <v>1185</v>
      </c>
      <c r="BL67" s="192">
        <f t="shared" ca="1" si="73"/>
        <v>450</v>
      </c>
      <c r="BM67" s="192">
        <f t="shared" ca="1" si="73"/>
        <v>133</v>
      </c>
      <c r="BN67" s="192">
        <f t="shared" ca="1" si="73"/>
        <v>20</v>
      </c>
      <c r="BO67" s="192">
        <f t="shared" ca="1" si="73"/>
        <v>20</v>
      </c>
      <c r="BP67" s="192" t="str">
        <f t="shared" ca="1" si="73"/>
        <v>Cirafon</v>
      </c>
      <c r="BQ67" s="192" t="str">
        <f t="shared" ca="1" si="73"/>
        <v>Cirafon</v>
      </c>
      <c r="BR67" s="192" t="str">
        <f t="shared" ca="1" si="73"/>
        <v>HP</v>
      </c>
      <c r="BS67" s="192" t="str">
        <f t="shared" ca="1" si="73"/>
        <v>HP</v>
      </c>
      <c r="BT67" s="192" t="str">
        <f t="shared" ca="1" si="73"/>
        <v>LSN8696R2-14.1</v>
      </c>
      <c r="BU67" s="192" t="str">
        <f t="shared" ca="1" si="73"/>
        <v>DPF14-9</v>
      </c>
      <c r="BV67" s="192" t="str">
        <f t="shared" ca="1" si="73"/>
        <v xml:space="preserve">1MZ01AA </v>
      </c>
      <c r="BW67" s="192" t="str">
        <f t="shared" ca="1" si="73"/>
        <v>72C71AA</v>
      </c>
      <c r="BX67" s="192"/>
      <c r="BY67" s="192" t="str">
        <f t="shared" ca="1" si="74"/>
        <v>Dustin Sverige AB</v>
      </c>
      <c r="BZ67" s="192" t="str">
        <f t="shared" ca="1" si="74"/>
        <v>HP</v>
      </c>
      <c r="CA67" s="185"/>
      <c r="CB67" s="185" t="s">
        <v>64</v>
      </c>
      <c r="CC67" s="185"/>
      <c r="CD67" s="185"/>
      <c r="CE67" s="185"/>
      <c r="CF67" s="185"/>
      <c r="CG67" s="185"/>
      <c r="CH67" s="185"/>
      <c r="CI67" s="185"/>
      <c r="CJ67" s="185"/>
      <c r="CK67" s="185"/>
      <c r="CL67" s="185"/>
      <c r="CM67" s="185"/>
      <c r="CN67" s="185"/>
    </row>
    <row r="68" spans="2:92" ht="22.5" customHeight="1" outlineLevel="1" x14ac:dyDescent="0.35">
      <c r="C68" s="61" t="s">
        <v>97</v>
      </c>
      <c r="D68" s="64"/>
      <c r="F68" s="80" t="str">
        <f t="shared" si="75"/>
        <v/>
      </c>
      <c r="G68" s="81" t="str">
        <f t="shared" ca="1" si="76"/>
        <v>Ja, HDMI-port finns</v>
      </c>
      <c r="H68" s="81" t="str">
        <f t="shared" ca="1" si="76"/>
        <v>Ja, HDMI-port finns</v>
      </c>
      <c r="I68" s="120" t="str">
        <f t="shared" ca="1" si="76"/>
        <v>Ja, HDMI-port finns</v>
      </c>
      <c r="J68" s="62"/>
      <c r="Q68" s="185">
        <f t="shared" si="53"/>
        <v>0</v>
      </c>
      <c r="R68" s="185">
        <f t="shared" si="54"/>
        <v>0</v>
      </c>
      <c r="S68" s="185">
        <f t="shared" si="55"/>
        <v>0</v>
      </c>
      <c r="T68" s="185">
        <f t="shared" si="56"/>
        <v>0</v>
      </c>
      <c r="U68" s="185">
        <f t="shared" si="57"/>
        <v>0</v>
      </c>
      <c r="V68" s="185">
        <f t="shared" si="58"/>
        <v>0</v>
      </c>
      <c r="W68" s="185">
        <f t="shared" si="59"/>
        <v>0</v>
      </c>
      <c r="X68" s="185">
        <f t="shared" si="60"/>
        <v>0</v>
      </c>
      <c r="Y68" s="185">
        <f t="shared" si="61"/>
        <v>0</v>
      </c>
      <c r="Z68" s="196">
        <f t="shared" ca="1" si="62"/>
        <v>11900</v>
      </c>
      <c r="AA68" s="185" t="str">
        <f t="shared" ca="1" si="63"/>
        <v>Offererad produktnr. 02Dustin Sverige AB</v>
      </c>
      <c r="AB68" s="185"/>
      <c r="AC68" s="198" t="b">
        <f ca="1">IFERROR(IF(D63="",TRUE,
IF(OR(D63=$CB$12,D63=$CB$13),IF(LEFT(AS68,FIND(" ",AS68)-1)=D63,TRUE,FALSE),
IF(OFFSET(Processor!$AB$1,MATCH($AS68,Processor!$AA$2:$AA$23,0),MATCH(LEFT(D63,FIND(" ",D63)-1),Processor!$AC$1:$AG$1,0))&gt;=
OFFSET(Processor!$AB$1,MATCH(D63,Processor!$AA$2:$AA$23,0),MATCH(LEFT(D63,FIND(" ",D63)-1),Processor!$AC$1:$AG$1,0)),TRUE,FALSE))),FALSE)</f>
        <v>1</v>
      </c>
      <c r="AD68" s="185" t="b">
        <f t="shared" si="64"/>
        <v>1</v>
      </c>
      <c r="AE68" s="185" t="b">
        <f t="shared" si="65"/>
        <v>1</v>
      </c>
      <c r="AF68" s="185" t="b">
        <f>IF($D$61="",TRUE,IF(COUNTIF(Processor!$I$2:$I$9,$D$61)&gt;0,AND(AV68&gt;INDEX(Processor!$J$2:$J$9,MATCH($D$61,Processor!$I$2:$I$9,0)),AV68&lt;INDEX(Processor!$K$2:$K$9,MATCH($D$61,Processor!$I$2:$I$9,0))),IF(AV68=$D$61,TRUE,FALSE)))</f>
        <v>1</v>
      </c>
      <c r="AG68" s="185" t="b">
        <f t="shared" si="66"/>
        <v>1</v>
      </c>
      <c r="AH68" s="185" t="b">
        <f t="shared" si="67"/>
        <v>1</v>
      </c>
      <c r="AI68" s="185" t="b">
        <f t="shared" si="68"/>
        <v>1</v>
      </c>
      <c r="AJ68" s="185" t="b">
        <f t="shared" si="69"/>
        <v>1</v>
      </c>
      <c r="AK68" s="185" t="b">
        <f t="shared" si="70"/>
        <v>1</v>
      </c>
      <c r="AL68" s="185" t="b">
        <f>IFERROR(IF($D72="",TRUE,IF(MID(BC68,LEN(BC68)-2,1)*1&gt;=MID($D72,LEN($D72)-2,1)*1,TRUE,FALSE)),FALSE)</f>
        <v>1</v>
      </c>
      <c r="AM68" s="185" t="b">
        <f>IF(D71="",TRUE,IF(BB68&gt;=D71,TRUE,FALSE))</f>
        <v>1</v>
      </c>
      <c r="AN68" s="185"/>
      <c r="AO68" s="185"/>
      <c r="AP68" s="185" t="s">
        <v>175</v>
      </c>
      <c r="AQ68" s="185">
        <v>1</v>
      </c>
      <c r="AR68" s="185" t="str">
        <f t="shared" ca="1" si="71"/>
        <v>1920x1200</v>
      </c>
      <c r="AS68" s="185" t="str">
        <f t="shared" ca="1" si="71"/>
        <v>Intel i5</v>
      </c>
      <c r="AT68" s="185">
        <f t="shared" ca="1" si="71"/>
        <v>16</v>
      </c>
      <c r="AU68" s="185">
        <f t="shared" ca="1" si="71"/>
        <v>256</v>
      </c>
      <c r="AV68" s="185">
        <f t="shared" ca="1" si="71"/>
        <v>14</v>
      </c>
      <c r="AW68" s="185">
        <f t="shared" ca="1" si="71"/>
        <v>2</v>
      </c>
      <c r="AX68" s="185">
        <f t="shared" ca="1" si="71"/>
        <v>2</v>
      </c>
      <c r="AY68" s="185" t="str">
        <f t="shared" ca="1" si="71"/>
        <v>Ja, HDMI-port finns</v>
      </c>
      <c r="AZ68" s="185" t="str">
        <f t="shared" ca="1" si="71"/>
        <v>802.11a/b/g/n/ac/ax</v>
      </c>
      <c r="BA68" s="185">
        <f t="shared" ca="1" si="71"/>
        <v>5.3</v>
      </c>
      <c r="BB68" s="185">
        <f t="shared" ca="1" si="72"/>
        <v>11</v>
      </c>
      <c r="BC68" s="185" t="str">
        <f t="shared" ca="1" si="72"/>
        <v>Version 8.0</v>
      </c>
      <c r="BD68" s="185" t="str">
        <f t="shared" ca="1" si="72"/>
        <v>Ja</v>
      </c>
      <c r="BE68" s="185" t="str">
        <f t="shared" ca="1" si="72"/>
        <v>Windows 11 Pro</v>
      </c>
      <c r="BF68" s="185" t="str">
        <f t="shared" ca="1" si="72"/>
        <v>Elitebook 840 G9</v>
      </c>
      <c r="BG68" s="185">
        <f t="shared" ca="1" si="72"/>
        <v>11900</v>
      </c>
      <c r="BH68" s="192">
        <f t="shared" ca="1" si="72"/>
        <v>123</v>
      </c>
      <c r="BI68" s="192">
        <f t="shared" ca="1" si="72"/>
        <v>425</v>
      </c>
      <c r="BJ68" s="192">
        <f t="shared" ca="1" si="72"/>
        <v>149</v>
      </c>
      <c r="BK68" s="192">
        <f t="shared" ca="1" si="72"/>
        <v>1185</v>
      </c>
      <c r="BL68" s="192">
        <f t="shared" ca="1" si="73"/>
        <v>450</v>
      </c>
      <c r="BM68" s="192">
        <f t="shared" ca="1" si="73"/>
        <v>133</v>
      </c>
      <c r="BN68" s="192">
        <f t="shared" ca="1" si="73"/>
        <v>20</v>
      </c>
      <c r="BO68" s="192">
        <f t="shared" ca="1" si="73"/>
        <v>20</v>
      </c>
      <c r="BP68" s="192" t="str">
        <f t="shared" ca="1" si="73"/>
        <v>Cirafon</v>
      </c>
      <c r="BQ68" s="192" t="str">
        <f t="shared" ca="1" si="73"/>
        <v>Cirafon</v>
      </c>
      <c r="BR68" s="192" t="str">
        <f t="shared" ca="1" si="73"/>
        <v>HP</v>
      </c>
      <c r="BS68" s="192" t="str">
        <f t="shared" ca="1" si="73"/>
        <v>HP</v>
      </c>
      <c r="BT68" s="192" t="str">
        <f t="shared" ca="1" si="73"/>
        <v>LSN8696R2-14.1</v>
      </c>
      <c r="BU68" s="192" t="str">
        <f t="shared" ca="1" si="73"/>
        <v>DPF14-9</v>
      </c>
      <c r="BV68" s="192" t="str">
        <f t="shared" ca="1" si="73"/>
        <v xml:space="preserve">1MZ01AA </v>
      </c>
      <c r="BW68" s="192" t="str">
        <f t="shared" ca="1" si="73"/>
        <v>72C71AA</v>
      </c>
      <c r="BX68" s="192"/>
      <c r="BY68" s="192" t="str">
        <f t="shared" ca="1" si="74"/>
        <v>Dustin Sverige AB</v>
      </c>
      <c r="BZ68" s="192" t="str">
        <f t="shared" ca="1" si="74"/>
        <v>HP</v>
      </c>
      <c r="CA68" s="185"/>
      <c r="CB68" s="185" t="s">
        <v>571</v>
      </c>
      <c r="CC68" s="185"/>
      <c r="CD68" s="185"/>
      <c r="CE68" s="185"/>
      <c r="CF68" s="185"/>
      <c r="CG68" s="185"/>
      <c r="CH68" s="185"/>
      <c r="CI68" s="185"/>
      <c r="CJ68" s="185"/>
      <c r="CK68" s="185"/>
      <c r="CL68" s="185"/>
      <c r="CM68" s="185"/>
      <c r="CN68" s="185"/>
    </row>
    <row r="69" spans="2:92" ht="22.5" customHeight="1" outlineLevel="1" x14ac:dyDescent="0.35">
      <c r="C69" s="61" t="s">
        <v>103</v>
      </c>
      <c r="D69" s="64"/>
      <c r="F69" s="80" t="str">
        <f t="shared" si="75"/>
        <v/>
      </c>
      <c r="G69" s="81" t="str">
        <f t="shared" ca="1" si="76"/>
        <v>802.11a/b/g/n/ac/ax</v>
      </c>
      <c r="H69" s="81" t="str">
        <f t="shared" ca="1" si="76"/>
        <v>802.11a/b/g/n/ac/ax</v>
      </c>
      <c r="I69" s="120" t="str">
        <f t="shared" ca="1" si="76"/>
        <v>802.11a/b/g/n/ac/ax</v>
      </c>
      <c r="J69" s="62"/>
      <c r="Q69" s="185">
        <f t="shared" si="53"/>
        <v>0</v>
      </c>
      <c r="R69" s="185">
        <f t="shared" si="54"/>
        <v>0</v>
      </c>
      <c r="S69" s="185">
        <f t="shared" si="55"/>
        <v>0</v>
      </c>
      <c r="T69" s="185">
        <f t="shared" si="56"/>
        <v>0</v>
      </c>
      <c r="U69" s="185">
        <f t="shared" si="57"/>
        <v>0</v>
      </c>
      <c r="V69" s="185">
        <f t="shared" si="58"/>
        <v>0</v>
      </c>
      <c r="W69" s="185">
        <f t="shared" si="59"/>
        <v>0</v>
      </c>
      <c r="X69" s="185">
        <f t="shared" si="60"/>
        <v>0</v>
      </c>
      <c r="Y69" s="185">
        <f t="shared" si="61"/>
        <v>0</v>
      </c>
      <c r="Z69" s="196">
        <f t="shared" ca="1" si="62"/>
        <v>10490</v>
      </c>
      <c r="AA69" s="185" t="str">
        <f t="shared" ca="1" si="63"/>
        <v>Offererad produktnr. 03Dustin Sverige AB</v>
      </c>
      <c r="AB69" s="185"/>
      <c r="AC69" s="185" t="b">
        <f ca="1">IFERROR(IF(D63="",TRUE,
IF(OR(D63=$CB$12,D63=$CB$13),IF(LEFT(AS69,FIND(" ",AS69)-1)=D63,TRUE,FALSE),
IF(OFFSET(Processor!$AB$1,MATCH($AS69,Processor!$AA$2:$AA$23,0),MATCH(LEFT(D63,FIND(" ",D63)-1),Processor!$AC$1:$AG$1,0))&gt;=
OFFSET(Processor!$AB$1,MATCH(D63,Processor!$AA$2:$AA$23,0),MATCH(LEFT(D63,FIND(" ",D63)-1),Processor!$AC$1:$AG$1,0)),TRUE,FALSE))),FALSE)</f>
        <v>1</v>
      </c>
      <c r="AD69" s="185" t="b">
        <f t="shared" si="64"/>
        <v>1</v>
      </c>
      <c r="AE69" s="185" t="b">
        <f t="shared" si="65"/>
        <v>1</v>
      </c>
      <c r="AF69" s="185" t="b">
        <f>IF($D$61="",TRUE,IF(COUNTIF(Processor!$I$2:$I$9,$D$61)&gt;0,AND(AV69&gt;INDEX(Processor!$J$2:$J$9,MATCH($D$61,Processor!$I$2:$I$9,0)),AV69&lt;INDEX(Processor!$K$2:$K$9,MATCH($D$61,Processor!$I$2:$I$9,0))),IF(AV69=$D$61,TRUE,FALSE)))</f>
        <v>1</v>
      </c>
      <c r="AG69" s="185" t="b">
        <f t="shared" si="66"/>
        <v>1</v>
      </c>
      <c r="AH69" s="185" t="b">
        <f t="shared" si="67"/>
        <v>1</v>
      </c>
      <c r="AI69" s="185" t="b">
        <f t="shared" si="68"/>
        <v>1</v>
      </c>
      <c r="AJ69" s="185" t="b">
        <f t="shared" si="69"/>
        <v>1</v>
      </c>
      <c r="AK69" s="185" t="b">
        <f t="shared" si="70"/>
        <v>1</v>
      </c>
      <c r="AL69" s="185" t="b">
        <f>IFERROR(IF($D72="",TRUE,IF(MID(BC69,LEN(BC69)-2,1)*1&gt;=MID($D72,LEN($D72)-2,1)*1,TRUE,FALSE)),FALSE)</f>
        <v>1</v>
      </c>
      <c r="AM69" s="185" t="b">
        <f>IF(D71="",TRUE,IF(BB69&gt;=D71,TRUE,FALSE))</f>
        <v>1</v>
      </c>
      <c r="AN69" s="185"/>
      <c r="AO69" s="185"/>
      <c r="AP69" s="185" t="s">
        <v>176</v>
      </c>
      <c r="AQ69" s="185">
        <v>1</v>
      </c>
      <c r="AR69" s="185" t="str">
        <f t="shared" ref="AR69:BA78" ca="1" si="77">IFERROR(INDEX(INDIRECT(AR$54&amp;"!$A$10:CC100000"),MATCH($AP69,INDIRECT(AR$54&amp;"!BH$10:BH100000"),0),MATCH(AR$56,INDIRECT(AR$54&amp;"!a10:CC10"),0)),"False")</f>
        <v>1920x1080</v>
      </c>
      <c r="AS69" s="185" t="str">
        <f t="shared" ca="1" si="77"/>
        <v>Intel i7 Gen 12</v>
      </c>
      <c r="AT69" s="185">
        <f t="shared" ca="1" si="77"/>
        <v>32</v>
      </c>
      <c r="AU69" s="185">
        <f t="shared" ca="1" si="77"/>
        <v>512</v>
      </c>
      <c r="AV69" s="185">
        <f t="shared" ca="1" si="77"/>
        <v>14</v>
      </c>
      <c r="AW69" s="185">
        <f t="shared" ca="1" si="77"/>
        <v>3</v>
      </c>
      <c r="AX69" s="185">
        <f t="shared" ca="1" si="77"/>
        <v>1</v>
      </c>
      <c r="AY69" s="185" t="str">
        <f t="shared" ca="1" si="77"/>
        <v>Ja, HDMI-port finns</v>
      </c>
      <c r="AZ69" s="185" t="str">
        <f t="shared" ca="1" si="77"/>
        <v>802.11a/b/g/n/ac/ax</v>
      </c>
      <c r="BA69" s="185">
        <f t="shared" ca="1" si="77"/>
        <v>5.3</v>
      </c>
      <c r="BB69" s="185">
        <f t="shared" ref="BB69:BK78" ca="1" si="78">IFERROR(INDEX(INDIRECT(BB$54&amp;"!$A$10:CC100000"),MATCH($AP69,INDIRECT(BB$54&amp;"!BH$10:BH100000"),0),MATCH(BB$56,INDIRECT(BB$54&amp;"!a10:CC10"),0)),"False")</f>
        <v>11</v>
      </c>
      <c r="BC69" s="185" t="str">
        <f t="shared" ca="1" si="78"/>
        <v>Version 8.0</v>
      </c>
      <c r="BD69" s="185" t="str">
        <f t="shared" ca="1" si="78"/>
        <v>Ja</v>
      </c>
      <c r="BE69" s="185" t="str">
        <f t="shared" ca="1" si="78"/>
        <v>Windows 11 Pro</v>
      </c>
      <c r="BF69" s="185" t="str">
        <f t="shared" ca="1" si="78"/>
        <v>ProBook 440 G9</v>
      </c>
      <c r="BG69" s="185">
        <f t="shared" ca="1" si="78"/>
        <v>10490</v>
      </c>
      <c r="BH69" s="192">
        <f t="shared" ca="1" si="78"/>
        <v>123</v>
      </c>
      <c r="BI69" s="192">
        <f t="shared" ca="1" si="78"/>
        <v>425</v>
      </c>
      <c r="BJ69" s="192">
        <f t="shared" ca="1" si="78"/>
        <v>149</v>
      </c>
      <c r="BK69" s="192">
        <f t="shared" ca="1" si="78"/>
        <v>1185</v>
      </c>
      <c r="BL69" s="192">
        <f t="shared" ref="BL69:BW78" ca="1" si="79">IFERROR(INDEX(INDIRECT(BL$54&amp;"!$A$10:CC100000"),MATCH($AP69,INDIRECT(BL$54&amp;"!BH$10:BH100000"),0),MATCH(BL$56,INDIRECT(BL$54&amp;"!a10:CC10"),0)),"False")</f>
        <v>450</v>
      </c>
      <c r="BM69" s="192">
        <f t="shared" ca="1" si="79"/>
        <v>133</v>
      </c>
      <c r="BN69" s="192">
        <f t="shared" ca="1" si="79"/>
        <v>20</v>
      </c>
      <c r="BO69" s="192">
        <f t="shared" ca="1" si="79"/>
        <v>20</v>
      </c>
      <c r="BP69" s="192" t="str">
        <f t="shared" ca="1" si="79"/>
        <v>Cirafon</v>
      </c>
      <c r="BQ69" s="192" t="str">
        <f t="shared" ca="1" si="79"/>
        <v>Cirafon</v>
      </c>
      <c r="BR69" s="192" t="str">
        <f t="shared" ca="1" si="79"/>
        <v>HP</v>
      </c>
      <c r="BS69" s="192" t="str">
        <f t="shared" ca="1" si="79"/>
        <v>HP</v>
      </c>
      <c r="BT69" s="192" t="str">
        <f t="shared" ca="1" si="79"/>
        <v>LSN8696R2-14.1</v>
      </c>
      <c r="BU69" s="192" t="str">
        <f t="shared" ca="1" si="79"/>
        <v>DPF14-9</v>
      </c>
      <c r="BV69" s="192" t="str">
        <f t="shared" ca="1" si="79"/>
        <v xml:space="preserve">1MZ01AA </v>
      </c>
      <c r="BW69" s="192" t="str">
        <f t="shared" ca="1" si="79"/>
        <v>72C71AA</v>
      </c>
      <c r="BX69" s="192"/>
      <c r="BY69" s="192" t="str">
        <f t="shared" ca="1" si="74"/>
        <v>Dustin Sverige AB</v>
      </c>
      <c r="BZ69" s="192" t="str">
        <f t="shared" ca="1" si="74"/>
        <v>HP</v>
      </c>
      <c r="CA69" s="185"/>
      <c r="CB69" s="185" t="s">
        <v>710</v>
      </c>
      <c r="CC69" s="185"/>
      <c r="CD69" s="185"/>
      <c r="CE69" s="185"/>
      <c r="CF69" s="185"/>
      <c r="CG69" s="185"/>
      <c r="CH69" s="185"/>
      <c r="CI69" s="185"/>
      <c r="CJ69" s="185"/>
      <c r="CK69" s="185"/>
      <c r="CL69" s="185"/>
      <c r="CM69" s="185"/>
      <c r="CN69" s="185"/>
    </row>
    <row r="70" spans="2:92" ht="33.75" customHeight="1" outlineLevel="1" x14ac:dyDescent="0.35">
      <c r="C70" s="61" t="s">
        <v>75</v>
      </c>
      <c r="D70" s="110"/>
      <c r="F70" s="80" t="str">
        <f t="shared" si="75"/>
        <v/>
      </c>
      <c r="G70" s="81">
        <f t="shared" ca="1" si="76"/>
        <v>5</v>
      </c>
      <c r="H70" s="81">
        <f t="shared" ca="1" si="76"/>
        <v>5.3</v>
      </c>
      <c r="I70" s="120">
        <f t="shared" ca="1" si="76"/>
        <v>5</v>
      </c>
      <c r="J70" s="62"/>
      <c r="Q70" s="185">
        <f t="shared" si="53"/>
        <v>0</v>
      </c>
      <c r="R70" s="185">
        <f t="shared" si="54"/>
        <v>0</v>
      </c>
      <c r="S70" s="185">
        <f t="shared" si="55"/>
        <v>0</v>
      </c>
      <c r="T70" s="185">
        <f t="shared" si="56"/>
        <v>0</v>
      </c>
      <c r="U70" s="185">
        <f t="shared" si="57"/>
        <v>0</v>
      </c>
      <c r="V70" s="185">
        <f t="shared" si="58"/>
        <v>0</v>
      </c>
      <c r="W70" s="185">
        <f t="shared" si="59"/>
        <v>0</v>
      </c>
      <c r="X70" s="185">
        <f t="shared" si="60"/>
        <v>0</v>
      </c>
      <c r="Y70" s="185">
        <f t="shared" si="61"/>
        <v>0</v>
      </c>
      <c r="Z70" s="196">
        <f t="shared" ca="1" si="62"/>
        <v>13790</v>
      </c>
      <c r="AA70" s="185" t="str">
        <f t="shared" ca="1" si="63"/>
        <v>Offererad produktnr. 04Dustin Sverige AB</v>
      </c>
      <c r="AB70" s="185"/>
      <c r="AC70" s="185" t="b">
        <f ca="1">IFERROR(IF(D63="",TRUE,
IF(OR(D63=$CB$12,D63=$CB$13),IF(LEFT(AS70,FIND(" ",AS70)-1)=D63,TRUE,FALSE),
IF(OFFSET(Processor!$AB$1,MATCH($AS70,Processor!$AA$2:$AA$23,0),MATCH(LEFT(D63,FIND(" ",D63)-1),Processor!$AC$1:$AG$1,0))&gt;=
OFFSET(Processor!$AB$1,MATCH(D63,Processor!$AA$2:$AA$23,0),MATCH(LEFT(D63,FIND(" ",D63)-1),Processor!$AC$1:$AG$1,0)),TRUE,FALSE))),FALSE)</f>
        <v>1</v>
      </c>
      <c r="AD70" s="185" t="b">
        <f t="shared" si="64"/>
        <v>1</v>
      </c>
      <c r="AE70" s="185" t="b">
        <f t="shared" si="65"/>
        <v>1</v>
      </c>
      <c r="AF70" s="185" t="b">
        <f>IF($D$61="",TRUE,IF(COUNTIF(Processor!$I$2:$I$9,$D$61)&gt;0,AND(AV70&gt;INDEX(Processor!$J$2:$J$9,MATCH($D$61,Processor!$I$2:$I$9,0)),AV70&lt;INDEX(Processor!$K$2:$K$9,MATCH($D$61,Processor!$I$2:$I$9,0))),IF(AV70=$D$61,TRUE,FALSE)))</f>
        <v>1</v>
      </c>
      <c r="AG70" s="185" t="b">
        <f t="shared" si="66"/>
        <v>1</v>
      </c>
      <c r="AH70" s="185" t="b">
        <f t="shared" si="67"/>
        <v>1</v>
      </c>
      <c r="AI70" s="185" t="b">
        <f t="shared" si="68"/>
        <v>1</v>
      </c>
      <c r="AJ70" s="185" t="b">
        <f t="shared" si="69"/>
        <v>1</v>
      </c>
      <c r="AK70" s="185" t="b">
        <f t="shared" si="70"/>
        <v>1</v>
      </c>
      <c r="AL70" s="185" t="b">
        <f>IFERROR(IF($D72="",TRUE,IF(MID(BC70,LEN(BC70)-2,1)*1&gt;=MID($D72,LEN($D72)-2,1)*1,TRUE,FALSE)),FALSE)</f>
        <v>1</v>
      </c>
      <c r="AM70" s="185" t="b">
        <f>IF(D71="",TRUE,IF(BB70&gt;=D71,TRUE,FALSE))</f>
        <v>1</v>
      </c>
      <c r="AN70" s="185"/>
      <c r="AO70" s="185"/>
      <c r="AP70" s="185" t="s">
        <v>177</v>
      </c>
      <c r="AQ70" s="185">
        <v>1</v>
      </c>
      <c r="AR70" s="185" t="str">
        <f t="shared" ca="1" si="77"/>
        <v>1920x1200</v>
      </c>
      <c r="AS70" s="185" t="str">
        <f t="shared" ca="1" si="77"/>
        <v>Intel i7</v>
      </c>
      <c r="AT70" s="185">
        <f t="shared" ca="1" si="77"/>
        <v>16</v>
      </c>
      <c r="AU70" s="185">
        <f t="shared" ca="1" si="77"/>
        <v>512</v>
      </c>
      <c r="AV70" s="185">
        <f t="shared" ca="1" si="77"/>
        <v>14</v>
      </c>
      <c r="AW70" s="185">
        <f t="shared" ca="1" si="77"/>
        <v>2</v>
      </c>
      <c r="AX70" s="185">
        <f t="shared" ca="1" si="77"/>
        <v>2</v>
      </c>
      <c r="AY70" s="185" t="str">
        <f t="shared" ca="1" si="77"/>
        <v>Ja, HDMI-port finns</v>
      </c>
      <c r="AZ70" s="185" t="str">
        <f t="shared" ca="1" si="77"/>
        <v>802.11a/b/g/n/ac/ax</v>
      </c>
      <c r="BA70" s="185">
        <f t="shared" ca="1" si="77"/>
        <v>5.3</v>
      </c>
      <c r="BB70" s="185">
        <f t="shared" ca="1" si="78"/>
        <v>11</v>
      </c>
      <c r="BC70" s="185" t="str">
        <f t="shared" ca="1" si="78"/>
        <v>Version 8.0</v>
      </c>
      <c r="BD70" s="185" t="str">
        <f t="shared" ca="1" si="78"/>
        <v>Ja</v>
      </c>
      <c r="BE70" s="185" t="str">
        <f t="shared" ca="1" si="78"/>
        <v>Windows 11 Pro</v>
      </c>
      <c r="BF70" s="185" t="str">
        <f t="shared" ca="1" si="78"/>
        <v>EliteBook 840 G9</v>
      </c>
      <c r="BG70" s="185">
        <f t="shared" ca="1" si="78"/>
        <v>13790</v>
      </c>
      <c r="BH70" s="192">
        <f t="shared" ca="1" si="78"/>
        <v>123</v>
      </c>
      <c r="BI70" s="192">
        <f t="shared" ca="1" si="78"/>
        <v>425</v>
      </c>
      <c r="BJ70" s="192">
        <f t="shared" ca="1" si="78"/>
        <v>149</v>
      </c>
      <c r="BK70" s="192">
        <f t="shared" ca="1" si="78"/>
        <v>1185</v>
      </c>
      <c r="BL70" s="192">
        <f t="shared" ca="1" si="79"/>
        <v>450</v>
      </c>
      <c r="BM70" s="192">
        <f t="shared" ca="1" si="79"/>
        <v>133</v>
      </c>
      <c r="BN70" s="192">
        <f t="shared" ca="1" si="79"/>
        <v>20</v>
      </c>
      <c r="BO70" s="192">
        <f t="shared" ca="1" si="79"/>
        <v>20</v>
      </c>
      <c r="BP70" s="192" t="str">
        <f t="shared" ca="1" si="79"/>
        <v>Cirafon</v>
      </c>
      <c r="BQ70" s="192" t="str">
        <f t="shared" ca="1" si="79"/>
        <v>Cirafon</v>
      </c>
      <c r="BR70" s="192" t="str">
        <f t="shared" ca="1" si="79"/>
        <v>HP</v>
      </c>
      <c r="BS70" s="192" t="str">
        <f t="shared" ca="1" si="79"/>
        <v>HP</v>
      </c>
      <c r="BT70" s="192" t="str">
        <f t="shared" ca="1" si="79"/>
        <v>LSN8696R2-14.1</v>
      </c>
      <c r="BU70" s="192" t="str">
        <f t="shared" ca="1" si="79"/>
        <v>DPF14-9</v>
      </c>
      <c r="BV70" s="192" t="str">
        <f t="shared" ca="1" si="79"/>
        <v xml:space="preserve">1MZ01AA </v>
      </c>
      <c r="BW70" s="192" t="str">
        <f t="shared" ca="1" si="79"/>
        <v>72C71AA</v>
      </c>
      <c r="BX70" s="192"/>
      <c r="BY70" s="192" t="str">
        <f t="shared" ca="1" si="74"/>
        <v>Dustin Sverige AB</v>
      </c>
      <c r="BZ70" s="192" t="str">
        <f t="shared" ca="1" si="74"/>
        <v>HP</v>
      </c>
      <c r="CA70" s="185"/>
      <c r="CB70" s="185"/>
      <c r="CC70" s="185"/>
      <c r="CD70" s="185"/>
      <c r="CE70" s="185"/>
      <c r="CF70" s="185"/>
      <c r="CG70" s="185"/>
      <c r="CH70" s="185"/>
      <c r="CI70" s="185"/>
      <c r="CJ70" s="185"/>
      <c r="CK70" s="185"/>
      <c r="CL70" s="185"/>
      <c r="CM70" s="185"/>
      <c r="CN70" s="185"/>
    </row>
    <row r="71" spans="2:92" ht="32.25" customHeight="1" outlineLevel="1" x14ac:dyDescent="0.35">
      <c r="C71" s="61" t="s">
        <v>120</v>
      </c>
      <c r="D71" s="65"/>
      <c r="F71" s="80" t="str">
        <f t="shared" si="75"/>
        <v/>
      </c>
      <c r="G71" s="81">
        <f t="shared" ca="1" si="76"/>
        <v>11</v>
      </c>
      <c r="H71" s="81">
        <f t="shared" ca="1" si="76"/>
        <v>11</v>
      </c>
      <c r="I71" s="121">
        <f t="shared" ca="1" si="76"/>
        <v>11</v>
      </c>
      <c r="J71" s="62"/>
      <c r="Q71" s="185">
        <f t="shared" si="53"/>
        <v>0</v>
      </c>
      <c r="R71" s="185">
        <f t="shared" si="54"/>
        <v>0</v>
      </c>
      <c r="S71" s="185">
        <f t="shared" si="55"/>
        <v>0</v>
      </c>
      <c r="T71" s="185">
        <f t="shared" si="56"/>
        <v>0</v>
      </c>
      <c r="U71" s="185">
        <f t="shared" si="57"/>
        <v>0</v>
      </c>
      <c r="V71" s="185">
        <f t="shared" si="58"/>
        <v>0</v>
      </c>
      <c r="W71" s="185">
        <f t="shared" si="59"/>
        <v>0</v>
      </c>
      <c r="X71" s="185">
        <f t="shared" si="60"/>
        <v>0</v>
      </c>
      <c r="Y71" s="185">
        <f t="shared" si="61"/>
        <v>0</v>
      </c>
      <c r="Z71" s="196">
        <f t="shared" ca="1" si="62"/>
        <v>8848</v>
      </c>
      <c r="AA71" s="185" t="str">
        <f t="shared" ca="1" si="63"/>
        <v>Offererad produktnr. 01Foxway Education AB</v>
      </c>
      <c r="AB71" s="185"/>
      <c r="AC71" s="185" t="b">
        <f ca="1">IFERROR(IF(D63="",TRUE,
IF(OR(D63=$CB$12,D63=$CB$13),IF(LEFT(AS71,FIND(" ",AS71)-1)=D63,TRUE,FALSE),
IF(OFFSET(Processor!$AB$1,MATCH($AS71,Processor!$AA$2:$AA$23,0),MATCH(LEFT(D63,FIND(" ",D63)-1),Processor!$AC$1:$AG$1,0))&gt;=
OFFSET(Processor!$AB$1,MATCH(D63,Processor!$AA$2:$AA$23,0),MATCH(LEFT(D63,FIND(" ",D63)-1),Processor!$AC$1:$AG$1,0)),TRUE,FALSE))),FALSE)</f>
        <v>1</v>
      </c>
      <c r="AD71" s="185" t="b">
        <f t="shared" si="64"/>
        <v>1</v>
      </c>
      <c r="AE71" s="185" t="b">
        <f t="shared" si="65"/>
        <v>1</v>
      </c>
      <c r="AF71" s="185" t="b">
        <f>IF($D$61="",TRUE,IF(COUNTIF(Processor!$I$2:$I$9,$D$61)&gt;0,AND(AV71&gt;INDEX(Processor!$J$2:$J$9,MATCH($D$61,Processor!$I$2:$I$9,0)),AV71&lt;INDEX(Processor!$K$2:$K$9,MATCH($D$61,Processor!$I$2:$I$9,0))),IF(AV71=$D$61,TRUE,FALSE)))</f>
        <v>1</v>
      </c>
      <c r="AG71" s="185" t="b">
        <f t="shared" si="66"/>
        <v>1</v>
      </c>
      <c r="AH71" s="185" t="b">
        <f t="shared" si="67"/>
        <v>1</v>
      </c>
      <c r="AI71" s="185" t="b">
        <f t="shared" si="68"/>
        <v>1</v>
      </c>
      <c r="AJ71" s="185" t="b">
        <f t="shared" si="69"/>
        <v>1</v>
      </c>
      <c r="AK71" s="185" t="b">
        <f t="shared" si="70"/>
        <v>1</v>
      </c>
      <c r="AL71" s="185" t="b">
        <f>IFERROR(IF($D72="",TRUE,IF(MID(BC71,LEN(BC71)-2,1)*1&gt;=MID($D72,LEN($D72)-2,1)*1,TRUE,FALSE)),FALSE)</f>
        <v>1</v>
      </c>
      <c r="AM71" s="185" t="b">
        <f>IF(D71="",TRUE,IF(BB71&gt;=D71,TRUE,FALSE))</f>
        <v>1</v>
      </c>
      <c r="AN71" s="185"/>
      <c r="AO71" s="185"/>
      <c r="AP71" s="185" t="s">
        <v>210</v>
      </c>
      <c r="AQ71" s="185">
        <v>1</v>
      </c>
      <c r="AR71" s="185" t="str">
        <f t="shared" ca="1" si="77"/>
        <v>1920x1080</v>
      </c>
      <c r="AS71" s="185" t="str">
        <f t="shared" ca="1" si="77"/>
        <v>AMD Ryzen 5</v>
      </c>
      <c r="AT71" s="185">
        <f t="shared" ca="1" si="77"/>
        <v>8</v>
      </c>
      <c r="AU71" s="185">
        <f t="shared" ca="1" si="77"/>
        <v>256</v>
      </c>
      <c r="AV71" s="185">
        <f t="shared" ca="1" si="77"/>
        <v>14</v>
      </c>
      <c r="AW71" s="185">
        <f t="shared" ca="1" si="77"/>
        <v>4</v>
      </c>
      <c r="AX71" s="185">
        <f t="shared" ca="1" si="77"/>
        <v>1</v>
      </c>
      <c r="AY71" s="185" t="str">
        <f t="shared" ca="1" si="77"/>
        <v>Ja, HDMI-port finns</v>
      </c>
      <c r="AZ71" s="185" t="str">
        <f t="shared" ca="1" si="77"/>
        <v>802.11a/b/g/n/ac/ax</v>
      </c>
      <c r="BA71" s="185">
        <f t="shared" ca="1" si="77"/>
        <v>5.3</v>
      </c>
      <c r="BB71" s="185">
        <f t="shared" ca="1" si="78"/>
        <v>11</v>
      </c>
      <c r="BC71" s="185" t="str">
        <f t="shared" ca="1" si="78"/>
        <v>Version 8.0</v>
      </c>
      <c r="BD71" s="185" t="str">
        <f t="shared" ca="1" si="78"/>
        <v>Ja</v>
      </c>
      <c r="BE71" s="185" t="str">
        <f t="shared" ca="1" si="78"/>
        <v>Windows 11 Pro</v>
      </c>
      <c r="BF71" s="185" t="str">
        <f t="shared" ca="1" si="78"/>
        <v>ProBook 445 G10</v>
      </c>
      <c r="BG71" s="185">
        <f t="shared" ca="1" si="78"/>
        <v>8848</v>
      </c>
      <c r="BH71" s="192">
        <f t="shared" ca="1" si="78"/>
        <v>78</v>
      </c>
      <c r="BI71" s="192">
        <f t="shared" ca="1" si="78"/>
        <v>252</v>
      </c>
      <c r="BJ71" s="192">
        <f t="shared" ca="1" si="78"/>
        <v>138</v>
      </c>
      <c r="BK71" s="192">
        <f t="shared" ca="1" si="78"/>
        <v>1150</v>
      </c>
      <c r="BL71" s="192">
        <f t="shared" ca="1" si="79"/>
        <v>160</v>
      </c>
      <c r="BM71" s="192">
        <f t="shared" ca="1" si="79"/>
        <v>185</v>
      </c>
      <c r="BN71" s="192">
        <f t="shared" ca="1" si="79"/>
        <v>60</v>
      </c>
      <c r="BO71" s="192">
        <f t="shared" ca="1" si="79"/>
        <v>50</v>
      </c>
      <c r="BP71" s="192" t="str">
        <f t="shared" ca="1" si="79"/>
        <v>V7</v>
      </c>
      <c r="BQ71" s="192" t="str">
        <f t="shared" ca="1" si="79"/>
        <v>Targus</v>
      </c>
      <c r="BR71" s="192" t="str">
        <f t="shared" ca="1" si="79"/>
        <v>HP</v>
      </c>
      <c r="BS71" s="192" t="str">
        <f t="shared" ca="1" si="79"/>
        <v>HP</v>
      </c>
      <c r="BT71" s="192" t="str">
        <f t="shared" ca="1" si="79"/>
        <v>V7 Elite Sleeve 14"</v>
      </c>
      <c r="BU71" s="192" t="str">
        <f t="shared" ca="1" si="79"/>
        <v>Targus Privacy Screen 14"</v>
      </c>
      <c r="BV71" s="192" t="str">
        <f t="shared" ca="1" si="79"/>
        <v>HP 45W Smart AC Adapter</v>
      </c>
      <c r="BW71" s="192" t="str">
        <f t="shared" ca="1" si="79"/>
        <v>HP USB-C Dock G5</v>
      </c>
      <c r="BX71" s="192"/>
      <c r="BY71" s="192" t="str">
        <f t="shared" ca="1" si="74"/>
        <v>Foxway Education AB</v>
      </c>
      <c r="BZ71" s="192" t="str">
        <f t="shared" ca="1" si="74"/>
        <v>HP</v>
      </c>
      <c r="CA71" s="185"/>
      <c r="CB71" s="185"/>
      <c r="CC71" s="185"/>
      <c r="CD71" s="185"/>
      <c r="CE71" s="185"/>
      <c r="CF71" s="185"/>
      <c r="CG71" s="185"/>
      <c r="CH71" s="185"/>
      <c r="CI71" s="185"/>
      <c r="CJ71" s="185"/>
      <c r="CK71" s="185"/>
      <c r="CL71" s="185"/>
      <c r="CM71" s="185"/>
      <c r="CN71" s="185"/>
    </row>
    <row r="72" spans="2:92" ht="24" customHeight="1" outlineLevel="1" x14ac:dyDescent="0.35">
      <c r="C72" s="61" t="s">
        <v>38</v>
      </c>
      <c r="D72" s="64"/>
      <c r="F72" s="80" t="str">
        <f t="shared" si="75"/>
        <v/>
      </c>
      <c r="G72" s="81" t="str">
        <f t="shared" ca="1" si="76"/>
        <v>Version 8.0</v>
      </c>
      <c r="H72" s="81" t="str">
        <f t="shared" ca="1" si="76"/>
        <v>Version 8.0</v>
      </c>
      <c r="I72" s="120" t="str">
        <f t="shared" ca="1" si="76"/>
        <v>Version 8.0</v>
      </c>
      <c r="J72" s="62"/>
      <c r="Q72" s="185">
        <f t="shared" si="53"/>
        <v>0</v>
      </c>
      <c r="R72" s="185">
        <f t="shared" si="54"/>
        <v>0</v>
      </c>
      <c r="S72" s="185">
        <f t="shared" si="55"/>
        <v>0</v>
      </c>
      <c r="T72" s="185">
        <f t="shared" si="56"/>
        <v>0</v>
      </c>
      <c r="U72" s="185">
        <f t="shared" si="57"/>
        <v>0</v>
      </c>
      <c r="V72" s="185">
        <f t="shared" si="58"/>
        <v>0</v>
      </c>
      <c r="W72" s="185">
        <f t="shared" si="59"/>
        <v>0</v>
      </c>
      <c r="X72" s="185">
        <f t="shared" si="60"/>
        <v>0</v>
      </c>
      <c r="Y72" s="185">
        <f t="shared" si="61"/>
        <v>0</v>
      </c>
      <c r="Z72" s="196">
        <f t="shared" ca="1" si="62"/>
        <v>9288</v>
      </c>
      <c r="AA72" s="185" t="str">
        <f t="shared" ca="1" si="63"/>
        <v>Offererad produktnr. 02Foxway Education AB</v>
      </c>
      <c r="AB72" s="185"/>
      <c r="AC72" s="185" t="b">
        <f ca="1">IFERROR(IF(D63="",TRUE,
IF(OR(D63=$CB$12,D63=$CB$13),IF(LEFT(AS72,FIND(" ",AS72)-1)=D63,TRUE,FALSE),
IF(OFFSET(Processor!$AB$1,MATCH($AS72,Processor!$AA$2:$AA$23,0),MATCH(LEFT(D63,FIND(" ",D63)-1),Processor!$AC$1:$AG$1,0))&gt;=
OFFSET(Processor!$AB$1,MATCH(D63,Processor!$AA$2:$AA$23,0),MATCH(LEFT(D63,FIND(" ",D63)-1),Processor!$AC$1:$AG$1,0)),TRUE,FALSE))),FALSE)</f>
        <v>1</v>
      </c>
      <c r="AD72" s="185" t="b">
        <f t="shared" si="64"/>
        <v>1</v>
      </c>
      <c r="AE72" s="185" t="b">
        <f t="shared" si="65"/>
        <v>1</v>
      </c>
      <c r="AF72" s="185" t="b">
        <f>IF($D$61="",TRUE,IF(COUNTIF(Processor!$I$2:$I$9,$D$61)&gt;0,AND(AV72&gt;INDEX(Processor!$J$2:$J$9,MATCH($D$61,Processor!$I$2:$I$9,0)),AV72&lt;INDEX(Processor!$K$2:$K$9,MATCH($D$61,Processor!$I$2:$I$9,0))),IF(AV72=$D$61,TRUE,FALSE)))</f>
        <v>1</v>
      </c>
      <c r="AG72" s="185" t="b">
        <f t="shared" si="66"/>
        <v>1</v>
      </c>
      <c r="AH72" s="185" t="b">
        <f t="shared" si="67"/>
        <v>1</v>
      </c>
      <c r="AI72" s="185" t="b">
        <f t="shared" si="68"/>
        <v>1</v>
      </c>
      <c r="AJ72" s="185" t="b">
        <f t="shared" si="69"/>
        <v>1</v>
      </c>
      <c r="AK72" s="185" t="b">
        <f t="shared" si="70"/>
        <v>1</v>
      </c>
      <c r="AL72" s="185" t="b">
        <f>IFERROR(IF($D72="",TRUE,IF(MID(BC72,LEN(BC72)-2,1)*1&gt;=MID($D72,LEN($D72)-2,1)*1,TRUE,FALSE)),FALSE)</f>
        <v>1</v>
      </c>
      <c r="AM72" s="185" t="b">
        <f>IF(D71="",TRUE,IF(BB72&gt;=D71,TRUE,FALSE))</f>
        <v>1</v>
      </c>
      <c r="AN72" s="185"/>
      <c r="AO72" s="185"/>
      <c r="AP72" s="185" t="s">
        <v>211</v>
      </c>
      <c r="AQ72" s="185">
        <v>1</v>
      </c>
      <c r="AR72" s="185" t="str">
        <f t="shared" ca="1" si="77"/>
        <v>1920x1080</v>
      </c>
      <c r="AS72" s="185" t="str">
        <f t="shared" ca="1" si="77"/>
        <v>AMD Ryzen 5</v>
      </c>
      <c r="AT72" s="185">
        <f t="shared" ca="1" si="77"/>
        <v>8</v>
      </c>
      <c r="AU72" s="185">
        <f t="shared" ca="1" si="77"/>
        <v>256</v>
      </c>
      <c r="AV72" s="185">
        <f t="shared" ca="1" si="77"/>
        <v>14</v>
      </c>
      <c r="AW72" s="185">
        <f t="shared" ca="1" si="77"/>
        <v>3</v>
      </c>
      <c r="AX72" s="185">
        <f t="shared" ca="1" si="77"/>
        <v>1</v>
      </c>
      <c r="AY72" s="185" t="str">
        <f t="shared" ca="1" si="77"/>
        <v>Ja, HDMI-port finns</v>
      </c>
      <c r="AZ72" s="185" t="str">
        <f t="shared" ca="1" si="77"/>
        <v>802.11a/b/g/n/ac</v>
      </c>
      <c r="BA72" s="185">
        <f t="shared" ca="1" si="77"/>
        <v>5</v>
      </c>
      <c r="BB72" s="185">
        <f t="shared" ca="1" si="78"/>
        <v>11</v>
      </c>
      <c r="BC72" s="185" t="str">
        <f t="shared" ca="1" si="78"/>
        <v>Version 8.0</v>
      </c>
      <c r="BD72" s="185" t="str">
        <f t="shared" ca="1" si="78"/>
        <v>Ja</v>
      </c>
      <c r="BE72" s="185" t="str">
        <f t="shared" ca="1" si="78"/>
        <v>Windows 11 Pro</v>
      </c>
      <c r="BF72" s="185" t="str">
        <f t="shared" ca="1" si="78"/>
        <v>E14 G5 AMD</v>
      </c>
      <c r="BG72" s="185">
        <f t="shared" ca="1" si="78"/>
        <v>9288</v>
      </c>
      <c r="BH72" s="192">
        <f t="shared" ca="1" si="78"/>
        <v>78</v>
      </c>
      <c r="BI72" s="192">
        <f t="shared" ca="1" si="78"/>
        <v>252</v>
      </c>
      <c r="BJ72" s="192">
        <f t="shared" ca="1" si="78"/>
        <v>210</v>
      </c>
      <c r="BK72" s="192">
        <f t="shared" ca="1" si="78"/>
        <v>1824</v>
      </c>
      <c r="BL72" s="192">
        <f t="shared" ca="1" si="79"/>
        <v>290</v>
      </c>
      <c r="BM72" s="192">
        <f t="shared" ca="1" si="79"/>
        <v>185</v>
      </c>
      <c r="BN72" s="192">
        <f t="shared" ca="1" si="79"/>
        <v>60</v>
      </c>
      <c r="BO72" s="192">
        <f t="shared" ca="1" si="79"/>
        <v>50</v>
      </c>
      <c r="BP72" s="192" t="str">
        <f t="shared" ca="1" si="79"/>
        <v>V7</v>
      </c>
      <c r="BQ72" s="192" t="str">
        <f t="shared" ca="1" si="79"/>
        <v>Targus</v>
      </c>
      <c r="BR72" s="192" t="str">
        <f t="shared" ca="1" si="79"/>
        <v>Lenovo</v>
      </c>
      <c r="BS72" s="192" t="str">
        <f t="shared" ca="1" si="79"/>
        <v>Lenovo</v>
      </c>
      <c r="BT72" s="192" t="str">
        <f t="shared" ca="1" si="79"/>
        <v>V7 Elite Sleeve 14"</v>
      </c>
      <c r="BU72" s="192" t="str">
        <f t="shared" ca="1" si="79"/>
        <v>Targus Privacy Screen 14"</v>
      </c>
      <c r="BV72" s="192" t="str">
        <f t="shared" ca="1" si="79"/>
        <v>Power adapter USB-C 45w</v>
      </c>
      <c r="BW72" s="192" t="str">
        <f t="shared" ca="1" si="79"/>
        <v>ThinkPad USB-C Dock gen2</v>
      </c>
      <c r="BX72" s="192"/>
      <c r="BY72" s="192" t="str">
        <f t="shared" ca="1" si="74"/>
        <v>Foxway Education AB</v>
      </c>
      <c r="BZ72" s="192" t="str">
        <f t="shared" ca="1" si="74"/>
        <v>Lenovo</v>
      </c>
      <c r="CA72" s="185"/>
      <c r="CB72" s="185"/>
      <c r="CC72" s="185"/>
      <c r="CD72" s="185"/>
      <c r="CE72" s="185"/>
      <c r="CF72" s="185"/>
      <c r="CG72" s="185"/>
      <c r="CH72" s="185"/>
      <c r="CI72" s="185"/>
      <c r="CJ72" s="185"/>
      <c r="CK72" s="185"/>
      <c r="CL72" s="185"/>
      <c r="CM72" s="185"/>
      <c r="CN72" s="185"/>
    </row>
    <row r="73" spans="2:92" ht="24" customHeight="1" outlineLevel="1" x14ac:dyDescent="0.35">
      <c r="C73" s="61" t="s">
        <v>37</v>
      </c>
      <c r="D73" s="64"/>
      <c r="F73" s="80" t="str">
        <f t="shared" si="75"/>
        <v/>
      </c>
      <c r="G73" s="81" t="str">
        <f t="shared" ca="1" si="76"/>
        <v>Ja</v>
      </c>
      <c r="H73" s="81" t="str">
        <f t="shared" ca="1" si="76"/>
        <v>Ja</v>
      </c>
      <c r="I73" s="120" t="str">
        <f t="shared" ca="1" si="76"/>
        <v>Ja</v>
      </c>
      <c r="J73" s="62"/>
      <c r="Q73" s="185">
        <f t="shared" si="53"/>
        <v>0</v>
      </c>
      <c r="R73" s="185">
        <f t="shared" si="54"/>
        <v>0</v>
      </c>
      <c r="S73" s="185">
        <f t="shared" si="55"/>
        <v>0</v>
      </c>
      <c r="T73" s="185">
        <f t="shared" si="56"/>
        <v>0</v>
      </c>
      <c r="U73" s="185">
        <f t="shared" si="57"/>
        <v>0</v>
      </c>
      <c r="V73" s="185">
        <f t="shared" si="58"/>
        <v>0</v>
      </c>
      <c r="W73" s="185">
        <f t="shared" si="59"/>
        <v>0</v>
      </c>
      <c r="X73" s="185">
        <f t="shared" si="60"/>
        <v>0</v>
      </c>
      <c r="Y73" s="185">
        <f t="shared" si="61"/>
        <v>0</v>
      </c>
      <c r="Z73" s="196">
        <f t="shared" ca="1" si="62"/>
        <v>11210</v>
      </c>
      <c r="AA73" s="185" t="str">
        <f t="shared" ca="1" si="63"/>
        <v>Offererad produktnr. 03Foxway Education AB</v>
      </c>
      <c r="AB73" s="185"/>
      <c r="AC73" s="185" t="b">
        <f ca="1">IFERROR(IF(D63="",TRUE,
IF(OR(D63=$CB$12,D63=$CB$13),IF(LEFT(AS73,FIND(" ",AS73)-1)=D63,TRUE,FALSE),
IF(OFFSET(Processor!$AB$1,MATCH($AS73,Processor!$AA$2:$AA$23,0),MATCH(LEFT(D63,FIND(" ",D63)-1),Processor!$AC$1:$AG$1,0))&gt;=
OFFSET(Processor!$AB$1,MATCH(D63,Processor!$AA$2:$AA$23,0),MATCH(LEFT(D63,FIND(" ",D63)-1),Processor!$AC$1:$AG$1,0)),TRUE,FALSE))),FALSE)</f>
        <v>1</v>
      </c>
      <c r="AD73" s="185" t="b">
        <f t="shared" si="64"/>
        <v>1</v>
      </c>
      <c r="AE73" s="185" t="b">
        <f t="shared" si="65"/>
        <v>1</v>
      </c>
      <c r="AF73" s="185" t="b">
        <f>IF($D$61="",TRUE,IF(COUNTIF(Processor!$I$2:$I$9,$D$61)&gt;0,AND(AV73&gt;INDEX(Processor!$J$2:$J$9,MATCH($D$61,Processor!$I$2:$I$9,0)),AV73&lt;INDEX(Processor!$K$2:$K$9,MATCH($D$61,Processor!$I$2:$I$9,0))),IF(AV73=$D$61,TRUE,FALSE)))</f>
        <v>1</v>
      </c>
      <c r="AG73" s="185" t="b">
        <f t="shared" si="66"/>
        <v>1</v>
      </c>
      <c r="AH73" s="185" t="b">
        <f t="shared" si="67"/>
        <v>1</v>
      </c>
      <c r="AI73" s="185" t="b">
        <f t="shared" si="68"/>
        <v>1</v>
      </c>
      <c r="AJ73" s="185" t="b">
        <f t="shared" si="69"/>
        <v>1</v>
      </c>
      <c r="AK73" s="185" t="b">
        <f t="shared" si="70"/>
        <v>1</v>
      </c>
      <c r="AL73" s="185" t="b">
        <f>IFERROR(IF($D72="",TRUE,IF(MID(BC73,LEN(BC73)-2,1)*1&gt;=MID($D72,LEN($D72)-2,1)*1,TRUE,FALSE)),FALSE)</f>
        <v>1</v>
      </c>
      <c r="AM73" s="185" t="b">
        <f>IF(D71="",TRUE,IF(BB73&gt;=D71,TRUE,FALSE))</f>
        <v>1</v>
      </c>
      <c r="AN73" s="185"/>
      <c r="AO73" s="185"/>
      <c r="AP73" s="185" t="s">
        <v>212</v>
      </c>
      <c r="AQ73" s="185">
        <v>1</v>
      </c>
      <c r="AR73" s="185" t="str">
        <f t="shared" ca="1" si="77"/>
        <v>1920x1080</v>
      </c>
      <c r="AS73" s="185" t="str">
        <f t="shared" ca="1" si="77"/>
        <v>AMD Ryzen 7</v>
      </c>
      <c r="AT73" s="185">
        <f t="shared" ca="1" si="77"/>
        <v>16</v>
      </c>
      <c r="AU73" s="185">
        <f t="shared" ca="1" si="77"/>
        <v>512</v>
      </c>
      <c r="AV73" s="185">
        <f t="shared" ca="1" si="77"/>
        <v>14</v>
      </c>
      <c r="AW73" s="185">
        <f t="shared" ca="1" si="77"/>
        <v>4</v>
      </c>
      <c r="AX73" s="185">
        <f t="shared" ca="1" si="77"/>
        <v>2</v>
      </c>
      <c r="AY73" s="185" t="str">
        <f t="shared" ca="1" si="77"/>
        <v>Ja, HDMI-port finns</v>
      </c>
      <c r="AZ73" s="185" t="str">
        <f t="shared" ca="1" si="77"/>
        <v>802.11a/b/g/n/ac/ax</v>
      </c>
      <c r="BA73" s="185">
        <f t="shared" ca="1" si="77"/>
        <v>5.2</v>
      </c>
      <c r="BB73" s="185">
        <f t="shared" ca="1" si="78"/>
        <v>11</v>
      </c>
      <c r="BC73" s="185" t="str">
        <f t="shared" ca="1" si="78"/>
        <v>Version 8.0</v>
      </c>
      <c r="BD73" s="185" t="str">
        <f t="shared" ca="1" si="78"/>
        <v>Ja</v>
      </c>
      <c r="BE73" s="185" t="str">
        <f t="shared" ca="1" si="78"/>
        <v>Windows 11 Pro</v>
      </c>
      <c r="BF73" s="185" t="str">
        <f t="shared" ca="1" si="78"/>
        <v>L14 G4 AMD</v>
      </c>
      <c r="BG73" s="185">
        <f t="shared" ca="1" si="78"/>
        <v>11210</v>
      </c>
      <c r="BH73" s="192">
        <f t="shared" ca="1" si="78"/>
        <v>78</v>
      </c>
      <c r="BI73" s="192">
        <f t="shared" ca="1" si="78"/>
        <v>252</v>
      </c>
      <c r="BJ73" s="192">
        <f t="shared" ca="1" si="78"/>
        <v>210</v>
      </c>
      <c r="BK73" s="192">
        <f t="shared" ca="1" si="78"/>
        <v>1824</v>
      </c>
      <c r="BL73" s="192">
        <f t="shared" ca="1" si="79"/>
        <v>290</v>
      </c>
      <c r="BM73" s="192">
        <f t="shared" ca="1" si="79"/>
        <v>185</v>
      </c>
      <c r="BN73" s="192">
        <f t="shared" ca="1" si="79"/>
        <v>60</v>
      </c>
      <c r="BO73" s="192">
        <f t="shared" ca="1" si="79"/>
        <v>50</v>
      </c>
      <c r="BP73" s="192" t="str">
        <f t="shared" ca="1" si="79"/>
        <v>V7</v>
      </c>
      <c r="BQ73" s="192" t="str">
        <f t="shared" ca="1" si="79"/>
        <v>Targus</v>
      </c>
      <c r="BR73" s="192" t="str">
        <f t="shared" ca="1" si="79"/>
        <v>Lenovo</v>
      </c>
      <c r="BS73" s="192" t="str">
        <f t="shared" ca="1" si="79"/>
        <v>Lenovo</v>
      </c>
      <c r="BT73" s="192" t="str">
        <f t="shared" ca="1" si="79"/>
        <v>V7 Elite Sleeve 14"</v>
      </c>
      <c r="BU73" s="192" t="str">
        <f t="shared" ca="1" si="79"/>
        <v>Targus Privacy Screen 14"</v>
      </c>
      <c r="BV73" s="192" t="str">
        <f t="shared" ca="1" si="79"/>
        <v>Power adapter USB-C 45w</v>
      </c>
      <c r="BW73" s="192" t="str">
        <f t="shared" ca="1" si="79"/>
        <v>ThinkPad USB-C Dock gen2</v>
      </c>
      <c r="BX73" s="192"/>
      <c r="BY73" s="192" t="str">
        <f t="shared" ca="1" si="74"/>
        <v>Foxway Education AB</v>
      </c>
      <c r="BZ73" s="192" t="str">
        <f t="shared" ca="1" si="74"/>
        <v>Lenovo</v>
      </c>
      <c r="CA73" s="185"/>
      <c r="CB73" s="185"/>
      <c r="CC73" s="185"/>
      <c r="CD73" s="185"/>
      <c r="CE73" s="185"/>
      <c r="CF73" s="185"/>
      <c r="CG73" s="185"/>
      <c r="CH73" s="185"/>
      <c r="CI73" s="185"/>
      <c r="CJ73" s="185"/>
      <c r="CK73" s="185"/>
      <c r="CL73" s="185"/>
      <c r="CM73" s="185"/>
      <c r="CN73" s="185"/>
    </row>
    <row r="74" spans="2:92" ht="24" customHeight="1" outlineLevel="1" x14ac:dyDescent="0.35">
      <c r="C74" s="66"/>
      <c r="D74" s="67"/>
      <c r="F74" s="62"/>
      <c r="G74" s="62"/>
      <c r="H74" s="62"/>
      <c r="I74" s="62"/>
      <c r="J74" s="62"/>
      <c r="Q74" s="185">
        <f t="shared" si="53"/>
        <v>0</v>
      </c>
      <c r="R74" s="185">
        <f t="shared" si="54"/>
        <v>0</v>
      </c>
      <c r="S74" s="185">
        <f t="shared" si="55"/>
        <v>0</v>
      </c>
      <c r="T74" s="185">
        <f t="shared" si="56"/>
        <v>0</v>
      </c>
      <c r="U74" s="185">
        <f t="shared" si="57"/>
        <v>0</v>
      </c>
      <c r="V74" s="185">
        <f t="shared" si="58"/>
        <v>0</v>
      </c>
      <c r="W74" s="185">
        <f t="shared" si="59"/>
        <v>0</v>
      </c>
      <c r="X74" s="185">
        <f t="shared" si="60"/>
        <v>0</v>
      </c>
      <c r="Y74" s="185">
        <f t="shared" si="61"/>
        <v>0</v>
      </c>
      <c r="Z74" s="196">
        <f t="shared" ca="1" si="62"/>
        <v>10577</v>
      </c>
      <c r="AA74" s="185" t="str">
        <f t="shared" ca="1" si="63"/>
        <v>Offererad produktnr. 04Foxway Education AB</v>
      </c>
      <c r="AB74" s="185"/>
      <c r="AC74" s="185" t="b">
        <f ca="1">IFERROR(IF(D63="",TRUE,
IF(OR(D63=$CB$12,D63=$CB$13),IF(LEFT(AS74,FIND(" ",AS74)-1)=D63,TRUE,FALSE),
IF(OFFSET(Processor!$AB$1,MATCH($AS74,Processor!$AA$2:$AA$23,0),MATCH(LEFT(D63,FIND(" ",D63)-1),Processor!$AC$1:$AG$1,0))&gt;=
OFFSET(Processor!$AB$1,MATCH(D63,Processor!$AA$2:$AA$23,0),MATCH(LEFT(D63,FIND(" ",D63)-1),Processor!$AC$1:$AG$1,0)),TRUE,FALSE))),FALSE)</f>
        <v>1</v>
      </c>
      <c r="AD74" s="185" t="b">
        <f t="shared" si="64"/>
        <v>1</v>
      </c>
      <c r="AE74" s="185" t="b">
        <f t="shared" si="65"/>
        <v>1</v>
      </c>
      <c r="AF74" s="185" t="b">
        <f>IF($D$61="",TRUE,IF(COUNTIF(Processor!$I$2:$I$9,$D$61)&gt;0,AND(AV74&gt;INDEX(Processor!$J$2:$J$9,MATCH($D$61,Processor!$I$2:$I$9,0)),AV74&lt;INDEX(Processor!$K$2:$K$9,MATCH($D$61,Processor!$I$2:$I$9,0))),IF(AV74=$D$61,TRUE,FALSE)))</f>
        <v>1</v>
      </c>
      <c r="AG74" s="185" t="b">
        <f t="shared" si="66"/>
        <v>1</v>
      </c>
      <c r="AH74" s="185" t="b">
        <f t="shared" si="67"/>
        <v>1</v>
      </c>
      <c r="AI74" s="185" t="b">
        <f t="shared" si="68"/>
        <v>1</v>
      </c>
      <c r="AJ74" s="185" t="b">
        <f t="shared" si="69"/>
        <v>1</v>
      </c>
      <c r="AK74" s="185" t="b">
        <f t="shared" si="70"/>
        <v>1</v>
      </c>
      <c r="AL74" s="185" t="b">
        <f>IFERROR(IF($D72="",TRUE,IF(MID(BC74,LEN(BC74)-2,1)*1&gt;=MID($D72,LEN($D72)-2,1)*1,TRUE,FALSE)),FALSE)</f>
        <v>1</v>
      </c>
      <c r="AM74" s="185" t="b">
        <f>IF(D71="",TRUE,IF(BB74&gt;=D71,TRUE,FALSE))</f>
        <v>1</v>
      </c>
      <c r="AN74" s="185"/>
      <c r="AO74" s="185"/>
      <c r="AP74" s="185" t="s">
        <v>213</v>
      </c>
      <c r="AQ74" s="185">
        <v>1</v>
      </c>
      <c r="AR74" s="185" t="str">
        <f t="shared" ca="1" si="77"/>
        <v>1920x1080</v>
      </c>
      <c r="AS74" s="185" t="str">
        <f t="shared" ca="1" si="77"/>
        <v>Intel i7</v>
      </c>
      <c r="AT74" s="185">
        <f t="shared" ca="1" si="77"/>
        <v>16</v>
      </c>
      <c r="AU74" s="185">
        <f t="shared" ca="1" si="77"/>
        <v>512</v>
      </c>
      <c r="AV74" s="185">
        <f t="shared" ca="1" si="77"/>
        <v>14</v>
      </c>
      <c r="AW74" s="185">
        <f t="shared" ca="1" si="77"/>
        <v>4</v>
      </c>
      <c r="AX74" s="185">
        <f t="shared" ca="1" si="77"/>
        <v>2</v>
      </c>
      <c r="AY74" s="185" t="str">
        <f t="shared" ca="1" si="77"/>
        <v>Ja, HDMI-port finns</v>
      </c>
      <c r="AZ74" s="185" t="str">
        <f t="shared" ca="1" si="77"/>
        <v>802.11a/b/g/n/ac/ax</v>
      </c>
      <c r="BA74" s="185">
        <f t="shared" ca="1" si="77"/>
        <v>5.3</v>
      </c>
      <c r="BB74" s="185">
        <f t="shared" ca="1" si="78"/>
        <v>11</v>
      </c>
      <c r="BC74" s="185" t="str">
        <f t="shared" ca="1" si="78"/>
        <v>Version 8.0</v>
      </c>
      <c r="BD74" s="185" t="str">
        <f t="shared" ca="1" si="78"/>
        <v>Ja</v>
      </c>
      <c r="BE74" s="185" t="str">
        <f t="shared" ca="1" si="78"/>
        <v>Windows 11 Pro</v>
      </c>
      <c r="BF74" s="185" t="str">
        <f t="shared" ca="1" si="78"/>
        <v>Probook 445 G10</v>
      </c>
      <c r="BG74" s="185">
        <f t="shared" ca="1" si="78"/>
        <v>10577</v>
      </c>
      <c r="BH74" s="192">
        <f t="shared" ca="1" si="78"/>
        <v>93</v>
      </c>
      <c r="BI74" s="192">
        <f t="shared" ca="1" si="78"/>
        <v>252</v>
      </c>
      <c r="BJ74" s="192">
        <f t="shared" ca="1" si="78"/>
        <v>138</v>
      </c>
      <c r="BK74" s="192">
        <f t="shared" ca="1" si="78"/>
        <v>1150</v>
      </c>
      <c r="BL74" s="192">
        <f t="shared" ca="1" si="79"/>
        <v>192</v>
      </c>
      <c r="BM74" s="192">
        <f t="shared" ca="1" si="79"/>
        <v>185</v>
      </c>
      <c r="BN74" s="192">
        <f t="shared" ca="1" si="79"/>
        <v>60</v>
      </c>
      <c r="BO74" s="192">
        <f t="shared" ca="1" si="79"/>
        <v>50</v>
      </c>
      <c r="BP74" s="192" t="str">
        <f t="shared" ca="1" si="79"/>
        <v>V7</v>
      </c>
      <c r="BQ74" s="192" t="str">
        <f t="shared" ca="1" si="79"/>
        <v>Targus</v>
      </c>
      <c r="BR74" s="192" t="str">
        <f t="shared" ca="1" si="79"/>
        <v>HP</v>
      </c>
      <c r="BS74" s="192" t="str">
        <f t="shared" ca="1" si="79"/>
        <v>HP</v>
      </c>
      <c r="BT74" s="192" t="str">
        <f t="shared" ca="1" si="79"/>
        <v>V7 Elite Sleeve 14"</v>
      </c>
      <c r="BU74" s="192" t="str">
        <f t="shared" ca="1" si="79"/>
        <v>Targus Privacy Screen 14"</v>
      </c>
      <c r="BV74" s="192" t="str">
        <f t="shared" ca="1" si="79"/>
        <v>HP 45W Smart AC Adapter</v>
      </c>
      <c r="BW74" s="192" t="str">
        <f t="shared" ca="1" si="79"/>
        <v>HP USB-C Dock G5</v>
      </c>
      <c r="BX74" s="192"/>
      <c r="BY74" s="192" t="str">
        <f t="shared" ca="1" si="74"/>
        <v>Foxway Education AB</v>
      </c>
      <c r="BZ74" s="192" t="str">
        <f t="shared" ca="1" si="74"/>
        <v>HP</v>
      </c>
      <c r="CA74" s="185"/>
      <c r="CB74" s="185"/>
      <c r="CC74" s="185"/>
      <c r="CD74" s="185"/>
      <c r="CE74" s="185"/>
      <c r="CF74" s="185"/>
      <c r="CG74" s="185"/>
      <c r="CH74" s="185"/>
      <c r="CI74" s="185"/>
      <c r="CJ74" s="185"/>
      <c r="CK74" s="185"/>
      <c r="CL74" s="185"/>
      <c r="CM74" s="185"/>
      <c r="CN74" s="185"/>
    </row>
    <row r="75" spans="2:92" ht="26.25" customHeight="1" outlineLevel="1" x14ac:dyDescent="0.35">
      <c r="C75" s="212" t="s">
        <v>366</v>
      </c>
      <c r="D75" s="213"/>
      <c r="E75" s="213"/>
      <c r="F75" s="213"/>
      <c r="G75" s="213"/>
      <c r="H75" s="213"/>
      <c r="I75" s="214"/>
      <c r="J75" s="68"/>
      <c r="Q75" s="185">
        <f t="shared" si="53"/>
        <v>0</v>
      </c>
      <c r="R75" s="185">
        <f t="shared" si="54"/>
        <v>0</v>
      </c>
      <c r="S75" s="185">
        <f t="shared" si="55"/>
        <v>0</v>
      </c>
      <c r="T75" s="185">
        <f t="shared" si="56"/>
        <v>0</v>
      </c>
      <c r="U75" s="185">
        <f t="shared" si="57"/>
        <v>0</v>
      </c>
      <c r="V75" s="185">
        <f t="shared" si="58"/>
        <v>0</v>
      </c>
      <c r="W75" s="185">
        <f t="shared" si="59"/>
        <v>0</v>
      </c>
      <c r="X75" s="185">
        <f t="shared" si="60"/>
        <v>0</v>
      </c>
      <c r="Y75" s="185">
        <f t="shared" si="61"/>
        <v>0</v>
      </c>
      <c r="Z75" s="196">
        <f t="shared" ca="1" si="62"/>
        <v>6420</v>
      </c>
      <c r="AA75" s="185" t="str">
        <f t="shared" ca="1" si="63"/>
        <v>Offererad produktnr. 01Qlosr Göteborg AB</v>
      </c>
      <c r="AB75" s="185"/>
      <c r="AC75" s="185" t="b">
        <f ca="1">IFERROR(IF(D63="",TRUE,
IF(OR(D63=$CB$12,D63=$CB$13),IF(LEFT(AS75,FIND(" ",AS75)-1)=D63,TRUE,FALSE),
IF(OFFSET(Processor!$AB$1,MATCH($AS75,Processor!$AA$2:$AA$23,0),MATCH(LEFT(D63,FIND(" ",D63)-1),Processor!$AC$1:$AG$1,0))&gt;=
OFFSET(Processor!$AB$1,MATCH(D63,Processor!$AA$2:$AA$23,0),MATCH(LEFT(D63,FIND(" ",D63)-1),Processor!$AC$1:$AG$1,0)),TRUE,FALSE))),FALSE)</f>
        <v>1</v>
      </c>
      <c r="AD75" s="185" t="b">
        <f t="shared" si="64"/>
        <v>1</v>
      </c>
      <c r="AE75" s="185" t="b">
        <f t="shared" si="65"/>
        <v>1</v>
      </c>
      <c r="AF75" s="185" t="b">
        <f>IF($D$61="",TRUE,IF(COUNTIF(Processor!$I$2:$I$9,$D$61)&gt;0,AND(AV75&gt;INDEX(Processor!$J$2:$J$9,MATCH($D$61,Processor!$I$2:$I$9,0)),AV75&lt;INDEX(Processor!$K$2:$K$9,MATCH($D$61,Processor!$I$2:$I$9,0))),IF(AV75=$D$61,TRUE,FALSE)))</f>
        <v>1</v>
      </c>
      <c r="AG75" s="185" t="b">
        <f t="shared" si="66"/>
        <v>1</v>
      </c>
      <c r="AH75" s="185" t="b">
        <f t="shared" si="67"/>
        <v>1</v>
      </c>
      <c r="AI75" s="185" t="b">
        <f t="shared" si="68"/>
        <v>1</v>
      </c>
      <c r="AJ75" s="185" t="b">
        <f t="shared" si="69"/>
        <v>1</v>
      </c>
      <c r="AK75" s="185" t="b">
        <f t="shared" si="70"/>
        <v>1</v>
      </c>
      <c r="AL75" s="185" t="b">
        <f>IFERROR(IF($D72="",TRUE,IF(MID(BC75,LEN(BC75)-2,1)*1&gt;=MID($D72,LEN($D72)-2,1)*1,TRUE,FALSE)),FALSE)</f>
        <v>1</v>
      </c>
      <c r="AM75" s="185" t="b">
        <f>IF(D71="",TRUE,IF(BB75&gt;=D71,TRUE,FALSE))</f>
        <v>1</v>
      </c>
      <c r="AN75" s="185"/>
      <c r="AO75" s="185"/>
      <c r="AP75" s="185" t="s">
        <v>552</v>
      </c>
      <c r="AQ75" s="185">
        <v>1</v>
      </c>
      <c r="AR75" s="185" t="str">
        <f t="shared" ca="1" si="77"/>
        <v>1920x1080</v>
      </c>
      <c r="AS75" s="185" t="str">
        <f t="shared" ca="1" si="77"/>
        <v>AMD Ryzen 5</v>
      </c>
      <c r="AT75" s="185">
        <f t="shared" ca="1" si="77"/>
        <v>8</v>
      </c>
      <c r="AU75" s="185">
        <f t="shared" ca="1" si="77"/>
        <v>256</v>
      </c>
      <c r="AV75" s="185">
        <f t="shared" ca="1" si="77"/>
        <v>14</v>
      </c>
      <c r="AW75" s="185">
        <f t="shared" ca="1" si="77"/>
        <v>4</v>
      </c>
      <c r="AX75" s="185">
        <f t="shared" ca="1" si="77"/>
        <v>1</v>
      </c>
      <c r="AY75" s="185" t="str">
        <f t="shared" ca="1" si="77"/>
        <v>Ja, HDMI-port finns</v>
      </c>
      <c r="AZ75" s="185" t="str">
        <f t="shared" ca="1" si="77"/>
        <v>802.11a/b/g/n/ac/ax</v>
      </c>
      <c r="BA75" s="185">
        <f t="shared" ca="1" si="77"/>
        <v>5</v>
      </c>
      <c r="BB75" s="185">
        <f t="shared" ca="1" si="78"/>
        <v>11</v>
      </c>
      <c r="BC75" s="185" t="str">
        <f t="shared" ca="1" si="78"/>
        <v>Version 8.0</v>
      </c>
      <c r="BD75" s="185" t="str">
        <f t="shared" ca="1" si="78"/>
        <v>Ja</v>
      </c>
      <c r="BE75" s="185" t="str">
        <f t="shared" ca="1" si="78"/>
        <v>Windows 10 Pro</v>
      </c>
      <c r="BF75" s="185" t="str">
        <f t="shared" ca="1" si="78"/>
        <v>ProBook 445 G8</v>
      </c>
      <c r="BG75" s="185">
        <f t="shared" ca="1" si="78"/>
        <v>6420</v>
      </c>
      <c r="BH75" s="192">
        <f t="shared" ca="1" si="78"/>
        <v>79</v>
      </c>
      <c r="BI75" s="192">
        <f t="shared" ca="1" si="78"/>
        <v>199</v>
      </c>
      <c r="BJ75" s="192">
        <f t="shared" ca="1" si="78"/>
        <v>106</v>
      </c>
      <c r="BK75" s="192">
        <f t="shared" ca="1" si="78"/>
        <v>949</v>
      </c>
      <c r="BL75" s="192">
        <f t="shared" ca="1" si="79"/>
        <v>151</v>
      </c>
      <c r="BM75" s="192">
        <f t="shared" ca="1" si="79"/>
        <v>70</v>
      </c>
      <c r="BN75" s="192">
        <f t="shared" ca="1" si="79"/>
        <v>25</v>
      </c>
      <c r="BO75" s="192">
        <f t="shared" ca="1" si="79"/>
        <v>25</v>
      </c>
      <c r="BP75" s="192" t="str">
        <f t="shared" ca="1" si="79"/>
        <v>HP</v>
      </c>
      <c r="BQ75" s="192" t="str">
        <f t="shared" ca="1" si="79"/>
        <v>HP</v>
      </c>
      <c r="BR75" s="192" t="str">
        <f t="shared" ca="1" si="79"/>
        <v>HP</v>
      </c>
      <c r="BS75" s="192" t="str">
        <f t="shared" ca="1" si="79"/>
        <v>HP</v>
      </c>
      <c r="BT75" s="192" t="str">
        <f t="shared" ca="1" si="79"/>
        <v>GBX2UW01AA</v>
      </c>
      <c r="BU75" s="192" t="str">
        <f t="shared" ca="1" si="79"/>
        <v>GBXJ6E65AA</v>
      </c>
      <c r="BV75" s="192" t="str">
        <f t="shared" ca="1" si="79"/>
        <v>GBXH6Y88AA</v>
      </c>
      <c r="BW75" s="192" t="str">
        <f t="shared" ca="1" si="79"/>
        <v>GBX5TW10AA</v>
      </c>
      <c r="BX75" s="192"/>
      <c r="BY75" s="192" t="str">
        <f t="shared" ca="1" si="74"/>
        <v>Qlosr Göteborg AB</v>
      </c>
      <c r="BZ75" s="192" t="str">
        <f t="shared" ca="1" si="74"/>
        <v>HP</v>
      </c>
      <c r="CA75" s="185"/>
      <c r="CB75" s="185"/>
      <c r="CC75" s="185"/>
      <c r="CD75" s="185"/>
      <c r="CE75" s="185"/>
      <c r="CF75" s="185"/>
      <c r="CG75" s="185"/>
      <c r="CH75" s="185"/>
      <c r="CI75" s="185"/>
      <c r="CJ75" s="185"/>
      <c r="CK75" s="185"/>
      <c r="CL75" s="185"/>
      <c r="CM75" s="185"/>
      <c r="CN75" s="185"/>
    </row>
    <row r="76" spans="2:92" ht="26.25" customHeight="1" outlineLevel="1" x14ac:dyDescent="0.35">
      <c r="B76" s="69" t="s">
        <v>53</v>
      </c>
      <c r="C76" s="115" t="s">
        <v>363</v>
      </c>
      <c r="D76" s="70"/>
      <c r="F76" s="161" t="str">
        <f t="shared" ref="F76:F87" si="80">IF(F$57="Inget antal angivet","",IFERROR(INDEX($AR$58:$BZ$85,MATCH(F$54,$AP$58:$AP$85,0),MATCH($B76,$AR$58:$BZ$58,0)),""))</f>
        <v/>
      </c>
      <c r="G76" s="162">
        <f t="shared" ref="G76:I87" ca="1" si="81">IFERROR(INDEX($AR$58:$BZ$85,MATCH(G$54,$AP$58:$AP$85,0),MATCH($B76,$AR$58:$BZ$58,0)),"")</f>
        <v>79</v>
      </c>
      <c r="H76" s="162">
        <f t="shared" ca="1" si="81"/>
        <v>123</v>
      </c>
      <c r="I76" s="162">
        <f t="shared" ca="1" si="81"/>
        <v>79</v>
      </c>
      <c r="J76" s="62"/>
      <c r="Q76" s="185">
        <f t="shared" si="53"/>
        <v>0</v>
      </c>
      <c r="R76" s="185">
        <f t="shared" si="54"/>
        <v>0</v>
      </c>
      <c r="S76" s="185">
        <f t="shared" si="55"/>
        <v>0</v>
      </c>
      <c r="T76" s="185">
        <f t="shared" si="56"/>
        <v>0</v>
      </c>
      <c r="U76" s="185">
        <f t="shared" si="57"/>
        <v>0</v>
      </c>
      <c r="V76" s="185">
        <f t="shared" si="58"/>
        <v>0</v>
      </c>
      <c r="W76" s="185">
        <f t="shared" si="59"/>
        <v>0</v>
      </c>
      <c r="X76" s="185">
        <f t="shared" si="60"/>
        <v>0</v>
      </c>
      <c r="Y76" s="185">
        <f t="shared" si="61"/>
        <v>0</v>
      </c>
      <c r="Z76" s="196">
        <f t="shared" ca="1" si="62"/>
        <v>9600</v>
      </c>
      <c r="AA76" s="185" t="str">
        <f t="shared" ca="1" si="63"/>
        <v>Offererad produktnr. 02Qlosr Göteborg AB</v>
      </c>
      <c r="AB76" s="185"/>
      <c r="AC76" s="185" t="b">
        <f ca="1">IFERROR(IF(D63="",TRUE,
IF(OR(D63=$CB$12,D63=$CB$13),IF(LEFT(AS76,FIND(" ",AS76)-1)=D63,TRUE,FALSE),
IF(OFFSET(Processor!$AB$1,MATCH($AS76,Processor!$AA$2:$AA$23,0),MATCH(LEFT(D63,FIND(" ",D63)-1),Processor!$AC$1:$AG$1,0))&gt;=
OFFSET(Processor!$AB$1,MATCH(D63,Processor!$AA$2:$AA$23,0),MATCH(LEFT(D63,FIND(" ",D63)-1),Processor!$AC$1:$AG$1,0)),TRUE,FALSE))),FALSE)</f>
        <v>1</v>
      </c>
      <c r="AD76" s="185" t="b">
        <f t="shared" si="64"/>
        <v>1</v>
      </c>
      <c r="AE76" s="185" t="b">
        <f t="shared" si="65"/>
        <v>1</v>
      </c>
      <c r="AF76" s="185" t="b">
        <f>IF($D$61="",TRUE,IF(COUNTIF(Processor!$I$2:$I$9,$D$61)&gt;0,AND(AV76&gt;INDEX(Processor!$J$2:$J$9,MATCH($D$61,Processor!$I$2:$I$9,0)),AV76&lt;INDEX(Processor!$K$2:$K$9,MATCH($D$61,Processor!$I$2:$I$9,0))),IF(AV76=$D$61,TRUE,FALSE)))</f>
        <v>1</v>
      </c>
      <c r="AG76" s="185" t="b">
        <f t="shared" si="66"/>
        <v>1</v>
      </c>
      <c r="AH76" s="185" t="b">
        <f t="shared" si="67"/>
        <v>1</v>
      </c>
      <c r="AI76" s="185" t="b">
        <f t="shared" si="68"/>
        <v>1</v>
      </c>
      <c r="AJ76" s="185" t="b">
        <f t="shared" si="69"/>
        <v>1</v>
      </c>
      <c r="AK76" s="185" t="b">
        <f t="shared" si="70"/>
        <v>1</v>
      </c>
      <c r="AL76" s="185" t="b">
        <f>IFERROR(IF($D72="",TRUE,IF(MID(BC76,LEN(BC76)-2,1)*1&gt;=MID($D72,LEN($D72)-2,1)*1,TRUE,FALSE)),FALSE)</f>
        <v>1</v>
      </c>
      <c r="AM76" s="185" t="b">
        <f>IF(D71="",TRUE,IF(BB76&gt;=D71,TRUE,FALSE))</f>
        <v>1</v>
      </c>
      <c r="AN76" s="185"/>
      <c r="AO76" s="185"/>
      <c r="AP76" s="185" t="s">
        <v>553</v>
      </c>
      <c r="AQ76" s="185">
        <v>1</v>
      </c>
      <c r="AR76" s="185" t="str">
        <f t="shared" ca="1" si="77"/>
        <v>1920x1080</v>
      </c>
      <c r="AS76" s="185" t="str">
        <f t="shared" ca="1" si="77"/>
        <v>Intel i5</v>
      </c>
      <c r="AT76" s="185">
        <f t="shared" ca="1" si="77"/>
        <v>8</v>
      </c>
      <c r="AU76" s="185">
        <f t="shared" ca="1" si="77"/>
        <v>256</v>
      </c>
      <c r="AV76" s="185">
        <f t="shared" ca="1" si="77"/>
        <v>14</v>
      </c>
      <c r="AW76" s="185">
        <f t="shared" ca="1" si="77"/>
        <v>2</v>
      </c>
      <c r="AX76" s="185">
        <f t="shared" ca="1" si="77"/>
        <v>2</v>
      </c>
      <c r="AY76" s="185" t="str">
        <f t="shared" ca="1" si="77"/>
        <v>Ja, HDMI-port finns</v>
      </c>
      <c r="AZ76" s="185" t="str">
        <f t="shared" ca="1" si="77"/>
        <v>802.11a/b/g/n/ac/ax</v>
      </c>
      <c r="BA76" s="185">
        <f t="shared" ca="1" si="77"/>
        <v>5.3</v>
      </c>
      <c r="BB76" s="185">
        <f t="shared" ca="1" si="78"/>
        <v>11</v>
      </c>
      <c r="BC76" s="185" t="str">
        <f t="shared" ca="1" si="78"/>
        <v>Version 8.0</v>
      </c>
      <c r="BD76" s="185" t="str">
        <f t="shared" ca="1" si="78"/>
        <v>Ja</v>
      </c>
      <c r="BE76" s="185" t="str">
        <f t="shared" ca="1" si="78"/>
        <v>Windows 11 Pro</v>
      </c>
      <c r="BF76" s="185" t="str">
        <f t="shared" ca="1" si="78"/>
        <v>Dell Latitude 5440</v>
      </c>
      <c r="BG76" s="185">
        <f t="shared" ca="1" si="78"/>
        <v>9600</v>
      </c>
      <c r="BH76" s="192">
        <f t="shared" ca="1" si="78"/>
        <v>79</v>
      </c>
      <c r="BI76" s="192">
        <f t="shared" ca="1" si="78"/>
        <v>199</v>
      </c>
      <c r="BJ76" s="192">
        <f t="shared" ca="1" si="78"/>
        <v>182</v>
      </c>
      <c r="BK76" s="192">
        <f t="shared" ca="1" si="78"/>
        <v>1138</v>
      </c>
      <c r="BL76" s="192">
        <f t="shared" ca="1" si="79"/>
        <v>151</v>
      </c>
      <c r="BM76" s="192">
        <f t="shared" ca="1" si="79"/>
        <v>70</v>
      </c>
      <c r="BN76" s="192">
        <f t="shared" ca="1" si="79"/>
        <v>25</v>
      </c>
      <c r="BO76" s="192">
        <f t="shared" ca="1" si="79"/>
        <v>25</v>
      </c>
      <c r="BP76" s="192" t="str">
        <f t="shared" ca="1" si="79"/>
        <v>HP</v>
      </c>
      <c r="BQ76" s="192" t="str">
        <f t="shared" ca="1" si="79"/>
        <v>HP</v>
      </c>
      <c r="BR76" s="192" t="str">
        <f t="shared" ca="1" si="79"/>
        <v>Dell</v>
      </c>
      <c r="BS76" s="192" t="str">
        <f t="shared" ca="1" si="79"/>
        <v>HP</v>
      </c>
      <c r="BT76" s="192" t="str">
        <f t="shared" ca="1" si="79"/>
        <v>GBX3E2U7AA</v>
      </c>
      <c r="BU76" s="192" t="str">
        <f t="shared" ca="1" si="79"/>
        <v>GBXJ6E65AA</v>
      </c>
      <c r="BV76" s="192" t="str">
        <f t="shared" ca="1" si="79"/>
        <v>GBXUSBC65W-2</v>
      </c>
      <c r="BW76" s="192" t="str">
        <f t="shared" ca="1" si="79"/>
        <v>GBX5TW10AA</v>
      </c>
      <c r="BX76" s="192"/>
      <c r="BY76" s="192" t="str">
        <f t="shared" ca="1" si="74"/>
        <v>Qlosr Göteborg AB</v>
      </c>
      <c r="BZ76" s="192" t="str">
        <f t="shared" ca="1" si="74"/>
        <v>Dell</v>
      </c>
      <c r="CA76" s="185"/>
      <c r="CB76" s="185"/>
      <c r="CC76" s="185"/>
      <c r="CD76" s="185"/>
      <c r="CE76" s="185"/>
      <c r="CF76" s="185"/>
      <c r="CG76" s="185"/>
      <c r="CH76" s="185"/>
      <c r="CI76" s="185"/>
      <c r="CJ76" s="185"/>
      <c r="CK76" s="185"/>
      <c r="CL76" s="185"/>
      <c r="CM76" s="185"/>
      <c r="CN76" s="185"/>
    </row>
    <row r="77" spans="2:92" ht="26.25" customHeight="1" outlineLevel="1" x14ac:dyDescent="0.35">
      <c r="B77" s="69" t="s">
        <v>340</v>
      </c>
      <c r="C77" s="96" t="s">
        <v>51</v>
      </c>
      <c r="D77" s="131" t="s">
        <v>719</v>
      </c>
      <c r="F77" s="84" t="str">
        <f t="shared" si="80"/>
        <v/>
      </c>
      <c r="G77" s="85" t="str">
        <f t="shared" ca="1" si="81"/>
        <v>HP</v>
      </c>
      <c r="H77" s="85" t="str">
        <f t="shared" ca="1" si="81"/>
        <v>Cirafon</v>
      </c>
      <c r="I77" s="85" t="str">
        <f t="shared" ca="1" si="81"/>
        <v>HP</v>
      </c>
      <c r="J77" s="62"/>
      <c r="Q77" s="185">
        <f t="shared" si="53"/>
        <v>0</v>
      </c>
      <c r="R77" s="185">
        <f t="shared" si="54"/>
        <v>0</v>
      </c>
      <c r="S77" s="185">
        <f t="shared" si="55"/>
        <v>0</v>
      </c>
      <c r="T77" s="185">
        <f t="shared" si="56"/>
        <v>0</v>
      </c>
      <c r="U77" s="185">
        <f t="shared" si="57"/>
        <v>0</v>
      </c>
      <c r="V77" s="185">
        <f t="shared" si="58"/>
        <v>0</v>
      </c>
      <c r="W77" s="185">
        <f t="shared" si="59"/>
        <v>0</v>
      </c>
      <c r="X77" s="185">
        <f t="shared" si="60"/>
        <v>0</v>
      </c>
      <c r="Y77" s="185">
        <f t="shared" si="61"/>
        <v>0</v>
      </c>
      <c r="Z77" s="196">
        <f t="shared" ca="1" si="62"/>
        <v>7640</v>
      </c>
      <c r="AA77" s="185" t="str">
        <f t="shared" ca="1" si="63"/>
        <v>Offererad produktnr. 03Qlosr Göteborg AB</v>
      </c>
      <c r="AB77" s="185"/>
      <c r="AC77" s="185" t="b">
        <f ca="1">IFERROR(IF(D63="",TRUE,
IF(OR(D63=$CB$12,D63=$CB$13),IF(LEFT(AS77,FIND(" ",AS77)-1)=D63,TRUE,FALSE),
IF(OFFSET(Processor!$AB$1,MATCH($AS77,Processor!$AA$2:$AA$23,0),MATCH(LEFT(D63,FIND(" ",D63)-1),Processor!$AC$1:$AG$1,0))&gt;=
OFFSET(Processor!$AB$1,MATCH(D63,Processor!$AA$2:$AA$23,0),MATCH(LEFT(D63,FIND(" ",D63)-1),Processor!$AC$1:$AG$1,0)),TRUE,FALSE))),FALSE)</f>
        <v>1</v>
      </c>
      <c r="AD77" s="185" t="b">
        <f t="shared" si="64"/>
        <v>1</v>
      </c>
      <c r="AE77" s="185" t="b">
        <f t="shared" si="65"/>
        <v>1</v>
      </c>
      <c r="AF77" s="185" t="b">
        <f>IF($D$61="",TRUE,IF(COUNTIF(Processor!$I$2:$I$9,$D$61)&gt;0,AND(AV77&gt;INDEX(Processor!$J$2:$J$9,MATCH($D$61,Processor!$I$2:$I$9,0)),AV77&lt;INDEX(Processor!$K$2:$K$9,MATCH($D$61,Processor!$I$2:$I$9,0))),IF(AV77=$D$61,TRUE,FALSE)))</f>
        <v>1</v>
      </c>
      <c r="AG77" s="185" t="b">
        <f t="shared" si="66"/>
        <v>1</v>
      </c>
      <c r="AH77" s="185" t="b">
        <f t="shared" si="67"/>
        <v>1</v>
      </c>
      <c r="AI77" s="185" t="b">
        <f t="shared" si="68"/>
        <v>1</v>
      </c>
      <c r="AJ77" s="185" t="b">
        <f t="shared" si="69"/>
        <v>1</v>
      </c>
      <c r="AK77" s="185" t="b">
        <f t="shared" si="70"/>
        <v>1</v>
      </c>
      <c r="AL77" s="185" t="b">
        <f>IFERROR(IF($D72="",TRUE,IF(MID(BC77,LEN(BC77)-2,1)*1&gt;=MID($D72,LEN($D72)-2,1)*1,TRUE,FALSE)),FALSE)</f>
        <v>1</v>
      </c>
      <c r="AM77" s="185" t="b">
        <f>IF(D71="",TRUE,IF(BB77&gt;=D71,TRUE,FALSE))</f>
        <v>1</v>
      </c>
      <c r="AN77" s="185"/>
      <c r="AO77" s="185"/>
      <c r="AP77" s="185" t="s">
        <v>554</v>
      </c>
      <c r="AQ77" s="185">
        <v>1</v>
      </c>
      <c r="AR77" s="185" t="str">
        <f t="shared" ca="1" si="77"/>
        <v>1920x1080</v>
      </c>
      <c r="AS77" s="185" t="str">
        <f t="shared" ca="1" si="77"/>
        <v>AMD Ryzen 7</v>
      </c>
      <c r="AT77" s="185">
        <f t="shared" ca="1" si="77"/>
        <v>16</v>
      </c>
      <c r="AU77" s="185">
        <f t="shared" ca="1" si="77"/>
        <v>512</v>
      </c>
      <c r="AV77" s="185">
        <f t="shared" ca="1" si="77"/>
        <v>14</v>
      </c>
      <c r="AW77" s="185">
        <f t="shared" ca="1" si="77"/>
        <v>4</v>
      </c>
      <c r="AX77" s="185">
        <f t="shared" ca="1" si="77"/>
        <v>1</v>
      </c>
      <c r="AY77" s="185" t="str">
        <f t="shared" ca="1" si="77"/>
        <v>Ja, HDMI-port finns</v>
      </c>
      <c r="AZ77" s="185" t="str">
        <f t="shared" ca="1" si="77"/>
        <v>802.11a/b/g/n/ac/ax</v>
      </c>
      <c r="BA77" s="185">
        <f t="shared" ca="1" si="77"/>
        <v>5</v>
      </c>
      <c r="BB77" s="185">
        <f t="shared" ca="1" si="78"/>
        <v>11</v>
      </c>
      <c r="BC77" s="185" t="str">
        <f t="shared" ca="1" si="78"/>
        <v>Version 8.0</v>
      </c>
      <c r="BD77" s="185" t="str">
        <f t="shared" ca="1" si="78"/>
        <v>Ja</v>
      </c>
      <c r="BE77" s="185" t="str">
        <f t="shared" ca="1" si="78"/>
        <v>Windows 10 Pro</v>
      </c>
      <c r="BF77" s="185" t="str">
        <f t="shared" ca="1" si="78"/>
        <v>ProBook 445 G8</v>
      </c>
      <c r="BG77" s="185">
        <f t="shared" ca="1" si="78"/>
        <v>7640</v>
      </c>
      <c r="BH77" s="192">
        <f t="shared" ca="1" si="78"/>
        <v>79</v>
      </c>
      <c r="BI77" s="192">
        <f t="shared" ca="1" si="78"/>
        <v>199</v>
      </c>
      <c r="BJ77" s="192">
        <f t="shared" ca="1" si="78"/>
        <v>106</v>
      </c>
      <c r="BK77" s="192">
        <f t="shared" ca="1" si="78"/>
        <v>949</v>
      </c>
      <c r="BL77" s="192">
        <f t="shared" ca="1" si="79"/>
        <v>151</v>
      </c>
      <c r="BM77" s="192">
        <f t="shared" ca="1" si="79"/>
        <v>70</v>
      </c>
      <c r="BN77" s="192">
        <f t="shared" ca="1" si="79"/>
        <v>25</v>
      </c>
      <c r="BO77" s="192">
        <f t="shared" ca="1" si="79"/>
        <v>25</v>
      </c>
      <c r="BP77" s="192" t="str">
        <f t="shared" ca="1" si="79"/>
        <v>HP</v>
      </c>
      <c r="BQ77" s="192" t="str">
        <f t="shared" ca="1" si="79"/>
        <v>HP</v>
      </c>
      <c r="BR77" s="192" t="str">
        <f t="shared" ca="1" si="79"/>
        <v>HP</v>
      </c>
      <c r="BS77" s="192" t="str">
        <f t="shared" ca="1" si="79"/>
        <v>HP</v>
      </c>
      <c r="BT77" s="192" t="str">
        <f t="shared" ca="1" si="79"/>
        <v>GBX2UW01AA</v>
      </c>
      <c r="BU77" s="192" t="str">
        <f t="shared" ca="1" si="79"/>
        <v>GBXJ6E65AA</v>
      </c>
      <c r="BV77" s="192" t="str">
        <f t="shared" ca="1" si="79"/>
        <v>GBXH6Y88AA</v>
      </c>
      <c r="BW77" s="192" t="str">
        <f t="shared" ca="1" si="79"/>
        <v>GBX5TW10AA</v>
      </c>
      <c r="BX77" s="192"/>
      <c r="BY77" s="192" t="str">
        <f t="shared" ca="1" si="74"/>
        <v>Qlosr Göteborg AB</v>
      </c>
      <c r="BZ77" s="192" t="str">
        <f t="shared" ca="1" si="74"/>
        <v>HP</v>
      </c>
      <c r="CA77" s="185"/>
      <c r="CB77" s="185"/>
      <c r="CC77" s="185"/>
      <c r="CD77" s="185"/>
      <c r="CE77" s="185"/>
      <c r="CF77" s="185"/>
      <c r="CG77" s="185"/>
      <c r="CH77" s="185"/>
      <c r="CI77" s="185"/>
      <c r="CJ77" s="185"/>
      <c r="CK77" s="185"/>
      <c r="CL77" s="185"/>
      <c r="CM77" s="185"/>
      <c r="CN77" s="185"/>
    </row>
    <row r="78" spans="2:92" ht="67.5" customHeight="1" outlineLevel="1" x14ac:dyDescent="0.35">
      <c r="B78" s="69" t="s">
        <v>345</v>
      </c>
      <c r="C78" s="97" t="s">
        <v>52</v>
      </c>
      <c r="D78" s="132" t="s">
        <v>719</v>
      </c>
      <c r="F78" s="86" t="str">
        <f t="shared" si="80"/>
        <v/>
      </c>
      <c r="G78" s="87" t="str">
        <f t="shared" ca="1" si="81"/>
        <v>GBX2UW01AA</v>
      </c>
      <c r="H78" s="87" t="str">
        <f t="shared" ca="1" si="81"/>
        <v>LSN8696R2-14.1</v>
      </c>
      <c r="I78" s="87" t="str">
        <f t="shared" ca="1" si="81"/>
        <v>GBX2UW01AA</v>
      </c>
      <c r="J78" s="62"/>
      <c r="Q78" s="185">
        <f t="shared" si="53"/>
        <v>0</v>
      </c>
      <c r="R78" s="185">
        <f t="shared" si="54"/>
        <v>0</v>
      </c>
      <c r="S78" s="185">
        <f t="shared" si="55"/>
        <v>0</v>
      </c>
      <c r="T78" s="185">
        <f t="shared" si="56"/>
        <v>0</v>
      </c>
      <c r="U78" s="185">
        <f t="shared" si="57"/>
        <v>0</v>
      </c>
      <c r="V78" s="185">
        <f t="shared" si="58"/>
        <v>0</v>
      </c>
      <c r="W78" s="185">
        <f t="shared" si="59"/>
        <v>0</v>
      </c>
      <c r="X78" s="185">
        <f t="shared" si="60"/>
        <v>0</v>
      </c>
      <c r="Y78" s="185">
        <f t="shared" si="61"/>
        <v>0</v>
      </c>
      <c r="Z78" s="196">
        <f t="shared" ca="1" si="62"/>
        <v>8299</v>
      </c>
      <c r="AA78" s="185" t="str">
        <f t="shared" ca="1" si="63"/>
        <v>Offererad produktnr. 04Qlosr Göteborg AB</v>
      </c>
      <c r="AB78" s="185"/>
      <c r="AC78" s="185" t="b">
        <f ca="1">IFERROR(IF(D63="",TRUE,
IF(OR(D63=$CB$12,D63=$CB$13),IF(LEFT(AS78,FIND(" ",AS78)-1)=D63,TRUE,FALSE),
IF(OFFSET(Processor!$AB$1,MATCH($AS78,Processor!$AA$2:$AA$23,0),MATCH(LEFT(D63,FIND(" ",D63)-1),Processor!$AC$1:$AG$1,0))&gt;=
OFFSET(Processor!$AB$1,MATCH(D63,Processor!$AA$2:$AA$23,0),MATCH(LEFT(D63,FIND(" ",D63)-1),Processor!$AC$1:$AG$1,0)),TRUE,FALSE))),FALSE)</f>
        <v>1</v>
      </c>
      <c r="AD78" s="185" t="b">
        <f t="shared" si="64"/>
        <v>1</v>
      </c>
      <c r="AE78" s="185" t="b">
        <f t="shared" si="65"/>
        <v>1</v>
      </c>
      <c r="AF78" s="185" t="b">
        <f>IF($D$61="",TRUE,IF(COUNTIF(Processor!$I$2:$I$9,$D$61)&gt;0,AND(AV78&gt;INDEX(Processor!$J$2:$J$9,MATCH($D$61,Processor!$I$2:$I$9,0)),AV78&lt;INDEX(Processor!$K$2:$K$9,MATCH($D$61,Processor!$I$2:$I$9,0))),IF(AV78=$D$61,TRUE,FALSE)))</f>
        <v>1</v>
      </c>
      <c r="AG78" s="185" t="b">
        <f t="shared" si="66"/>
        <v>1</v>
      </c>
      <c r="AH78" s="185" t="b">
        <f t="shared" si="67"/>
        <v>1</v>
      </c>
      <c r="AI78" s="185" t="b">
        <f t="shared" si="68"/>
        <v>1</v>
      </c>
      <c r="AJ78" s="185" t="b">
        <f t="shared" si="69"/>
        <v>1</v>
      </c>
      <c r="AK78" s="185" t="b">
        <f t="shared" si="70"/>
        <v>1</v>
      </c>
      <c r="AL78" s="185" t="b">
        <f>IFERROR(IF($D72="",TRUE,IF(MID(BC78,LEN(BC78)-2,1)*1&gt;=MID($D72,LEN($D72)-2,1)*1,TRUE,FALSE)),FALSE)</f>
        <v>1</v>
      </c>
      <c r="AM78" s="185" t="b">
        <f>IF(D71="",TRUE,IF(BB78&gt;=D71,TRUE,FALSE))</f>
        <v>1</v>
      </c>
      <c r="AN78" s="185"/>
      <c r="AO78" s="185"/>
      <c r="AP78" s="185" t="s">
        <v>555</v>
      </c>
      <c r="AQ78" s="185">
        <v>1</v>
      </c>
      <c r="AR78" s="185" t="str">
        <f t="shared" ca="1" si="77"/>
        <v>1920x1080</v>
      </c>
      <c r="AS78" s="185" t="str">
        <f t="shared" ca="1" si="77"/>
        <v>Intel i7</v>
      </c>
      <c r="AT78" s="185">
        <f t="shared" ca="1" si="77"/>
        <v>16</v>
      </c>
      <c r="AU78" s="185">
        <f t="shared" ca="1" si="77"/>
        <v>512</v>
      </c>
      <c r="AV78" s="185">
        <f t="shared" ca="1" si="77"/>
        <v>14</v>
      </c>
      <c r="AW78" s="185">
        <f t="shared" ca="1" si="77"/>
        <v>4</v>
      </c>
      <c r="AX78" s="185">
        <f t="shared" ca="1" si="77"/>
        <v>1</v>
      </c>
      <c r="AY78" s="185" t="str">
        <f t="shared" ca="1" si="77"/>
        <v>Ja, HDMI-port finns</v>
      </c>
      <c r="AZ78" s="185" t="str">
        <f t="shared" ca="1" si="77"/>
        <v>802.11a/b/g/n/ac/ax</v>
      </c>
      <c r="BA78" s="185">
        <f t="shared" ca="1" si="77"/>
        <v>5</v>
      </c>
      <c r="BB78" s="185">
        <f t="shared" ca="1" si="78"/>
        <v>11</v>
      </c>
      <c r="BC78" s="185" t="str">
        <f t="shared" ca="1" si="78"/>
        <v>Version 8.0</v>
      </c>
      <c r="BD78" s="185" t="str">
        <f t="shared" ca="1" si="78"/>
        <v>Ja</v>
      </c>
      <c r="BE78" s="185" t="str">
        <f t="shared" ca="1" si="78"/>
        <v>Windows 10 Pro</v>
      </c>
      <c r="BF78" s="185" t="str">
        <f t="shared" ca="1" si="78"/>
        <v>ProBook 440 G8</v>
      </c>
      <c r="BG78" s="185">
        <f t="shared" ca="1" si="78"/>
        <v>8299</v>
      </c>
      <c r="BH78" s="192">
        <f t="shared" ca="1" si="78"/>
        <v>79</v>
      </c>
      <c r="BI78" s="192">
        <f t="shared" ca="1" si="78"/>
        <v>199</v>
      </c>
      <c r="BJ78" s="192">
        <f t="shared" ca="1" si="78"/>
        <v>106</v>
      </c>
      <c r="BK78" s="192">
        <f t="shared" ca="1" si="78"/>
        <v>949</v>
      </c>
      <c r="BL78" s="192">
        <f t="shared" ca="1" si="79"/>
        <v>151</v>
      </c>
      <c r="BM78" s="192">
        <f t="shared" ca="1" si="79"/>
        <v>70</v>
      </c>
      <c r="BN78" s="192">
        <f t="shared" ca="1" si="79"/>
        <v>25</v>
      </c>
      <c r="BO78" s="192">
        <f t="shared" ca="1" si="79"/>
        <v>25</v>
      </c>
      <c r="BP78" s="192" t="str">
        <f t="shared" ca="1" si="79"/>
        <v>HP</v>
      </c>
      <c r="BQ78" s="192" t="str">
        <f t="shared" ca="1" si="79"/>
        <v>HP</v>
      </c>
      <c r="BR78" s="192" t="str">
        <f t="shared" ca="1" si="79"/>
        <v>HP</v>
      </c>
      <c r="BS78" s="192" t="str">
        <f t="shared" ca="1" si="79"/>
        <v>HP</v>
      </c>
      <c r="BT78" s="192" t="str">
        <f t="shared" ca="1" si="79"/>
        <v>GBX2UW01AA</v>
      </c>
      <c r="BU78" s="192" t="str">
        <f t="shared" ca="1" si="79"/>
        <v>GBXJ6E65AA</v>
      </c>
      <c r="BV78" s="192" t="str">
        <f t="shared" ca="1" si="79"/>
        <v>GBXH6Y88AA</v>
      </c>
      <c r="BW78" s="192" t="str">
        <f t="shared" ca="1" si="79"/>
        <v>GBX5TW10AA</v>
      </c>
      <c r="BX78" s="192"/>
      <c r="BY78" s="192" t="str">
        <f t="shared" ca="1" si="74"/>
        <v>Qlosr Göteborg AB</v>
      </c>
      <c r="BZ78" s="192" t="str">
        <f t="shared" ca="1" si="74"/>
        <v>HP</v>
      </c>
      <c r="CA78" s="185"/>
      <c r="CB78" s="185"/>
      <c r="CC78" s="185"/>
      <c r="CD78" s="185"/>
      <c r="CE78" s="185"/>
      <c r="CF78" s="185"/>
      <c r="CG78" s="185"/>
      <c r="CH78" s="185"/>
      <c r="CI78" s="185"/>
      <c r="CJ78" s="185"/>
      <c r="CK78" s="185"/>
      <c r="CL78" s="185"/>
      <c r="CM78" s="185"/>
      <c r="CN78" s="185"/>
    </row>
    <row r="79" spans="2:92" ht="26.25" customHeight="1" outlineLevel="1" x14ac:dyDescent="0.35">
      <c r="B79" s="69" t="s">
        <v>54</v>
      </c>
      <c r="C79" s="98" t="s">
        <v>77</v>
      </c>
      <c r="D79" s="70"/>
      <c r="F79" s="157" t="str">
        <f t="shared" si="80"/>
        <v/>
      </c>
      <c r="G79" s="158">
        <f t="shared" ca="1" si="81"/>
        <v>199</v>
      </c>
      <c r="H79" s="158">
        <f t="shared" ca="1" si="81"/>
        <v>425</v>
      </c>
      <c r="I79" s="158">
        <f t="shared" ca="1" si="81"/>
        <v>199</v>
      </c>
      <c r="J79" s="62"/>
      <c r="BH79" s="63"/>
      <c r="BI79" s="63"/>
      <c r="BJ79" s="63"/>
      <c r="BK79" s="63"/>
      <c r="BL79" s="63"/>
      <c r="BM79" s="63"/>
      <c r="BN79" s="63"/>
      <c r="BO79" s="63"/>
      <c r="BP79" s="63"/>
      <c r="BQ79" s="63"/>
      <c r="BR79" s="63"/>
      <c r="BS79" s="63"/>
      <c r="BT79" s="63"/>
      <c r="BU79" s="63"/>
      <c r="BV79" s="63"/>
      <c r="BW79" s="63"/>
      <c r="BX79" s="63"/>
      <c r="BY79" s="63"/>
      <c r="BZ79" s="63"/>
      <c r="CA79" s="185"/>
      <c r="CB79" s="185"/>
      <c r="CC79" s="185"/>
      <c r="CD79" s="185"/>
      <c r="CE79" s="185"/>
      <c r="CF79" s="185"/>
      <c r="CG79" s="185"/>
      <c r="CH79" s="185"/>
      <c r="CI79" s="185"/>
      <c r="CJ79" s="185"/>
      <c r="CK79" s="185"/>
      <c r="CL79" s="185"/>
      <c r="CM79" s="185"/>
      <c r="CN79" s="185"/>
    </row>
    <row r="80" spans="2:92" ht="26.25" customHeight="1" outlineLevel="1" x14ac:dyDescent="0.35">
      <c r="B80" s="69" t="s">
        <v>341</v>
      </c>
      <c r="C80" s="61" t="s">
        <v>51</v>
      </c>
      <c r="D80" s="131" t="s">
        <v>719</v>
      </c>
      <c r="F80" s="88" t="str">
        <f t="shared" si="80"/>
        <v/>
      </c>
      <c r="G80" s="89" t="str">
        <f t="shared" ca="1" si="81"/>
        <v>HP</v>
      </c>
      <c r="H80" s="89" t="str">
        <f t="shared" ca="1" si="81"/>
        <v>Cirafon</v>
      </c>
      <c r="I80" s="89" t="str">
        <f t="shared" ca="1" si="81"/>
        <v>HP</v>
      </c>
      <c r="J80" s="62"/>
      <c r="BH80" s="63"/>
      <c r="BI80" s="63"/>
      <c r="BJ80" s="63"/>
      <c r="BK80" s="63"/>
      <c r="BL80" s="63"/>
      <c r="BM80" s="63"/>
      <c r="BN80" s="63"/>
      <c r="BO80" s="63"/>
      <c r="BP80" s="63"/>
      <c r="BQ80" s="63"/>
      <c r="BR80" s="63"/>
      <c r="BS80" s="63"/>
      <c r="BT80" s="63"/>
      <c r="BU80" s="63"/>
      <c r="BV80" s="63"/>
      <c r="BW80" s="63"/>
      <c r="BX80" s="63"/>
      <c r="BY80" s="63"/>
      <c r="BZ80" s="63"/>
      <c r="CA80" s="185"/>
      <c r="CB80" s="185"/>
      <c r="CC80" s="185"/>
      <c r="CD80" s="185"/>
      <c r="CE80" s="185"/>
      <c r="CF80" s="185"/>
      <c r="CG80" s="185"/>
      <c r="CH80" s="185"/>
      <c r="CI80" s="185"/>
      <c r="CJ80" s="185"/>
      <c r="CK80" s="185"/>
      <c r="CL80" s="185"/>
      <c r="CM80" s="185"/>
      <c r="CN80" s="185"/>
    </row>
    <row r="81" spans="2:92" ht="68.25" customHeight="1" outlineLevel="1" x14ac:dyDescent="0.35">
      <c r="B81" s="69" t="s">
        <v>346</v>
      </c>
      <c r="C81" s="99" t="s">
        <v>52</v>
      </c>
      <c r="D81" s="132" t="s">
        <v>719</v>
      </c>
      <c r="F81" s="90" t="str">
        <f t="shared" si="80"/>
        <v/>
      </c>
      <c r="G81" s="91" t="str">
        <f t="shared" ca="1" si="81"/>
        <v>GBXJ6E65AA</v>
      </c>
      <c r="H81" s="91" t="str">
        <f t="shared" ca="1" si="81"/>
        <v>DPF14-9</v>
      </c>
      <c r="I81" s="91" t="str">
        <f t="shared" ca="1" si="81"/>
        <v>GBXJ6E65AA</v>
      </c>
      <c r="J81" s="62"/>
      <c r="BH81" s="63"/>
      <c r="BI81" s="63"/>
      <c r="BJ81" s="63"/>
      <c r="BK81" s="63"/>
      <c r="BL81" s="63"/>
      <c r="BM81" s="63"/>
      <c r="BN81" s="63"/>
      <c r="BO81" s="63"/>
      <c r="BP81" s="63"/>
      <c r="BQ81" s="63"/>
      <c r="BR81" s="63"/>
      <c r="BS81" s="63"/>
      <c r="BT81" s="63"/>
      <c r="BU81" s="63"/>
      <c r="BV81" s="63"/>
      <c r="BW81" s="63"/>
      <c r="BX81" s="63"/>
      <c r="BY81" s="63"/>
      <c r="BZ81" s="63"/>
      <c r="CA81" s="185"/>
      <c r="CB81" s="185"/>
      <c r="CC81" s="185"/>
      <c r="CD81" s="185"/>
      <c r="CE81" s="185"/>
      <c r="CF81" s="185"/>
      <c r="CG81" s="185"/>
      <c r="CH81" s="185"/>
      <c r="CI81" s="185"/>
      <c r="CJ81" s="185"/>
      <c r="CK81" s="185"/>
      <c r="CL81" s="185"/>
      <c r="CM81" s="185"/>
      <c r="CN81" s="185"/>
    </row>
    <row r="82" spans="2:92" ht="31.5" customHeight="1" outlineLevel="1" x14ac:dyDescent="0.35">
      <c r="B82" s="69" t="s">
        <v>55</v>
      </c>
      <c r="C82" s="95" t="s">
        <v>371</v>
      </c>
      <c r="D82" s="70"/>
      <c r="F82" s="159" t="str">
        <f t="shared" si="80"/>
        <v/>
      </c>
      <c r="G82" s="160">
        <f t="shared" ca="1" si="81"/>
        <v>106</v>
      </c>
      <c r="H82" s="160">
        <f t="shared" ca="1" si="81"/>
        <v>149</v>
      </c>
      <c r="I82" s="160">
        <f t="shared" ca="1" si="81"/>
        <v>106</v>
      </c>
      <c r="J82" s="62"/>
      <c r="BH82" s="63"/>
      <c r="BI82" s="63"/>
      <c r="BJ82" s="63"/>
      <c r="BK82" s="63"/>
      <c r="BL82" s="63"/>
      <c r="BM82" s="63"/>
      <c r="BN82" s="63"/>
      <c r="BO82" s="63"/>
      <c r="BP82" s="63"/>
      <c r="BQ82" s="63"/>
      <c r="BR82" s="63"/>
      <c r="BS82" s="63"/>
      <c r="BT82" s="63"/>
      <c r="BU82" s="63"/>
      <c r="BV82" s="63"/>
      <c r="BW82" s="63"/>
      <c r="BX82" s="63"/>
      <c r="BY82" s="63"/>
      <c r="BZ82" s="63"/>
      <c r="CA82" s="185"/>
      <c r="CB82" s="185"/>
      <c r="CC82" s="185"/>
      <c r="CD82" s="185"/>
      <c r="CE82" s="185"/>
      <c r="CF82" s="185"/>
      <c r="CG82" s="185"/>
      <c r="CH82" s="185"/>
      <c r="CI82" s="185"/>
      <c r="CJ82" s="185"/>
      <c r="CK82" s="185"/>
      <c r="CL82" s="185"/>
      <c r="CM82" s="185"/>
      <c r="CN82" s="185"/>
    </row>
    <row r="83" spans="2:92" ht="26.25" customHeight="1" outlineLevel="1" x14ac:dyDescent="0.35">
      <c r="B83" s="69" t="s">
        <v>342</v>
      </c>
      <c r="C83" s="96" t="s">
        <v>51</v>
      </c>
      <c r="D83" s="131" t="s">
        <v>719</v>
      </c>
      <c r="F83" s="84" t="str">
        <f t="shared" si="80"/>
        <v/>
      </c>
      <c r="G83" s="85" t="str">
        <f t="shared" ca="1" si="81"/>
        <v>HP</v>
      </c>
      <c r="H83" s="85" t="str">
        <f t="shared" ca="1" si="81"/>
        <v>HP</v>
      </c>
      <c r="I83" s="85" t="str">
        <f t="shared" ca="1" si="81"/>
        <v>HP</v>
      </c>
      <c r="J83" s="62"/>
    </row>
    <row r="84" spans="2:92" ht="67.5" customHeight="1" outlineLevel="1" x14ac:dyDescent="0.35">
      <c r="B84" s="69" t="s">
        <v>347</v>
      </c>
      <c r="C84" s="97" t="s">
        <v>52</v>
      </c>
      <c r="D84" s="132" t="s">
        <v>719</v>
      </c>
      <c r="F84" s="86" t="str">
        <f t="shared" si="80"/>
        <v/>
      </c>
      <c r="G84" s="87" t="str">
        <f t="shared" ca="1" si="81"/>
        <v>GBXH6Y88AA</v>
      </c>
      <c r="H84" s="87" t="str">
        <f t="shared" ca="1" si="81"/>
        <v xml:space="preserve">1MZ01AA </v>
      </c>
      <c r="I84" s="87" t="str">
        <f t="shared" ca="1" si="81"/>
        <v>GBXH6Y88AA</v>
      </c>
      <c r="J84" s="62"/>
    </row>
    <row r="85" spans="2:92" ht="26.25" customHeight="1" outlineLevel="1" x14ac:dyDescent="0.35">
      <c r="B85" s="69" t="s">
        <v>59</v>
      </c>
      <c r="C85" s="98" t="s">
        <v>364</v>
      </c>
      <c r="D85" s="70"/>
      <c r="F85" s="157" t="str">
        <f t="shared" si="80"/>
        <v/>
      </c>
      <c r="G85" s="158">
        <f t="shared" ca="1" si="81"/>
        <v>949</v>
      </c>
      <c r="H85" s="158">
        <f t="shared" ca="1" si="81"/>
        <v>1185</v>
      </c>
      <c r="I85" s="158">
        <f t="shared" ca="1" si="81"/>
        <v>949</v>
      </c>
      <c r="J85" s="62"/>
      <c r="BH85" s="63"/>
      <c r="BI85" s="63"/>
      <c r="BJ85" s="63"/>
      <c r="BK85" s="63"/>
      <c r="BL85" s="63"/>
      <c r="BM85" s="63"/>
      <c r="BN85" s="63"/>
      <c r="BO85" s="63"/>
      <c r="BP85" s="63"/>
      <c r="BQ85" s="63"/>
      <c r="BR85" s="63"/>
      <c r="BS85" s="63"/>
      <c r="BT85" s="63"/>
      <c r="BU85" s="63"/>
      <c r="BV85" s="63"/>
      <c r="BW85" s="63"/>
      <c r="BX85" s="63"/>
      <c r="BY85" s="63"/>
      <c r="BZ85" s="63"/>
    </row>
    <row r="86" spans="2:92" ht="26.25" customHeight="1" outlineLevel="1" x14ac:dyDescent="0.35">
      <c r="B86" s="69" t="s">
        <v>343</v>
      </c>
      <c r="C86" s="61" t="s">
        <v>51</v>
      </c>
      <c r="D86" s="131" t="str">
        <f>IF("Ska Ingå"=D85,"Ska Ingå","")</f>
        <v/>
      </c>
      <c r="F86" s="88" t="str">
        <f t="shared" si="80"/>
        <v/>
      </c>
      <c r="G86" s="89" t="str">
        <f t="shared" ca="1" si="81"/>
        <v>HP</v>
      </c>
      <c r="H86" s="89" t="str">
        <f t="shared" ca="1" si="81"/>
        <v>HP</v>
      </c>
      <c r="I86" s="89" t="str">
        <f t="shared" ca="1" si="81"/>
        <v>HP</v>
      </c>
      <c r="J86" s="62"/>
    </row>
    <row r="87" spans="2:92" ht="67.5" customHeight="1" outlineLevel="1" x14ac:dyDescent="0.35">
      <c r="B87" s="69" t="s">
        <v>348</v>
      </c>
      <c r="C87" s="99" t="s">
        <v>52</v>
      </c>
      <c r="D87" s="132" t="str">
        <f>IF("Ska Ingå"=D85,"Ska Ingå","")</f>
        <v/>
      </c>
      <c r="F87" s="90" t="str">
        <f t="shared" si="80"/>
        <v/>
      </c>
      <c r="G87" s="91" t="str">
        <f t="shared" ca="1" si="81"/>
        <v>GBX5TW10AA</v>
      </c>
      <c r="H87" s="91" t="str">
        <f t="shared" ca="1" si="81"/>
        <v>72C71AA</v>
      </c>
      <c r="I87" s="91" t="str">
        <f t="shared" ca="1" si="81"/>
        <v>GBX5TW10AA</v>
      </c>
      <c r="J87" s="62"/>
      <c r="BH87" s="63"/>
      <c r="BI87" s="63"/>
      <c r="BJ87" s="63"/>
      <c r="BK87" s="63"/>
      <c r="BL87" s="63"/>
      <c r="BM87" s="63"/>
      <c r="BN87" s="63"/>
      <c r="BO87" s="63"/>
      <c r="BP87" s="63"/>
      <c r="BQ87" s="63"/>
      <c r="BR87" s="63"/>
      <c r="BS87" s="63"/>
      <c r="BT87" s="63"/>
      <c r="BU87" s="63"/>
      <c r="BV87" s="63"/>
      <c r="BW87" s="63"/>
      <c r="BX87" s="63"/>
      <c r="BY87" s="63"/>
      <c r="BZ87" s="63"/>
    </row>
    <row r="88" spans="2:92" ht="26.25" customHeight="1" outlineLevel="1" x14ac:dyDescent="0.35">
      <c r="B88" s="69"/>
      <c r="C88" s="212" t="s">
        <v>365</v>
      </c>
      <c r="D88" s="215"/>
      <c r="E88" s="213"/>
      <c r="F88" s="213"/>
      <c r="G88" s="213"/>
      <c r="H88" s="213"/>
      <c r="I88" s="214"/>
      <c r="J88" s="62"/>
      <c r="BH88" s="63"/>
      <c r="BI88" s="63"/>
      <c r="BJ88" s="63"/>
      <c r="BK88" s="63"/>
      <c r="BL88" s="63"/>
      <c r="BM88" s="63"/>
      <c r="BN88" s="63"/>
      <c r="BO88" s="63"/>
      <c r="BP88" s="63"/>
      <c r="BQ88" s="63"/>
      <c r="BR88" s="63"/>
      <c r="BS88" s="63"/>
      <c r="BT88" s="63"/>
      <c r="BU88" s="63"/>
      <c r="BV88" s="63"/>
      <c r="BW88" s="63"/>
      <c r="BX88" s="63"/>
      <c r="BY88" s="63"/>
      <c r="BZ88" s="63"/>
    </row>
    <row r="89" spans="2:92" ht="26.25" customHeight="1" outlineLevel="1" x14ac:dyDescent="0.35">
      <c r="B89" s="71" t="s">
        <v>228</v>
      </c>
      <c r="C89" s="115" t="s">
        <v>367</v>
      </c>
      <c r="D89" s="70"/>
      <c r="F89" s="151" t="str">
        <f>IF(F$57="Inget antal angivet","",IFERROR(INDEX($AR$58:$BZ$85,MATCH(F$54,$AP$58:$AP$85,0),MATCH($B89,$AR$58:$BZ$58,0)),""))</f>
        <v/>
      </c>
      <c r="G89" s="152">
        <f t="shared" ref="G89:I92" ca="1" si="82">IFERROR(INDEX($AR$58:$BZ$85,MATCH(G$54,$AP$58:$AP$85,0),MATCH($B89,$AR$58:$BZ$58,0)),"")</f>
        <v>151</v>
      </c>
      <c r="H89" s="152">
        <f t="shared" ca="1" si="82"/>
        <v>450</v>
      </c>
      <c r="I89" s="152">
        <f t="shared" ca="1" si="82"/>
        <v>151</v>
      </c>
      <c r="J89" s="62"/>
    </row>
    <row r="90" spans="2:92" ht="26.25" customHeight="1" outlineLevel="1" x14ac:dyDescent="0.35">
      <c r="B90" s="71" t="s">
        <v>229</v>
      </c>
      <c r="C90" s="61" t="s">
        <v>368</v>
      </c>
      <c r="D90" s="70"/>
      <c r="F90" s="153" t="str">
        <f>IF(F$57="Inget antal angivet","",IFERROR(INDEX($AR$58:$BZ$85,MATCH(F$54,$AP$58:$AP$85,0),MATCH($B90,$AR$58:$BZ$58,0)),""))</f>
        <v/>
      </c>
      <c r="G90" s="154">
        <f t="shared" ca="1" si="82"/>
        <v>70</v>
      </c>
      <c r="H90" s="154">
        <f t="shared" ca="1" si="82"/>
        <v>133</v>
      </c>
      <c r="I90" s="154">
        <f t="shared" ca="1" si="82"/>
        <v>70</v>
      </c>
      <c r="J90" s="62"/>
    </row>
    <row r="91" spans="2:92" ht="26.25" customHeight="1" outlineLevel="1" x14ac:dyDescent="0.35">
      <c r="B91" s="71" t="s">
        <v>230</v>
      </c>
      <c r="C91" s="96" t="s">
        <v>369</v>
      </c>
      <c r="D91" s="70"/>
      <c r="F91" s="155" t="str">
        <f>IF(F$57="Inget antal angivet","",IFERROR(INDEX($AR$58:$BZ$85,MATCH(F$54,$AP$58:$AP$85,0),MATCH($B91,$AR$58:$BZ$58,0)),""))</f>
        <v/>
      </c>
      <c r="G91" s="156">
        <f t="shared" ca="1" si="82"/>
        <v>25</v>
      </c>
      <c r="H91" s="156">
        <f t="shared" ca="1" si="82"/>
        <v>20</v>
      </c>
      <c r="I91" s="156">
        <f t="shared" ca="1" si="82"/>
        <v>25</v>
      </c>
      <c r="J91" s="62"/>
    </row>
    <row r="92" spans="2:92" ht="26.25" customHeight="1" outlineLevel="1" x14ac:dyDescent="0.35">
      <c r="B92" s="71" t="s">
        <v>231</v>
      </c>
      <c r="C92" s="61" t="s">
        <v>370</v>
      </c>
      <c r="D92" s="70"/>
      <c r="F92" s="153" t="str">
        <f>IF(F$57="Inget antal angivet","",IFERROR(INDEX($AR$58:$BZ$85,MATCH(F$54,$AP$58:$AP$85,0),MATCH($B92,$AR$58:$BZ$58,0)),""))</f>
        <v/>
      </c>
      <c r="G92" s="154">
        <f t="shared" ca="1" si="82"/>
        <v>25</v>
      </c>
      <c r="H92" s="154">
        <f t="shared" ca="1" si="82"/>
        <v>20</v>
      </c>
      <c r="I92" s="154">
        <f t="shared" ca="1" si="82"/>
        <v>25</v>
      </c>
      <c r="J92" s="62"/>
    </row>
    <row r="93" spans="2:92" ht="24" customHeight="1" outlineLevel="1" x14ac:dyDescent="0.35"/>
    <row r="94" spans="2:92" ht="24" customHeight="1" x14ac:dyDescent="0.35"/>
    <row r="95" spans="2:92" ht="24" customHeight="1" x14ac:dyDescent="0.35">
      <c r="D95" s="72" t="s">
        <v>233</v>
      </c>
      <c r="F95" s="216" t="s">
        <v>362</v>
      </c>
      <c r="G95" s="216"/>
      <c r="H95" s="216"/>
      <c r="I95" s="217"/>
      <c r="J95" s="73"/>
    </row>
    <row r="96" spans="2:92" ht="24" customHeight="1" x14ac:dyDescent="0.35">
      <c r="D96" s="74"/>
      <c r="F96" s="202" t="str">
        <f ca="1">IFERROR(INDEX($Z$59:$Z$85,MATCH(F54,$AA$59:$AA$85,0)) *D96,"")</f>
        <v/>
      </c>
      <c r="G96" s="202">
        <f ca="1">IFERROR(P59 *D96,"")</f>
        <v>0</v>
      </c>
      <c r="H96" s="202">
        <f ca="1">IFERROR(P60 *D96,"")</f>
        <v>0</v>
      </c>
      <c r="I96" s="202">
        <f ca="1">IFERROR(P61 * D96,"")</f>
        <v>0</v>
      </c>
      <c r="J96" s="54"/>
    </row>
    <row r="98" spans="2:92" ht="15" thickBot="1" x14ac:dyDescent="0.4">
      <c r="C98" s="174"/>
      <c r="D98" s="174"/>
      <c r="E98" s="174"/>
      <c r="F98" s="174"/>
      <c r="G98" s="174"/>
      <c r="H98" s="174"/>
      <c r="I98" s="174"/>
    </row>
    <row r="99" spans="2:92" ht="15" thickTop="1" x14ac:dyDescent="0.35"/>
    <row r="101" spans="2:92" ht="59.25" customHeight="1" collapsed="1" x14ac:dyDescent="0.35">
      <c r="C101" s="53"/>
      <c r="D101" s="53"/>
      <c r="F101" s="169" t="e">
        <f ca="1">N105</f>
        <v>#N/A</v>
      </c>
      <c r="G101" s="169" t="str">
        <f ca="1">INDEX(AA106:AA132,MATCH(P106,Z106:Z132,0))</f>
        <v>Offererad produktnr. 01Qlosr Göteborg AB</v>
      </c>
      <c r="H101" s="169" t="str">
        <f ca="1">INDEX(AA106:AA132,MATCH(P107,Z106:Z132,0))</f>
        <v>Offererad produktnr. 01Dustin Sverige AB</v>
      </c>
      <c r="I101" s="169" t="str">
        <f ca="1">INDEX(AA106:AA132,MATCH(P108,Z106:Z132,0))</f>
        <v>Offererad produktnr. 03Qlosr Göteborg AB</v>
      </c>
      <c r="J101" s="54"/>
      <c r="AR101" s="12" t="s">
        <v>124</v>
      </c>
      <c r="AS101" s="12" t="s">
        <v>124</v>
      </c>
      <c r="AT101" s="12" t="s">
        <v>124</v>
      </c>
      <c r="AU101" s="12" t="s">
        <v>124</v>
      </c>
      <c r="AV101" s="12" t="s">
        <v>124</v>
      </c>
      <c r="AW101" s="12" t="s">
        <v>124</v>
      </c>
      <c r="AX101" s="12" t="s">
        <v>124</v>
      </c>
      <c r="AY101" s="12" t="s">
        <v>124</v>
      </c>
      <c r="AZ101" s="12" t="s">
        <v>124</v>
      </c>
      <c r="BA101" s="12" t="s">
        <v>124</v>
      </c>
      <c r="BB101" s="12" t="s">
        <v>124</v>
      </c>
      <c r="BC101" s="12" t="s">
        <v>124</v>
      </c>
      <c r="BD101" s="12" t="s">
        <v>124</v>
      </c>
      <c r="BE101" s="12" t="s">
        <v>124</v>
      </c>
      <c r="BF101" s="12" t="s">
        <v>124</v>
      </c>
      <c r="BG101" s="12" t="s">
        <v>124</v>
      </c>
      <c r="BH101" s="12" t="s">
        <v>124</v>
      </c>
      <c r="BI101" s="12" t="s">
        <v>124</v>
      </c>
      <c r="BJ101" s="12" t="s">
        <v>124</v>
      </c>
      <c r="BK101" s="12" t="s">
        <v>124</v>
      </c>
      <c r="BL101" s="12" t="s">
        <v>124</v>
      </c>
      <c r="BM101" s="12" t="s">
        <v>124</v>
      </c>
      <c r="BN101" s="12" t="s">
        <v>124</v>
      </c>
      <c r="BO101" s="12" t="s">
        <v>124</v>
      </c>
      <c r="BP101" s="12" t="s">
        <v>124</v>
      </c>
      <c r="BQ101" s="12" t="s">
        <v>124</v>
      </c>
      <c r="BR101" s="12" t="s">
        <v>124</v>
      </c>
      <c r="BS101" s="12" t="s">
        <v>124</v>
      </c>
      <c r="BT101" s="12" t="s">
        <v>124</v>
      </c>
      <c r="BU101" s="12" t="s">
        <v>124</v>
      </c>
      <c r="BV101" s="12" t="s">
        <v>124</v>
      </c>
      <c r="BW101" s="12" t="s">
        <v>124</v>
      </c>
      <c r="BX101" s="12"/>
      <c r="BY101" s="12" t="s">
        <v>124</v>
      </c>
      <c r="BZ101" s="12" t="s">
        <v>124</v>
      </c>
      <c r="CA101" s="12"/>
      <c r="CB101" s="12"/>
      <c r="CC101" s="12"/>
      <c r="CD101" s="12"/>
      <c r="CE101" s="12"/>
      <c r="CF101" s="12"/>
      <c r="CG101" s="12"/>
      <c r="CH101" s="12"/>
      <c r="CI101" s="12"/>
      <c r="CJ101" s="12"/>
      <c r="CK101" s="12"/>
      <c r="CL101" s="12"/>
      <c r="CM101" s="12"/>
      <c r="CN101" s="12"/>
    </row>
    <row r="102" spans="2:92" ht="33" customHeight="1" thickBot="1" x14ac:dyDescent="0.4">
      <c r="C102" s="53"/>
      <c r="D102" s="53"/>
      <c r="F102" s="140" t="s">
        <v>446</v>
      </c>
      <c r="G102" s="205" t="s">
        <v>447</v>
      </c>
      <c r="H102" s="205"/>
      <c r="I102" s="205"/>
      <c r="J102" s="54"/>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row>
    <row r="103" spans="2:92" ht="22.5" customHeight="1" thickBot="1" x14ac:dyDescent="0.4">
      <c r="B103" t="str">
        <f ca="1" xml:space="preserve"> "Produkt "  &amp; B104</f>
        <v>Produkt 3</v>
      </c>
      <c r="C103" s="206" t="str">
        <f>IF(F104="Ingen produkt motsvarar","Felmeddelande",IF(COUNTIF($P$1:$P$6,TRUE)&gt;0,"","Felmeddelande"))</f>
        <v/>
      </c>
      <c r="D103" s="207"/>
      <c r="F103" s="208" t="s">
        <v>271</v>
      </c>
      <c r="G103" s="209"/>
      <c r="H103" s="209"/>
      <c r="I103" s="209"/>
      <c r="J103" s="55"/>
      <c r="O103">
        <v>1</v>
      </c>
      <c r="AR103" s="13" t="str">
        <f t="shared" ref="AR103:BF103" si="83">AR105</f>
        <v>Upplösning</v>
      </c>
      <c r="AS103" s="13" t="str">
        <f t="shared" si="83"/>
        <v>Processor</v>
      </c>
      <c r="AT103" s="13" t="str">
        <f t="shared" si="83"/>
        <v>Internminne (GB)</v>
      </c>
      <c r="AU103" s="13" t="str">
        <f t="shared" si="83"/>
        <v>Hårddisk</v>
      </c>
      <c r="AV103" s="13" t="str">
        <f t="shared" si="83"/>
        <v>Skärmstorlek (tum)</v>
      </c>
      <c r="AW103" s="13" t="str">
        <f t="shared" si="83"/>
        <v>Portar USB</v>
      </c>
      <c r="AX103" s="13" t="str">
        <f t="shared" si="83"/>
        <v>Portar USB C</v>
      </c>
      <c r="AY103" s="13" t="str">
        <f t="shared" si="83"/>
        <v>Portar HDMI/Display</v>
      </c>
      <c r="AZ103" s="13" t="str">
        <f t="shared" si="83"/>
        <v>Kommunikation WLAN</v>
      </c>
      <c r="BA103" s="13" t="str">
        <f t="shared" si="83"/>
        <v>Kommunikation Bluetooth</v>
      </c>
      <c r="BB103" s="13" t="str">
        <f t="shared" si="83"/>
        <v>Batteritid (tim)</v>
      </c>
      <c r="BC103" s="13" t="str">
        <f t="shared" si="83"/>
        <v>Energiprestanda</v>
      </c>
      <c r="BD103" s="13" t="str">
        <f t="shared" si="83"/>
        <v>Låsskydd</v>
      </c>
      <c r="BE103" s="13" t="str">
        <f t="shared" si="83"/>
        <v>Operativsystem</v>
      </c>
      <c r="BF103" s="13" t="str">
        <f t="shared" si="83"/>
        <v>Modellbenämning</v>
      </c>
      <c r="BG103" t="s">
        <v>224</v>
      </c>
      <c r="BH103" s="56" t="s">
        <v>53</v>
      </c>
      <c r="BI103" s="56" t="s">
        <v>54</v>
      </c>
      <c r="BJ103" s="56" t="s">
        <v>55</v>
      </c>
      <c r="BK103" s="56" t="s">
        <v>59</v>
      </c>
      <c r="BL103" s="57" t="s">
        <v>228</v>
      </c>
      <c r="BM103" s="57" t="s">
        <v>229</v>
      </c>
      <c r="BN103" s="57" t="s">
        <v>230</v>
      </c>
      <c r="BO103" s="57" t="s">
        <v>231</v>
      </c>
      <c r="BP103" s="57" t="s">
        <v>340</v>
      </c>
      <c r="BQ103" s="57" t="s">
        <v>341</v>
      </c>
      <c r="BR103" s="57" t="s">
        <v>342</v>
      </c>
      <c r="BS103" s="57" t="s">
        <v>343</v>
      </c>
      <c r="BT103" s="57" t="s">
        <v>345</v>
      </c>
      <c r="BU103" s="57" t="s">
        <v>346</v>
      </c>
      <c r="BV103" s="57" t="s">
        <v>347</v>
      </c>
      <c r="BW103" s="57" t="s">
        <v>348</v>
      </c>
      <c r="BX103" s="57"/>
      <c r="BY103" s="57" t="s">
        <v>6</v>
      </c>
      <c r="BZ103" s="4" t="s">
        <v>51</v>
      </c>
      <c r="CA103" s="13"/>
      <c r="CB103" s="13"/>
      <c r="CC103" s="13"/>
      <c r="CD103" s="13"/>
      <c r="CE103" s="13"/>
      <c r="CF103" s="13"/>
      <c r="CG103" s="13"/>
      <c r="CH103" s="13"/>
      <c r="CI103" s="13"/>
      <c r="CJ103" s="13"/>
      <c r="CK103" s="13"/>
      <c r="CL103" s="13"/>
      <c r="CM103" s="13"/>
      <c r="CN103" s="13"/>
    </row>
    <row r="104" spans="2:92" ht="22.5" customHeight="1" x14ac:dyDescent="0.35">
      <c r="B104">
        <f ca="1">COUNTIF($F$7:F107,"Produkt I varukorg*")</f>
        <v>3</v>
      </c>
      <c r="C104" t="s">
        <v>474</v>
      </c>
      <c r="F104" s="187" t="str" cm="1">
        <f t="array" ref="F104">IF(D143&lt;1,"Inget antal angivet",IFERROR(INDEX($Z106:$Z132,MATCH(F101,$AA106:$AA132,0),0),"Ingen produkt motsvarar"))</f>
        <v>Inget antal angivet</v>
      </c>
      <c r="G104" s="188">
        <f ca="1">IFERROR(P106,"Ingen produkt motsvarar")</f>
        <v>6420</v>
      </c>
      <c r="H104" s="188">
        <f ca="1">IFERROR(P107,"")</f>
        <v>7599</v>
      </c>
      <c r="I104" s="188">
        <f ca="1">IFERROR(P108,"")</f>
        <v>7640</v>
      </c>
      <c r="J104" s="54"/>
      <c r="AA104" t="str">
        <f>IF(COUNTIF(AB104:AK104,FALSE)&gt;0,AP104,"")</f>
        <v/>
      </c>
      <c r="AB104" t="b">
        <f>IF($D$109="",TRUE,IF(AR104=$D$109,TRUE,FALSE))</f>
        <v>1</v>
      </c>
      <c r="AC104" t="b">
        <f>IF(D106="",TRUE,IF(AS104=$D$110,TRUE,FALSE))</f>
        <v>1</v>
      </c>
      <c r="AD104" t="b">
        <f>IF(D109="",TRUE,IF(AT104=D109,TRUE,FALSE))</f>
        <v>1</v>
      </c>
      <c r="AE104" t="b">
        <f>IF(D110="",TRUE,IF(AU104=D110,TRUE,FALSE))</f>
        <v>1</v>
      </c>
      <c r="AF104" t="b">
        <f>IF(D111="",TRUE,IF(AV104=D111,TRUE,FALSE))</f>
        <v>1</v>
      </c>
      <c r="AG104" t="b">
        <f>IF(D112="",TRUE,IF(AW104=D112,TRUE,FALSE))</f>
        <v>1</v>
      </c>
      <c r="AH104" t="b">
        <f>IF(D108="",TRUE,IF(AX104=D108,TRUE,FALSE))</f>
        <v>1</v>
      </c>
      <c r="AI104" t="b">
        <f>IF(D113="",TRUE,IF(AY104=D113,TRUE,FALSE))</f>
        <v>1</v>
      </c>
      <c r="AJ104" t="b">
        <f>IF(D114="",TRUE,IF(AZ104=D114,TRUE,FALSE))</f>
        <v>1</v>
      </c>
      <c r="AK104" t="b">
        <f>IF(D115="",TRUE,IF(BA104=D115,TRUE,FALSE))</f>
        <v>1</v>
      </c>
      <c r="AP104" t="s">
        <v>126</v>
      </c>
      <c r="AR104" s="58" t="str">
        <f t="shared" ref="AR104:BW104" ca="1" si="84">IFERROR(INDEX(INDIRECT(AR$101&amp;"!$A$10:CC100000"),MATCH($AP104,INDIRECT(AR$101&amp;"!BH$10:BH100000"),0),MATCH(AR$103,INDIRECT(AR$101&amp;"!a10:CC10"),0)),"False")</f>
        <v>False</v>
      </c>
      <c r="AS104" s="58" t="str">
        <f t="shared" ca="1" si="84"/>
        <v>False</v>
      </c>
      <c r="AT104" s="58" t="str">
        <f t="shared" ca="1" si="84"/>
        <v>False</v>
      </c>
      <c r="AU104" s="58" t="str">
        <f t="shared" ca="1" si="84"/>
        <v>False</v>
      </c>
      <c r="AV104" s="58" t="str">
        <f t="shared" ca="1" si="84"/>
        <v>False</v>
      </c>
      <c r="AW104" s="58" t="str">
        <f t="shared" ca="1" si="84"/>
        <v>False</v>
      </c>
      <c r="AX104" s="58" t="str">
        <f t="shared" ca="1" si="84"/>
        <v>False</v>
      </c>
      <c r="AY104" s="58" t="str">
        <f t="shared" ca="1" si="84"/>
        <v>False</v>
      </c>
      <c r="AZ104" s="58" t="str">
        <f t="shared" ca="1" si="84"/>
        <v>False</v>
      </c>
      <c r="BA104" s="58" t="str">
        <f t="shared" ca="1" si="84"/>
        <v>False</v>
      </c>
      <c r="BB104" s="58" t="str">
        <f t="shared" ca="1" si="84"/>
        <v>False</v>
      </c>
      <c r="BC104" s="58" t="str">
        <f t="shared" ca="1" si="84"/>
        <v>False</v>
      </c>
      <c r="BD104" s="58" t="str">
        <f t="shared" ca="1" si="84"/>
        <v>False</v>
      </c>
      <c r="BE104" s="58" t="str">
        <f t="shared" ca="1" si="84"/>
        <v>False</v>
      </c>
      <c r="BF104" s="58" t="str">
        <f t="shared" ca="1" si="84"/>
        <v>False</v>
      </c>
      <c r="BG104" s="58" t="str">
        <f t="shared" ca="1" si="84"/>
        <v>False</v>
      </c>
      <c r="BH104" s="58" t="str">
        <f t="shared" ca="1" si="84"/>
        <v>False</v>
      </c>
      <c r="BI104" s="58" t="str">
        <f t="shared" ca="1" si="84"/>
        <v>False</v>
      </c>
      <c r="BJ104" s="58" t="str">
        <f t="shared" ca="1" si="84"/>
        <v>False</v>
      </c>
      <c r="BK104" s="58" t="str">
        <f t="shared" ca="1" si="84"/>
        <v>False</v>
      </c>
      <c r="BL104" s="58" t="str">
        <f t="shared" ca="1" si="84"/>
        <v>False</v>
      </c>
      <c r="BM104" s="58" t="str">
        <f t="shared" ca="1" si="84"/>
        <v>False</v>
      </c>
      <c r="BN104" s="58" t="str">
        <f t="shared" ca="1" si="84"/>
        <v>False</v>
      </c>
      <c r="BO104" s="58" t="str">
        <f t="shared" ca="1" si="84"/>
        <v>False</v>
      </c>
      <c r="BP104" s="58" t="str">
        <f t="shared" ca="1" si="84"/>
        <v>False</v>
      </c>
      <c r="BQ104" s="58" t="str">
        <f t="shared" ca="1" si="84"/>
        <v>False</v>
      </c>
      <c r="BR104" s="58" t="str">
        <f t="shared" ca="1" si="84"/>
        <v>False</v>
      </c>
      <c r="BS104" s="58" t="str">
        <f t="shared" ca="1" si="84"/>
        <v>False</v>
      </c>
      <c r="BT104" s="58" t="str">
        <f t="shared" ca="1" si="84"/>
        <v>False</v>
      </c>
      <c r="BU104" s="58" t="str">
        <f t="shared" ca="1" si="84"/>
        <v>False</v>
      </c>
      <c r="BV104" s="58" t="str">
        <f t="shared" ca="1" si="84"/>
        <v>False</v>
      </c>
      <c r="BW104" s="58" t="str">
        <f t="shared" ca="1" si="84"/>
        <v>False</v>
      </c>
      <c r="BX104" s="58"/>
      <c r="BY104" s="58" t="str">
        <f ca="1">IFERROR(INDEX(INDIRECT(BY$101&amp;"!$A$10:CC100000"),MATCH($AP104,INDIRECT(BY$101&amp;"!BH$10:BH100000"),0),MATCH(BY$103,INDIRECT(BY$101&amp;"!a10:CC10"),0)),"False")</f>
        <v>False</v>
      </c>
      <c r="BZ104" s="58" t="str">
        <f ca="1">IFERROR(INDEX(INDIRECT(BZ$101&amp;"!$A$10:CC100000"),MATCH($AP104,INDIRECT(BZ$101&amp;"!BH$10:BH100000"),0),MATCH(BZ$103,INDIRECT(BZ$101&amp;"!a10:CC10"),0)),"False")</f>
        <v>False</v>
      </c>
      <c r="CA104" s="58"/>
      <c r="CB104" s="58"/>
      <c r="CC104" s="58"/>
      <c r="CD104" s="58"/>
      <c r="CE104" s="58"/>
      <c r="CF104" s="58"/>
      <c r="CG104" s="58"/>
      <c r="CH104" s="58"/>
      <c r="CI104" s="58"/>
      <c r="CJ104" s="58"/>
      <c r="CK104" s="58"/>
      <c r="CL104" s="58"/>
      <c r="CM104" s="58"/>
      <c r="CN104" s="58"/>
    </row>
    <row r="105" spans="2:92" ht="22.5" customHeight="1" x14ac:dyDescent="0.35">
      <c r="C105" s="210" t="str">
        <f ca="1" xml:space="preserve"> "Bärbar dator (A) "  &amp; RIGHT("00" &amp; B104,2)</f>
        <v>Bärbar dator (A) 03</v>
      </c>
      <c r="D105" s="211"/>
      <c r="F105" s="59" t="str">
        <f>IF(F$104="Inget antal angivet","",IFERROR(INDEX($AR$105:$BZ$132,MATCH(F$101,$AP$105:$AP$132,0),MATCH("Modellbenämning",$AR$105:$BZ$105,0)),""))</f>
        <v/>
      </c>
      <c r="G105" s="59" t="str">
        <f ca="1">IFERROR(INDEX($AR$105:$BZ$132,MATCH(G$101,$AP$105:$AP$132,0),MATCH("Modellbenämning",$AR$105:$BZ$105,0)),"")</f>
        <v>ProBook 445 G8</v>
      </c>
      <c r="H105" s="59" t="str">
        <f ca="1">IFERROR(INDEX($AR$105:$BZ$132,MATCH(H$101,$AP$105:$AP$132,0),MATCH("Modellbenämning",$AR$105:$BZ$105,0)),"")</f>
        <v>ProBook 445 G10</v>
      </c>
      <c r="I105" s="59" t="str">
        <f ca="1">IFERROR(INDEX($AR$105:$BZ$132,MATCH(I$101,$AP$105:$AP$132,0),MATCH("Modellbenämning",$AR$105:$BZ$105,0)),"")</f>
        <v>ProBook 445 G8</v>
      </c>
      <c r="J105" s="60"/>
      <c r="K105" s="195"/>
      <c r="L105" s="195"/>
      <c r="M105" s="195"/>
      <c r="N105" s="195" t="e">
        <f ca="1">INDEX($N$106:$N$111,MATCH(Överblick!$L$2,$M$106:$M$111,0))</f>
        <v>#N/A</v>
      </c>
      <c r="O105" s="195"/>
      <c r="P105" s="195"/>
      <c r="Q105" s="195"/>
      <c r="R105" s="195">
        <v>1</v>
      </c>
      <c r="S105" s="195">
        <v>2</v>
      </c>
      <c r="T105" s="195">
        <v>3</v>
      </c>
      <c r="U105" s="195">
        <v>4</v>
      </c>
      <c r="V105" s="195">
        <v>5</v>
      </c>
      <c r="W105" s="195">
        <v>6</v>
      </c>
      <c r="X105" s="195">
        <v>7</v>
      </c>
      <c r="Y105" s="195">
        <v>8</v>
      </c>
      <c r="Z105" s="195"/>
      <c r="AA105" s="195" t="s">
        <v>122</v>
      </c>
      <c r="AB105" s="195" t="s">
        <v>2</v>
      </c>
      <c r="AC105" s="195" t="s">
        <v>4</v>
      </c>
      <c r="AD105" s="195" t="s">
        <v>119</v>
      </c>
      <c r="AE105" s="195" t="s">
        <v>16</v>
      </c>
      <c r="AF105" s="195" t="s">
        <v>7</v>
      </c>
      <c r="AG105" s="195" t="s">
        <v>67</v>
      </c>
      <c r="AH105" s="195" t="s">
        <v>74</v>
      </c>
      <c r="AI105" s="195" t="s">
        <v>97</v>
      </c>
      <c r="AJ105" s="195" t="s">
        <v>103</v>
      </c>
      <c r="AK105" s="195" t="s">
        <v>75</v>
      </c>
      <c r="AL105" s="195" t="s">
        <v>38</v>
      </c>
      <c r="AM105" s="195" t="s">
        <v>120</v>
      </c>
      <c r="AN105" s="195"/>
      <c r="AO105" s="195"/>
      <c r="AP105" s="195" t="s">
        <v>222</v>
      </c>
      <c r="AQ105" s="195">
        <v>1</v>
      </c>
      <c r="AR105" s="195" t="s">
        <v>2</v>
      </c>
      <c r="AS105" s="195" t="s">
        <v>4</v>
      </c>
      <c r="AT105" s="195" t="s">
        <v>119</v>
      </c>
      <c r="AU105" s="195" t="s">
        <v>16</v>
      </c>
      <c r="AV105" s="195" t="s">
        <v>7</v>
      </c>
      <c r="AW105" s="195" t="s">
        <v>67</v>
      </c>
      <c r="AX105" s="195" t="s">
        <v>74</v>
      </c>
      <c r="AY105" s="195" t="s">
        <v>97</v>
      </c>
      <c r="AZ105" s="195" t="s">
        <v>103</v>
      </c>
      <c r="BA105" s="195" t="s">
        <v>75</v>
      </c>
      <c r="BB105" s="195" t="s">
        <v>120</v>
      </c>
      <c r="BC105" s="195" t="s">
        <v>38</v>
      </c>
      <c r="BD105" s="195" t="s">
        <v>37</v>
      </c>
      <c r="BE105" s="195" t="s">
        <v>3</v>
      </c>
      <c r="BF105" s="195" t="s">
        <v>52</v>
      </c>
      <c r="BG105" s="195" t="s">
        <v>25</v>
      </c>
      <c r="BH105" s="195" t="s">
        <v>53</v>
      </c>
      <c r="BI105" s="195" t="s">
        <v>54</v>
      </c>
      <c r="BJ105" s="195" t="s">
        <v>55</v>
      </c>
      <c r="BK105" s="195" t="s">
        <v>59</v>
      </c>
      <c r="BL105" s="195" t="s">
        <v>228</v>
      </c>
      <c r="BM105" s="195" t="s">
        <v>229</v>
      </c>
      <c r="BN105" s="195" t="s">
        <v>230</v>
      </c>
      <c r="BO105" s="195" t="s">
        <v>231</v>
      </c>
      <c r="BP105" s="195" t="s">
        <v>340</v>
      </c>
      <c r="BQ105" s="195" t="s">
        <v>341</v>
      </c>
      <c r="BR105" s="195" t="s">
        <v>342</v>
      </c>
      <c r="BS105" s="195" t="s">
        <v>343</v>
      </c>
      <c r="BT105" s="195" t="s">
        <v>345</v>
      </c>
      <c r="BU105" s="195" t="s">
        <v>346</v>
      </c>
      <c r="BV105" s="195" t="s">
        <v>347</v>
      </c>
      <c r="BW105" s="195" t="s">
        <v>348</v>
      </c>
      <c r="BX105" s="195"/>
      <c r="BY105" s="195" t="s">
        <v>6</v>
      </c>
      <c r="BZ105" s="195" t="s">
        <v>51</v>
      </c>
      <c r="CA105" s="184" t="s">
        <v>2</v>
      </c>
      <c r="CB105" s="184" t="s">
        <v>4</v>
      </c>
      <c r="CC105" s="184" t="s">
        <v>119</v>
      </c>
      <c r="CD105" s="184" t="s">
        <v>16</v>
      </c>
      <c r="CE105" s="184" t="s">
        <v>7</v>
      </c>
      <c r="CF105" s="184" t="s">
        <v>67</v>
      </c>
      <c r="CG105" s="184" t="s">
        <v>74</v>
      </c>
      <c r="CH105" s="184" t="s">
        <v>97</v>
      </c>
      <c r="CI105" s="184" t="s">
        <v>103</v>
      </c>
      <c r="CJ105" s="184" t="s">
        <v>75</v>
      </c>
      <c r="CK105" s="184" t="s">
        <v>120</v>
      </c>
      <c r="CL105" s="184" t="s">
        <v>38</v>
      </c>
      <c r="CM105" s="184" t="s">
        <v>37</v>
      </c>
      <c r="CN105" s="184" t="s">
        <v>3</v>
      </c>
    </row>
    <row r="106" spans="2:92" ht="22.5" customHeight="1" outlineLevel="1" x14ac:dyDescent="0.35">
      <c r="C106" s="210" t="s">
        <v>261</v>
      </c>
      <c r="D106" s="211"/>
      <c r="F106" s="82" t="str">
        <f>IF(F$104="Inget antal angivet","",IFERROR(INDEX($AR$105:$BZ$132,MATCH(F$101,$AP$105:$AP$132,0),MATCH("Varumärke",$AR$105:$BZ$105,0)),""))</f>
        <v/>
      </c>
      <c r="G106" s="83" t="str">
        <f ca="1">IFERROR(INDEX($AR$105:$BZ$132,MATCH(G$101,$AP$105:$AP$132,0),MATCH("Varumärke",$AR$105:$BZ$105,0)),"")</f>
        <v>HP</v>
      </c>
      <c r="H106" s="83" t="str">
        <f ca="1">IFERROR(INDEX($AR$105:$BZ$132,MATCH(H$101,$AP$105:$AP$132,0),MATCH("Varumärke",$AR$105:$BZ$105,0)),"")</f>
        <v>HP</v>
      </c>
      <c r="I106" s="119" t="str">
        <f ca="1">IFERROR(INDEX($AR$105:$BZ$132,MATCH(I$101,$AP$105:$AP$132,0),MATCH("Varumärke",$AR$105:$BZ$105,0)),"")</f>
        <v>HP</v>
      </c>
      <c r="J106" s="62"/>
      <c r="K106" s="196">
        <f t="shared" ref="K106:K111" ca="1" si="85">O106*$D$143</f>
        <v>0</v>
      </c>
      <c r="L106" s="185" t="b">
        <f t="shared" ref="L106:L111" si="86">IF($D$143=0,TRUE,IF(K106=0,FALSE,TRUE))</f>
        <v>1</v>
      </c>
      <c r="M106" s="185" t="s">
        <v>162</v>
      </c>
      <c r="N106" s="185" t="str">
        <f t="shared" ref="N106:N111" ca="1" si="87">INDEX($AA$106:$AA$132,MATCH(O106,$Z$106:$Z$132,0))</f>
        <v>Offererad produktnr. 01Advania Sverige AB</v>
      </c>
      <c r="O106" s="196" cm="1">
        <f t="array" aca="1" ref="O106" ca="1">MIN(IF(($BY$106:$BY$129=M106)*($AQ$106:$AQ$129=$O$103),$Z$106:$Z$129))</f>
        <v>8880</v>
      </c>
      <c r="P106" s="197">
        <f ca="1">SMALL($Z$106:$Z$132,1)</f>
        <v>6420</v>
      </c>
      <c r="Q106" s="185">
        <f t="shared" ref="Q106:Q125" si="88">SUM(R106:Y106)</f>
        <v>0</v>
      </c>
      <c r="R106" s="185">
        <f t="shared" ref="R106:R125" si="89">IF($D$123="",0,BH106)</f>
        <v>0</v>
      </c>
      <c r="S106" s="185">
        <f t="shared" ref="S106:S125" si="90">IF($D$126="",0,BI106)</f>
        <v>0</v>
      </c>
      <c r="T106" s="185">
        <f t="shared" ref="T106:T125" si="91">IF($D$129="",0,BJ106)</f>
        <v>0</v>
      </c>
      <c r="U106" s="185">
        <f t="shared" ref="U106:U125" si="92">IF($D$132="",0,BK106)</f>
        <v>0</v>
      </c>
      <c r="V106" s="185">
        <f t="shared" ref="V106:V125" si="93">IF($D$136="",0,BL106)</f>
        <v>0</v>
      </c>
      <c r="W106" s="185">
        <f t="shared" ref="W106:W125" si="94">IF($D$137="",0,BM106)</f>
        <v>0</v>
      </c>
      <c r="X106" s="185">
        <f t="shared" ref="X106:X125" si="95">IF($D$138="",0,BN106)</f>
        <v>0</v>
      </c>
      <c r="Y106" s="185">
        <f t="shared" ref="Y106:Y125" si="96">IF($D$139="",0,BO106)</f>
        <v>0</v>
      </c>
      <c r="Z106" s="196">
        <f t="shared" ref="Z106:Z125" ca="1" si="97">IF(AA106="","",SUM(BG106,R106:Y106))</f>
        <v>8880</v>
      </c>
      <c r="AA106" s="185" t="str">
        <f t="shared" ref="AA106:AA125" ca="1" si="98">IF(COUNTIF(AB106:AO106,FALSE)&gt;0,"",AP106)</f>
        <v>Offererad produktnr. 01Advania Sverige AB</v>
      </c>
      <c r="AB106" s="185"/>
      <c r="AC106" s="185" t="b">
        <f ca="1">IFERROR(IF(D110="",TRUE,
IF(OR(D110=$CB$12,D110=$CB$13),IF(LEFT(AS106,FIND(" ",AS106)-1)=D110,TRUE,FALSE),
IF(OFFSET(Processor!$AB$1,MATCH($AS106,Processor!$AA$2:$AA$23,0),MATCH(LEFT(D110,FIND(" ",D110)-1),Processor!$AC$1:$AG$1,0))&gt;=
OFFSET(Processor!$AB$1,MATCH(D110,Processor!$AA$2:$AA$23,0),MATCH(LEFT(D110,FIND(" ",D110)-1),Processor!$AC$1:$AG$1,0)),TRUE,FALSE))),FALSE)</f>
        <v>1</v>
      </c>
      <c r="AD106" s="185" t="b">
        <f t="shared" ref="AD106:AD125" si="99">IF($D$111="",TRUE,IF(AT106&gt;=$D$111,TRUE,FALSE))</f>
        <v>1</v>
      </c>
      <c r="AE106" s="185" t="b">
        <f t="shared" ref="AE106:AE125" si="100">IF($D$112="",TRUE,IF(AU106&gt;=$D$112,TRUE,FALSE))</f>
        <v>1</v>
      </c>
      <c r="AF106" s="185" t="b">
        <f>IF($D$108="",TRUE,IF(COUNTIF(Processor!$I$2:$I$9,$D$108)&gt;0,AND(AV106&gt;INDEX(Processor!$J$2:$J$9,MATCH($D$108,Processor!$I$2:$I$9,0)),AV106&lt;INDEX(Processor!$K$2:$K$9,MATCH($D$108,Processor!$I$2:$I$9,0))),IF(AV106=$D$108,TRUE,FALSE)))</f>
        <v>1</v>
      </c>
      <c r="AG106" s="185" t="b">
        <f t="shared" ref="AG106:AG125" si="101">IF($D$113="",TRUE,IF(AW106&gt;=$D$113,TRUE,FALSE))</f>
        <v>1</v>
      </c>
      <c r="AH106" s="185" t="b">
        <f t="shared" ref="AH106:AH125" si="102">IF($D$114="",TRUE,IF(AX106&gt;=$D$114,TRUE,FALSE))</f>
        <v>1</v>
      </c>
      <c r="AI106" s="185" t="b">
        <f t="shared" ref="AI106:AI125" si="103">IF($D$115="",TRUE,IF(AY106=$D$115,TRUE,FALSE))</f>
        <v>1</v>
      </c>
      <c r="AJ106" s="185" t="b">
        <f t="shared" ref="AJ106:AJ125" si="104">IF($D$116="",TRUE,IF($D$116="802.11a/b/g/n/ac",TRUE,IF(AZ106&gt;=$D$116,TRUE,FALSE)))</f>
        <v>1</v>
      </c>
      <c r="AK106" s="185" t="b">
        <f t="shared" ref="AK106:AK125" si="105">IF($D$117="",TRUE,IF(BA106&gt;=$D$117,TRUE,FALSE))</f>
        <v>1</v>
      </c>
      <c r="AL106" s="185" t="b">
        <f>IFERROR(IF($D119="",TRUE,IF(MID(BC106,LEN(BC106)-2,1)*1&gt;=MID($D119,LEN($D119)-2,1)*1,TRUE,FALSE)),FALSE)</f>
        <v>1</v>
      </c>
      <c r="AM106" s="185" t="b">
        <f>IF(D118="",TRUE,IF(BB106&gt;=D118,TRUE,FALSE))</f>
        <v>1</v>
      </c>
      <c r="AN106" s="185"/>
      <c r="AO106" s="185"/>
      <c r="AP106" s="185" t="s">
        <v>198</v>
      </c>
      <c r="AQ106" s="185">
        <v>1</v>
      </c>
      <c r="AR106" s="185" t="str">
        <f t="shared" ref="AR106:BA115" ca="1" si="106">IFERROR(INDEX(INDIRECT(AR$101&amp;"!$A$10:CC100000"),MATCH($AP106,INDIRECT(AR$101&amp;"!BH$10:BH100000"),0),MATCH(AR$103,INDIRECT(AR$101&amp;"!a10:CC10"),0)),"False")</f>
        <v>1920x1080</v>
      </c>
      <c r="AS106" s="185" t="str">
        <f t="shared" ca="1" si="106"/>
        <v>AMD Ryzen 5</v>
      </c>
      <c r="AT106" s="185">
        <f t="shared" ca="1" si="106"/>
        <v>16</v>
      </c>
      <c r="AU106" s="185">
        <f t="shared" ca="1" si="106"/>
        <v>256</v>
      </c>
      <c r="AV106" s="185">
        <f t="shared" ca="1" si="106"/>
        <v>14</v>
      </c>
      <c r="AW106" s="185">
        <f t="shared" ca="1" si="106"/>
        <v>4</v>
      </c>
      <c r="AX106" s="185">
        <f t="shared" ca="1" si="106"/>
        <v>1</v>
      </c>
      <c r="AY106" s="185" t="str">
        <f t="shared" ca="1" si="106"/>
        <v>Ja, HDMI-port finns</v>
      </c>
      <c r="AZ106" s="185" t="str">
        <f t="shared" ca="1" si="106"/>
        <v>802.11a/b/g/n/ac/ax</v>
      </c>
      <c r="BA106" s="185">
        <f t="shared" ca="1" si="106"/>
        <v>5.3</v>
      </c>
      <c r="BB106" s="185">
        <f t="shared" ref="BB106:BK115" ca="1" si="107">IFERROR(INDEX(INDIRECT(BB$101&amp;"!$A$10:CC100000"),MATCH($AP106,INDIRECT(BB$101&amp;"!BH$10:BH100000"),0),MATCH(BB$103,INDIRECT(BB$101&amp;"!a10:CC10"),0)),"False")</f>
        <v>11</v>
      </c>
      <c r="BC106" s="185" t="str">
        <f t="shared" ca="1" si="107"/>
        <v>Version 8.0</v>
      </c>
      <c r="BD106" s="185" t="str">
        <f t="shared" ca="1" si="107"/>
        <v>Ja</v>
      </c>
      <c r="BE106" s="185" t="str">
        <f t="shared" ca="1" si="107"/>
        <v>Windows 11 Pro</v>
      </c>
      <c r="BF106" s="185" t="str">
        <f t="shared" ca="1" si="107"/>
        <v>ProBook 445 G10</v>
      </c>
      <c r="BG106" s="185">
        <f t="shared" ca="1" si="107"/>
        <v>8880</v>
      </c>
      <c r="BH106" s="192">
        <f t="shared" ca="1" si="107"/>
        <v>60</v>
      </c>
      <c r="BI106" s="192">
        <f t="shared" ca="1" si="107"/>
        <v>218</v>
      </c>
      <c r="BJ106" s="192">
        <f t="shared" ca="1" si="107"/>
        <v>251</v>
      </c>
      <c r="BK106" s="192">
        <f t="shared" ca="1" si="107"/>
        <v>1462</v>
      </c>
      <c r="BL106" s="192">
        <f t="shared" ref="BL106:BW115" ca="1" si="108">IFERROR(INDEX(INDIRECT(BL$101&amp;"!$A$10:CC100000"),MATCH($AP106,INDIRECT(BL$101&amp;"!BH$10:BH100000"),0),MATCH(BL$103,INDIRECT(BL$101&amp;"!a10:CC10"),0)),"False")</f>
        <v>226</v>
      </c>
      <c r="BM106" s="192">
        <f t="shared" ca="1" si="108"/>
        <v>112</v>
      </c>
      <c r="BN106" s="192">
        <f t="shared" ca="1" si="108"/>
        <v>50</v>
      </c>
      <c r="BO106" s="192">
        <f t="shared" ca="1" si="108"/>
        <v>50</v>
      </c>
      <c r="BP106" s="192" t="str">
        <f t="shared" ca="1" si="108"/>
        <v>V7</v>
      </c>
      <c r="BQ106" s="192" t="str">
        <f t="shared" ca="1" si="108"/>
        <v>PORT Designs</v>
      </c>
      <c r="BR106" s="192" t="str">
        <f t="shared" ca="1" si="108"/>
        <v>CoreParts</v>
      </c>
      <c r="BS106" s="192" t="str">
        <f t="shared" ca="1" si="108"/>
        <v>HP</v>
      </c>
      <c r="BT106" s="192" t="str">
        <f t="shared" ca="1" si="108"/>
        <v xml:space="preserve"> CSE14-BLK-3E  -Fodral för bärbar dator - 14" - svart</v>
      </c>
      <c r="BU106" s="192" t="str">
        <f t="shared" ca="1" si="108"/>
        <v>900003 - Professional - filter för personlig integritet - 14"</v>
      </c>
      <c r="BV106" s="192" t="str">
        <f t="shared" ca="1" si="108"/>
        <v>MBXUSBC-AC0005 - USB-C - strömadapter 45 Watt</v>
      </c>
      <c r="BW106" s="192" t="str">
        <f t="shared" ca="1" si="108"/>
        <v>72C71AA#ABB - Essential - dockningsstation</v>
      </c>
      <c r="BX106" s="192"/>
      <c r="BY106" s="192" t="str">
        <f t="shared" ref="BY106:BZ125" ca="1" si="109">IFERROR(INDEX(INDIRECT(BY$101&amp;"!$A$10:CC100000"),MATCH($AP106,INDIRECT(BY$101&amp;"!BH$10:BH100000"),0),MATCH(BY$103,INDIRECT(BY$101&amp;"!a10:CC10"),0)),"False")</f>
        <v>Advania Sverige AB</v>
      </c>
      <c r="BZ106" s="192" t="str">
        <f t="shared" ca="1" si="109"/>
        <v>HP</v>
      </c>
      <c r="CA106" s="185" t="s">
        <v>71</v>
      </c>
      <c r="CB106" s="185" t="s">
        <v>687</v>
      </c>
      <c r="CC106" s="185">
        <v>8</v>
      </c>
      <c r="CD106" s="185">
        <v>256</v>
      </c>
      <c r="CE106" s="185">
        <v>14</v>
      </c>
      <c r="CF106" s="185">
        <v>3</v>
      </c>
      <c r="CG106" s="185">
        <v>1</v>
      </c>
      <c r="CH106" s="185" t="s">
        <v>84</v>
      </c>
      <c r="CI106" s="185" t="s">
        <v>86</v>
      </c>
      <c r="CJ106" s="186">
        <v>5.3</v>
      </c>
      <c r="CK106" s="185">
        <v>11</v>
      </c>
      <c r="CL106" s="185" t="s">
        <v>686</v>
      </c>
      <c r="CM106" s="185" t="s">
        <v>69</v>
      </c>
      <c r="CN106" s="185" t="s">
        <v>567</v>
      </c>
    </row>
    <row r="107" spans="2:92" ht="22.5" customHeight="1" outlineLevel="1" x14ac:dyDescent="0.35">
      <c r="C107" s="61" t="s">
        <v>3</v>
      </c>
      <c r="D107" s="64"/>
      <c r="F107" s="80" t="str">
        <f t="shared" ref="F107:F120" si="110">IF(F$104="Inget antal angivet","",IFERROR(INDEX($AR$105:$BZ$132,MATCH(F$101,$AP$105:$AP$132,0),MATCH($C107,$AR$105:$BZ$105,0)),""))</f>
        <v/>
      </c>
      <c r="G107" s="81" t="str">
        <f t="shared" ref="G107:I120" ca="1" si="111">IFERROR(INDEX($AR$105:$BZ$132,MATCH(G$101,$AP$105:$AP$132,0),MATCH($C107,$AR$105:$BZ$105,0)),"")</f>
        <v>Windows 10 Pro</v>
      </c>
      <c r="H107" s="81" t="str">
        <f t="shared" ca="1" si="111"/>
        <v>Windows 11 Pro</v>
      </c>
      <c r="I107" s="120" t="str">
        <f t="shared" ca="1" si="111"/>
        <v>Windows 10 Pro</v>
      </c>
      <c r="J107" s="62"/>
      <c r="K107" s="196">
        <f t="shared" ca="1" si="85"/>
        <v>0</v>
      </c>
      <c r="L107" s="185" t="b">
        <f t="shared" si="86"/>
        <v>1</v>
      </c>
      <c r="M107" s="185" t="s">
        <v>150</v>
      </c>
      <c r="N107" s="185" t="str">
        <f t="shared" ca="1" si="87"/>
        <v>Offererad produktnr. 01Atea Sverige AB</v>
      </c>
      <c r="O107" s="196" cm="1">
        <f t="array" aca="1" ref="O107" ca="1">MIN(IF(($BY$106:$BY$129=M107)*($AQ$106:$AQ$129=$O$103),$Z$106:$Z$129))</f>
        <v>11724</v>
      </c>
      <c r="P107" s="197">
        <f ca="1">SMALL($Z$106:$Z$132,2)</f>
        <v>7599</v>
      </c>
      <c r="Q107" s="185">
        <f t="shared" si="88"/>
        <v>0</v>
      </c>
      <c r="R107" s="185">
        <f t="shared" si="89"/>
        <v>0</v>
      </c>
      <c r="S107" s="185">
        <f t="shared" si="90"/>
        <v>0</v>
      </c>
      <c r="T107" s="185">
        <f t="shared" si="91"/>
        <v>0</v>
      </c>
      <c r="U107" s="185">
        <f t="shared" si="92"/>
        <v>0</v>
      </c>
      <c r="V107" s="185">
        <f t="shared" si="93"/>
        <v>0</v>
      </c>
      <c r="W107" s="185">
        <f t="shared" si="94"/>
        <v>0</v>
      </c>
      <c r="X107" s="185">
        <f t="shared" si="95"/>
        <v>0</v>
      </c>
      <c r="Y107" s="185">
        <f t="shared" si="96"/>
        <v>0</v>
      </c>
      <c r="Z107" s="196">
        <f t="shared" ca="1" si="97"/>
        <v>9324</v>
      </c>
      <c r="AA107" s="185" t="str">
        <f t="shared" ca="1" si="98"/>
        <v>Offererad produktnr. 02Advania Sverige AB</v>
      </c>
      <c r="AB107" s="185"/>
      <c r="AC107" s="185" t="b">
        <f ca="1">IFERROR(IF(D110="",TRUE,
IF(OR(D110=$CB$12,D110=$CB$13),IF(LEFT(AS107,FIND(" ",AS107)-1)=D110,TRUE,FALSE),
IF(OFFSET(Processor!$AB$1,MATCH($AS107,Processor!$AA$2:$AA$23,0),MATCH(LEFT(D110,FIND(" ",D110)-1),Processor!$AC$1:$AG$1,0))&gt;=
OFFSET(Processor!$AB$1,MATCH(D110,Processor!$AA$2:$AA$23,0),MATCH(LEFT(D110,FIND(" ",D110)-1),Processor!$AC$1:$AG$1,0)),TRUE,FALSE))),FALSE)</f>
        <v>1</v>
      </c>
      <c r="AD107" s="185" t="b">
        <f t="shared" si="99"/>
        <v>1</v>
      </c>
      <c r="AE107" s="185" t="b">
        <f t="shared" si="100"/>
        <v>1</v>
      </c>
      <c r="AF107" s="185" t="b">
        <f>IF($D$108="",TRUE,IF(COUNTIF(Processor!$I$2:$I$9,$D$108)&gt;0,AND(AV107&gt;INDEX(Processor!$J$2:$J$9,MATCH($D$108,Processor!$I$2:$I$9,0)),AV107&lt;INDEX(Processor!$K$2:$K$9,MATCH($D$108,Processor!$I$2:$I$9,0))),IF(AV107=$D$108,TRUE,FALSE)))</f>
        <v>1</v>
      </c>
      <c r="AG107" s="185" t="b">
        <f t="shared" si="101"/>
        <v>1</v>
      </c>
      <c r="AH107" s="185" t="b">
        <f t="shared" si="102"/>
        <v>1</v>
      </c>
      <c r="AI107" s="185" t="b">
        <f t="shared" si="103"/>
        <v>1</v>
      </c>
      <c r="AJ107" s="185" t="b">
        <f t="shared" si="104"/>
        <v>1</v>
      </c>
      <c r="AK107" s="185" t="b">
        <f t="shared" si="105"/>
        <v>1</v>
      </c>
      <c r="AL107" s="185" t="b">
        <f>IFERROR(IF($D119="",TRUE,IF(MID(BC107,LEN(BC107)-2,1)*1&gt;=MID($D119,LEN($D119)-2,1)*1,TRUE,FALSE)),FALSE)</f>
        <v>1</v>
      </c>
      <c r="AM107" s="185" t="b">
        <f>IF(D118="",TRUE,IF(BB107&gt;=D118,TRUE,FALSE))</f>
        <v>1</v>
      </c>
      <c r="AN107" s="185"/>
      <c r="AO107" s="185"/>
      <c r="AP107" s="185" t="s">
        <v>199</v>
      </c>
      <c r="AQ107" s="185">
        <v>1</v>
      </c>
      <c r="AR107" s="185" t="str">
        <f t="shared" ca="1" si="106"/>
        <v>1920x1080</v>
      </c>
      <c r="AS107" s="185" t="str">
        <f t="shared" ca="1" si="106"/>
        <v>Intel i5 Gen 12</v>
      </c>
      <c r="AT107" s="185">
        <f t="shared" ca="1" si="106"/>
        <v>16</v>
      </c>
      <c r="AU107" s="185">
        <f t="shared" ca="1" si="106"/>
        <v>256</v>
      </c>
      <c r="AV107" s="185">
        <f t="shared" ca="1" si="106"/>
        <v>14</v>
      </c>
      <c r="AW107" s="185">
        <f t="shared" ca="1" si="106"/>
        <v>4</v>
      </c>
      <c r="AX107" s="185">
        <f t="shared" ca="1" si="106"/>
        <v>1</v>
      </c>
      <c r="AY107" s="185" t="str">
        <f t="shared" ca="1" si="106"/>
        <v>Ja, HDMI-port finns</v>
      </c>
      <c r="AZ107" s="185" t="str">
        <f t="shared" ca="1" si="106"/>
        <v>802.11a/b/g/n/ac</v>
      </c>
      <c r="BA107" s="185">
        <f t="shared" ca="1" si="106"/>
        <v>5.2</v>
      </c>
      <c r="BB107" s="185">
        <f t="shared" ca="1" si="107"/>
        <v>11</v>
      </c>
      <c r="BC107" s="185" t="str">
        <f t="shared" ca="1" si="107"/>
        <v>Version 8.0</v>
      </c>
      <c r="BD107" s="185" t="str">
        <f t="shared" ca="1" si="107"/>
        <v>Ja</v>
      </c>
      <c r="BE107" s="185" t="str">
        <f t="shared" ca="1" si="107"/>
        <v>Windows 11 Pro</v>
      </c>
      <c r="BF107" s="185" t="str">
        <f t="shared" ca="1" si="107"/>
        <v>ProBook 440 G10</v>
      </c>
      <c r="BG107" s="185">
        <f t="shared" ca="1" si="107"/>
        <v>9324</v>
      </c>
      <c r="BH107" s="192">
        <f t="shared" ca="1" si="107"/>
        <v>60</v>
      </c>
      <c r="BI107" s="192">
        <f t="shared" ca="1" si="107"/>
        <v>218</v>
      </c>
      <c r="BJ107" s="192">
        <f t="shared" ca="1" si="107"/>
        <v>251</v>
      </c>
      <c r="BK107" s="192">
        <f t="shared" ca="1" si="107"/>
        <v>1462</v>
      </c>
      <c r="BL107" s="192">
        <f t="shared" ca="1" si="108"/>
        <v>226</v>
      </c>
      <c r="BM107" s="192">
        <f t="shared" ca="1" si="108"/>
        <v>112</v>
      </c>
      <c r="BN107" s="192">
        <f t="shared" ca="1" si="108"/>
        <v>50</v>
      </c>
      <c r="BO107" s="192">
        <f t="shared" ca="1" si="108"/>
        <v>50</v>
      </c>
      <c r="BP107" s="192" t="str">
        <f t="shared" ca="1" si="108"/>
        <v>V7</v>
      </c>
      <c r="BQ107" s="192" t="str">
        <f t="shared" ca="1" si="108"/>
        <v>PORT Designs</v>
      </c>
      <c r="BR107" s="192" t="str">
        <f t="shared" ca="1" si="108"/>
        <v>CoreParts</v>
      </c>
      <c r="BS107" s="192" t="str">
        <f t="shared" ca="1" si="108"/>
        <v>HP</v>
      </c>
      <c r="BT107" s="192" t="str">
        <f t="shared" ca="1" si="108"/>
        <v xml:space="preserve"> CSE14-BLK-3E  -Fodral för bärbar dator - 14" - svart</v>
      </c>
      <c r="BU107" s="192" t="str">
        <f t="shared" ca="1" si="108"/>
        <v>900003 - Professional - filter för personlig integritet - 14"</v>
      </c>
      <c r="BV107" s="192" t="str">
        <f t="shared" ca="1" si="108"/>
        <v>MBXUSBC-AC0005 - USB-C - strömadapter 45 Watt</v>
      </c>
      <c r="BW107" s="192" t="str">
        <f t="shared" ca="1" si="108"/>
        <v>72C71AA#ABB - Essential - dockningsstation</v>
      </c>
      <c r="BX107" s="192"/>
      <c r="BY107" s="192" t="str">
        <f t="shared" ca="1" si="109"/>
        <v>Advania Sverige AB</v>
      </c>
      <c r="BZ107" s="192" t="str">
        <f t="shared" ca="1" si="109"/>
        <v>HP</v>
      </c>
      <c r="CA107" s="185" t="s">
        <v>163</v>
      </c>
      <c r="CB107" s="185" t="s">
        <v>688</v>
      </c>
      <c r="CC107" s="185">
        <v>16</v>
      </c>
      <c r="CD107" s="185">
        <v>512</v>
      </c>
      <c r="CE107" s="185">
        <v>0</v>
      </c>
      <c r="CF107" s="185">
        <v>4</v>
      </c>
      <c r="CG107" s="185">
        <v>2</v>
      </c>
      <c r="CH107" s="185">
        <v>0</v>
      </c>
      <c r="CI107" s="185" t="s">
        <v>79</v>
      </c>
      <c r="CJ107" s="186">
        <v>5.2</v>
      </c>
      <c r="CK107" s="185">
        <v>8</v>
      </c>
      <c r="CL107" s="185" t="s">
        <v>527</v>
      </c>
      <c r="CM107" s="185">
        <v>0</v>
      </c>
      <c r="CN107" s="185" t="s">
        <v>80</v>
      </c>
    </row>
    <row r="108" spans="2:92" ht="22.5" customHeight="1" outlineLevel="1" x14ac:dyDescent="0.35">
      <c r="C108" s="61" t="s">
        <v>7</v>
      </c>
      <c r="D108" s="64"/>
      <c r="F108" s="80" t="str">
        <f t="shared" si="110"/>
        <v/>
      </c>
      <c r="G108" s="81">
        <f t="shared" ca="1" si="111"/>
        <v>14</v>
      </c>
      <c r="H108" s="81">
        <f t="shared" ca="1" si="111"/>
        <v>14</v>
      </c>
      <c r="I108" s="120">
        <f t="shared" ca="1" si="111"/>
        <v>14</v>
      </c>
      <c r="J108" s="62"/>
      <c r="K108" s="196">
        <f t="shared" ca="1" si="85"/>
        <v>0</v>
      </c>
      <c r="L108" s="185" t="b">
        <f t="shared" si="86"/>
        <v>1</v>
      </c>
      <c r="M108" s="185" t="s">
        <v>128</v>
      </c>
      <c r="N108" s="185" t="str">
        <f t="shared" ca="1" si="87"/>
        <v>Offererad produktnr. 01Dustin Sverige AB</v>
      </c>
      <c r="O108" s="196" cm="1">
        <f t="array" aca="1" ref="O108" ca="1">MIN(IF(($BY$106:$BY$129=M108)*($AQ$106:$AQ$129=$O$103),$Z$106:$Z$129))</f>
        <v>7599</v>
      </c>
      <c r="P108" s="197">
        <f ca="1">SMALL($Z$106:$Z$132,3)</f>
        <v>7640</v>
      </c>
      <c r="Q108" s="185">
        <f t="shared" si="88"/>
        <v>0</v>
      </c>
      <c r="R108" s="185">
        <f t="shared" si="89"/>
        <v>0</v>
      </c>
      <c r="S108" s="185">
        <f t="shared" si="90"/>
        <v>0</v>
      </c>
      <c r="T108" s="185">
        <f t="shared" si="91"/>
        <v>0</v>
      </c>
      <c r="U108" s="185">
        <f t="shared" si="92"/>
        <v>0</v>
      </c>
      <c r="V108" s="185">
        <f t="shared" si="93"/>
        <v>0</v>
      </c>
      <c r="W108" s="185">
        <f t="shared" si="94"/>
        <v>0</v>
      </c>
      <c r="X108" s="185">
        <f t="shared" si="95"/>
        <v>0</v>
      </c>
      <c r="Y108" s="185">
        <f t="shared" si="96"/>
        <v>0</v>
      </c>
      <c r="Z108" s="196">
        <f t="shared" ca="1" si="97"/>
        <v>10608</v>
      </c>
      <c r="AA108" s="185" t="str">
        <f t="shared" ca="1" si="98"/>
        <v>Offererad produktnr. 03Advania Sverige AB</v>
      </c>
      <c r="AB108" s="185"/>
      <c r="AC108" s="185" t="b">
        <f ca="1">IFERROR(IF(D110="",TRUE,
IF(OR(D110=$CB$12,D110=$CB$13),IF(LEFT(AS108,FIND(" ",AS108)-1)=D110,TRUE,FALSE),
IF(OFFSET(Processor!$AB$1,MATCH($AS108,Processor!$AA$2:$AA$23,0),MATCH(LEFT(D110,FIND(" ",D110)-1),Processor!$AC$1:$AG$1,0))&gt;=
OFFSET(Processor!$AB$1,MATCH(D110,Processor!$AA$2:$AA$23,0),MATCH(LEFT(D110,FIND(" ",D110)-1),Processor!$AC$1:$AG$1,0)),TRUE,FALSE))),FALSE)</f>
        <v>1</v>
      </c>
      <c r="AD108" s="185" t="b">
        <f t="shared" si="99"/>
        <v>1</v>
      </c>
      <c r="AE108" s="185" t="b">
        <f t="shared" si="100"/>
        <v>1</v>
      </c>
      <c r="AF108" s="185" t="b">
        <f>IF($D$108="",TRUE,IF(COUNTIF(Processor!$I$2:$I$9,$D$108)&gt;0,AND(AV108&gt;INDEX(Processor!$J$2:$J$9,MATCH($D$108,Processor!$I$2:$I$9,0)),AV108&lt;INDEX(Processor!$K$2:$K$9,MATCH($D$108,Processor!$I$2:$I$9,0))),IF(AV108=$D$108,TRUE,FALSE)))</f>
        <v>1</v>
      </c>
      <c r="AG108" s="185" t="b">
        <f t="shared" si="101"/>
        <v>1</v>
      </c>
      <c r="AH108" s="185" t="b">
        <f t="shared" si="102"/>
        <v>1</v>
      </c>
      <c r="AI108" s="185" t="b">
        <f t="shared" si="103"/>
        <v>1</v>
      </c>
      <c r="AJ108" s="185" t="b">
        <f t="shared" si="104"/>
        <v>1</v>
      </c>
      <c r="AK108" s="185" t="b">
        <f t="shared" si="105"/>
        <v>1</v>
      </c>
      <c r="AL108" s="185" t="b">
        <f>IFERROR(IF($D119="",TRUE,IF(MID(BC108,LEN(BC108)-2,1)*1&gt;=MID($D119,LEN($D119)-2,1)*1,TRUE,FALSE)),FALSE)</f>
        <v>1</v>
      </c>
      <c r="AM108" s="185" t="b">
        <f>IF(D118="",TRUE,IF(BB108&gt;=D118,TRUE,FALSE))</f>
        <v>1</v>
      </c>
      <c r="AN108" s="185"/>
      <c r="AO108" s="185"/>
      <c r="AP108" s="185" t="s">
        <v>200</v>
      </c>
      <c r="AQ108" s="185">
        <v>1</v>
      </c>
      <c r="AR108" s="185" t="str">
        <f t="shared" ca="1" si="106"/>
        <v>1920x1080</v>
      </c>
      <c r="AS108" s="185" t="str">
        <f t="shared" ca="1" si="106"/>
        <v>AMD Ryzen 7</v>
      </c>
      <c r="AT108" s="185">
        <f t="shared" ca="1" si="106"/>
        <v>16</v>
      </c>
      <c r="AU108" s="185">
        <f t="shared" ca="1" si="106"/>
        <v>512</v>
      </c>
      <c r="AV108" s="185">
        <f t="shared" ca="1" si="106"/>
        <v>14</v>
      </c>
      <c r="AW108" s="185">
        <f t="shared" ca="1" si="106"/>
        <v>4</v>
      </c>
      <c r="AX108" s="185">
        <f t="shared" ca="1" si="106"/>
        <v>1</v>
      </c>
      <c r="AY108" s="185" t="str">
        <f t="shared" ca="1" si="106"/>
        <v>Ja, HDMI-port finns</v>
      </c>
      <c r="AZ108" s="185" t="str">
        <f t="shared" ca="1" si="106"/>
        <v>802.11a/b/g/n/ac/ax</v>
      </c>
      <c r="BA108" s="185">
        <f t="shared" ca="1" si="106"/>
        <v>5.2</v>
      </c>
      <c r="BB108" s="185">
        <f t="shared" ca="1" si="107"/>
        <v>11</v>
      </c>
      <c r="BC108" s="185" t="str">
        <f t="shared" ca="1" si="107"/>
        <v>Version 8.0</v>
      </c>
      <c r="BD108" s="185" t="str">
        <f t="shared" ca="1" si="107"/>
        <v>Ja</v>
      </c>
      <c r="BE108" s="185" t="str">
        <f t="shared" ca="1" si="107"/>
        <v>Windows 11 Pro</v>
      </c>
      <c r="BF108" s="185" t="str">
        <f t="shared" ca="1" si="107"/>
        <v>HP ProBook 445 G10</v>
      </c>
      <c r="BG108" s="185">
        <f t="shared" ca="1" si="107"/>
        <v>10608</v>
      </c>
      <c r="BH108" s="192">
        <f t="shared" ca="1" si="107"/>
        <v>60</v>
      </c>
      <c r="BI108" s="192">
        <f t="shared" ca="1" si="107"/>
        <v>218</v>
      </c>
      <c r="BJ108" s="192">
        <f t="shared" ca="1" si="107"/>
        <v>251</v>
      </c>
      <c r="BK108" s="192">
        <f t="shared" ca="1" si="107"/>
        <v>1462</v>
      </c>
      <c r="BL108" s="192">
        <f t="shared" ca="1" si="108"/>
        <v>226</v>
      </c>
      <c r="BM108" s="192">
        <f t="shared" ca="1" si="108"/>
        <v>112</v>
      </c>
      <c r="BN108" s="192">
        <f t="shared" ca="1" si="108"/>
        <v>50</v>
      </c>
      <c r="BO108" s="192">
        <f t="shared" ca="1" si="108"/>
        <v>50</v>
      </c>
      <c r="BP108" s="192" t="str">
        <f t="shared" ca="1" si="108"/>
        <v>V7</v>
      </c>
      <c r="BQ108" s="192" t="str">
        <f t="shared" ca="1" si="108"/>
        <v>PORT Designs</v>
      </c>
      <c r="BR108" s="192" t="str">
        <f t="shared" ca="1" si="108"/>
        <v>CoreParts</v>
      </c>
      <c r="BS108" s="192" t="str">
        <f t="shared" ca="1" si="108"/>
        <v>HP</v>
      </c>
      <c r="BT108" s="192" t="str">
        <f t="shared" ca="1" si="108"/>
        <v xml:space="preserve"> CSE14-BLK-3E  -Fodral för bärbar dator - 14" - svart</v>
      </c>
      <c r="BU108" s="192" t="str">
        <f t="shared" ca="1" si="108"/>
        <v>900003 - Professional - filter för personlig integritet - 14"</v>
      </c>
      <c r="BV108" s="192" t="str">
        <f t="shared" ca="1" si="108"/>
        <v>MBXUSBC-AC0005 - USB-C - strömadapter 45 Watt</v>
      </c>
      <c r="BW108" s="192" t="str">
        <f t="shared" ca="1" si="108"/>
        <v>72C71AA#ABB - Essential - dockningsstation</v>
      </c>
      <c r="BX108" s="192"/>
      <c r="BY108" s="192" t="str">
        <f t="shared" ca="1" si="109"/>
        <v>Advania Sverige AB</v>
      </c>
      <c r="BZ108" s="192" t="str">
        <f t="shared" ca="1" si="109"/>
        <v>HP</v>
      </c>
      <c r="CA108" s="185">
        <v>0</v>
      </c>
      <c r="CB108" s="185"/>
      <c r="CC108" s="185">
        <v>32</v>
      </c>
      <c r="CD108" s="185">
        <v>0</v>
      </c>
      <c r="CE108" s="185"/>
      <c r="CF108" s="185">
        <v>2</v>
      </c>
      <c r="CG108" s="185">
        <v>0</v>
      </c>
      <c r="CH108" s="185"/>
      <c r="CI108" s="185">
        <v>0</v>
      </c>
      <c r="CJ108" s="186">
        <v>5</v>
      </c>
      <c r="CK108" s="185">
        <v>0</v>
      </c>
      <c r="CL108" s="185">
        <v>0</v>
      </c>
      <c r="CM108" s="185"/>
      <c r="CN108" s="185">
        <v>0</v>
      </c>
    </row>
    <row r="109" spans="2:92" ht="22.5" customHeight="1" outlineLevel="1" x14ac:dyDescent="0.35">
      <c r="C109" s="61" t="s">
        <v>2</v>
      </c>
      <c r="D109" s="64"/>
      <c r="F109" s="80" t="str">
        <f t="shared" si="110"/>
        <v/>
      </c>
      <c r="G109" s="81" t="str">
        <f t="shared" ca="1" si="111"/>
        <v>1920x1080</v>
      </c>
      <c r="H109" s="81" t="str">
        <f t="shared" ca="1" si="111"/>
        <v>1920x1080</v>
      </c>
      <c r="I109" s="120" t="str">
        <f t="shared" ca="1" si="111"/>
        <v>1920x1080</v>
      </c>
      <c r="J109" s="62"/>
      <c r="K109" s="196">
        <f t="shared" ca="1" si="85"/>
        <v>0</v>
      </c>
      <c r="L109" s="185" t="b">
        <f t="shared" si="86"/>
        <v>1</v>
      </c>
      <c r="M109" s="185" t="s">
        <v>169</v>
      </c>
      <c r="N109" s="185" t="str">
        <f t="shared" ca="1" si="87"/>
        <v>Offererad produktnr. 01Foxway Education AB</v>
      </c>
      <c r="O109" s="196" cm="1">
        <f t="array" aca="1" ref="O109" ca="1">MIN(IF(($BY$106:$BY$129=M109)*($AQ$106:$AQ$129=$O$103),$Z$106:$Z$129))</f>
        <v>8848</v>
      </c>
      <c r="P109" s="197"/>
      <c r="Q109" s="185">
        <f t="shared" si="88"/>
        <v>0</v>
      </c>
      <c r="R109" s="185">
        <f t="shared" si="89"/>
        <v>0</v>
      </c>
      <c r="S109" s="185">
        <f t="shared" si="90"/>
        <v>0</v>
      </c>
      <c r="T109" s="185">
        <f t="shared" si="91"/>
        <v>0</v>
      </c>
      <c r="U109" s="185">
        <f t="shared" si="92"/>
        <v>0</v>
      </c>
      <c r="V109" s="185">
        <f t="shared" si="93"/>
        <v>0</v>
      </c>
      <c r="W109" s="185">
        <f t="shared" si="94"/>
        <v>0</v>
      </c>
      <c r="X109" s="185">
        <f t="shared" si="95"/>
        <v>0</v>
      </c>
      <c r="Y109" s="185">
        <f t="shared" si="96"/>
        <v>0</v>
      </c>
      <c r="Z109" s="196">
        <f t="shared" ca="1" si="97"/>
        <v>11474</v>
      </c>
      <c r="AA109" s="185" t="str">
        <f t="shared" ca="1" si="98"/>
        <v>Offererad produktnr. 04Advania Sverige AB</v>
      </c>
      <c r="AB109" s="185"/>
      <c r="AC109" s="185" t="b">
        <f ca="1">IFERROR(IF(D110="",TRUE,
IF(OR(D110=$CB$12,D110=$CB$13),IF(LEFT(AS109,FIND(" ",AS109)-1)=D110,TRUE,FALSE),
IF(OFFSET(Processor!$AB$1,MATCH($AS109,Processor!$AA$2:$AA$23,0),MATCH(LEFT(D110,FIND(" ",D110)-1),Processor!$AC$1:$AG$1,0))&gt;=
OFFSET(Processor!$AB$1,MATCH(D110,Processor!$AA$2:$AA$23,0),MATCH(LEFT(D110,FIND(" ",D110)-1),Processor!$AC$1:$AG$1,0)),TRUE,FALSE))),FALSE)</f>
        <v>1</v>
      </c>
      <c r="AD109" s="185" t="b">
        <f t="shared" si="99"/>
        <v>1</v>
      </c>
      <c r="AE109" s="185" t="b">
        <f t="shared" si="100"/>
        <v>1</v>
      </c>
      <c r="AF109" s="185" t="b">
        <f>IF($D$108="",TRUE,IF(COUNTIF(Processor!$I$2:$I$9,$D$108)&gt;0,AND(AV109&gt;INDEX(Processor!$J$2:$J$9,MATCH($D$108,Processor!$I$2:$I$9,0)),AV109&lt;INDEX(Processor!$K$2:$K$9,MATCH($D$108,Processor!$I$2:$I$9,0))),IF(AV109=$D$108,TRUE,FALSE)))</f>
        <v>1</v>
      </c>
      <c r="AG109" s="185" t="b">
        <f t="shared" si="101"/>
        <v>1</v>
      </c>
      <c r="AH109" s="185" t="b">
        <f t="shared" si="102"/>
        <v>1</v>
      </c>
      <c r="AI109" s="185" t="b">
        <f t="shared" si="103"/>
        <v>1</v>
      </c>
      <c r="AJ109" s="185" t="b">
        <f t="shared" si="104"/>
        <v>1</v>
      </c>
      <c r="AK109" s="185" t="b">
        <f t="shared" si="105"/>
        <v>1</v>
      </c>
      <c r="AL109" s="185" t="b">
        <f>IFERROR(IF($D119="",TRUE,IF(MID(BC109,LEN(BC109)-2,1)*1&gt;=MID($D119,LEN($D119)-2,1)*1,TRUE,FALSE)),FALSE)</f>
        <v>1</v>
      </c>
      <c r="AM109" s="185" t="b">
        <f>IF(D118="",TRUE,IF(BB109&gt;=D118,TRUE,FALSE))</f>
        <v>1</v>
      </c>
      <c r="AN109" s="185"/>
      <c r="AO109" s="185"/>
      <c r="AP109" s="185" t="s">
        <v>201</v>
      </c>
      <c r="AQ109" s="185">
        <v>1</v>
      </c>
      <c r="AR109" s="185" t="str">
        <f t="shared" ca="1" si="106"/>
        <v>1920x1080</v>
      </c>
      <c r="AS109" s="185" t="str">
        <f t="shared" ca="1" si="106"/>
        <v>Intel i7 Gen 12</v>
      </c>
      <c r="AT109" s="185">
        <f t="shared" ca="1" si="106"/>
        <v>16</v>
      </c>
      <c r="AU109" s="185">
        <f t="shared" ca="1" si="106"/>
        <v>512</v>
      </c>
      <c r="AV109" s="185">
        <f t="shared" ca="1" si="106"/>
        <v>14</v>
      </c>
      <c r="AW109" s="185">
        <f t="shared" ca="1" si="106"/>
        <v>4</v>
      </c>
      <c r="AX109" s="185">
        <f t="shared" ca="1" si="106"/>
        <v>2</v>
      </c>
      <c r="AY109" s="185" t="str">
        <f t="shared" ca="1" si="106"/>
        <v>Ja, HDMI-port finns</v>
      </c>
      <c r="AZ109" s="185" t="str">
        <f t="shared" ca="1" si="106"/>
        <v>802.11a/b/g/n/ac/ax</v>
      </c>
      <c r="BA109" s="185">
        <f t="shared" ca="1" si="106"/>
        <v>5.2</v>
      </c>
      <c r="BB109" s="185">
        <f t="shared" ca="1" si="107"/>
        <v>11</v>
      </c>
      <c r="BC109" s="185" t="str">
        <f t="shared" ca="1" si="107"/>
        <v>Version 8.0</v>
      </c>
      <c r="BD109" s="185" t="str">
        <f t="shared" ca="1" si="107"/>
        <v>Ja</v>
      </c>
      <c r="BE109" s="185" t="str">
        <f t="shared" ca="1" si="107"/>
        <v>Windows 11 Pro</v>
      </c>
      <c r="BF109" s="185" t="str">
        <f t="shared" ca="1" si="107"/>
        <v>ProBook 440 G11</v>
      </c>
      <c r="BG109" s="185">
        <f t="shared" ca="1" si="107"/>
        <v>11474</v>
      </c>
      <c r="BH109" s="192">
        <f t="shared" ca="1" si="107"/>
        <v>60</v>
      </c>
      <c r="BI109" s="192">
        <f t="shared" ca="1" si="107"/>
        <v>218</v>
      </c>
      <c r="BJ109" s="192">
        <f t="shared" ca="1" si="107"/>
        <v>251</v>
      </c>
      <c r="BK109" s="192">
        <f t="shared" ca="1" si="107"/>
        <v>1462</v>
      </c>
      <c r="BL109" s="192">
        <f t="shared" ca="1" si="108"/>
        <v>226</v>
      </c>
      <c r="BM109" s="192">
        <f t="shared" ca="1" si="108"/>
        <v>112</v>
      </c>
      <c r="BN109" s="192">
        <f t="shared" ca="1" si="108"/>
        <v>50</v>
      </c>
      <c r="BO109" s="192">
        <f t="shared" ca="1" si="108"/>
        <v>50</v>
      </c>
      <c r="BP109" s="192" t="str">
        <f t="shared" ca="1" si="108"/>
        <v>V7</v>
      </c>
      <c r="BQ109" s="192" t="str">
        <f t="shared" ca="1" si="108"/>
        <v>DICOTA</v>
      </c>
      <c r="BR109" s="192" t="str">
        <f t="shared" ca="1" si="108"/>
        <v>CoreParts</v>
      </c>
      <c r="BS109" s="192" t="str">
        <f t="shared" ca="1" si="108"/>
        <v>HP</v>
      </c>
      <c r="BT109" s="192" t="str">
        <f t="shared" ca="1" si="108"/>
        <v xml:space="preserve"> CSE14-BLK-3E  -Fodral för bärbar dator - 14" - svart</v>
      </c>
      <c r="BU109" s="192" t="str">
        <f t="shared" ca="1" si="108"/>
        <v>D70513 - Sekretessfilter till bärbar dator - 2-vägs - borttagbar - lim - 14 tum bred - svart</v>
      </c>
      <c r="BV109" s="192" t="str">
        <f t="shared" ca="1" si="108"/>
        <v>MBXUSBC-AC0005 - USB-C - strömadapter 45 Watt</v>
      </c>
      <c r="BW109" s="192" t="str">
        <f t="shared" ca="1" si="108"/>
        <v>72C71AA#ABB - Essential - dockningsstation</v>
      </c>
      <c r="BX109" s="192"/>
      <c r="BY109" s="192" t="str">
        <f t="shared" ca="1" si="109"/>
        <v>Advania Sverige AB</v>
      </c>
      <c r="BZ109" s="192" t="str">
        <f t="shared" ca="1" si="109"/>
        <v>HP</v>
      </c>
      <c r="CA109" s="185"/>
      <c r="CB109" s="185" t="s">
        <v>65</v>
      </c>
      <c r="CC109" s="185">
        <v>0</v>
      </c>
      <c r="CD109" s="185"/>
      <c r="CE109" s="185"/>
      <c r="CF109" s="185">
        <v>0</v>
      </c>
      <c r="CG109" s="185"/>
      <c r="CH109" s="185"/>
      <c r="CI109" s="185"/>
      <c r="CJ109" s="186">
        <v>0</v>
      </c>
      <c r="CK109" s="185"/>
      <c r="CL109" s="185"/>
      <c r="CM109" s="185"/>
      <c r="CN109" s="185"/>
    </row>
    <row r="110" spans="2:92" ht="22.5" customHeight="1" outlineLevel="1" x14ac:dyDescent="0.35">
      <c r="C110" s="61" t="s">
        <v>4</v>
      </c>
      <c r="D110" s="64"/>
      <c r="F110" s="80" t="str">
        <f t="shared" si="110"/>
        <v/>
      </c>
      <c r="G110" s="81" t="str">
        <f t="shared" ca="1" si="111"/>
        <v>AMD Ryzen 5</v>
      </c>
      <c r="H110" s="81" t="str">
        <f t="shared" ca="1" si="111"/>
        <v>AMD Ryzen 5</v>
      </c>
      <c r="I110" s="120" t="str">
        <f t="shared" ca="1" si="111"/>
        <v>AMD Ryzen 7</v>
      </c>
      <c r="J110" s="62"/>
      <c r="K110" s="196">
        <f t="shared" ca="1" si="85"/>
        <v>0</v>
      </c>
      <c r="L110" s="185" t="b">
        <f t="shared" si="86"/>
        <v>1</v>
      </c>
      <c r="M110" s="185" t="s">
        <v>167</v>
      </c>
      <c r="N110" s="185" t="e">
        <f t="shared" ca="1" si="87"/>
        <v>#N/A</v>
      </c>
      <c r="O110" s="196" cm="1">
        <f t="array" aca="1" ref="O110" ca="1">MIN(IF(($BY$106:$BY$129=M110)*($AQ$106:$AQ$129=$O$103),$Z$106:$Z$129))</f>
        <v>0</v>
      </c>
      <c r="P110" s="197"/>
      <c r="Q110" s="185">
        <f t="shared" si="88"/>
        <v>0</v>
      </c>
      <c r="R110" s="185">
        <f t="shared" si="89"/>
        <v>0</v>
      </c>
      <c r="S110" s="185">
        <f t="shared" si="90"/>
        <v>0</v>
      </c>
      <c r="T110" s="185">
        <f t="shared" si="91"/>
        <v>0</v>
      </c>
      <c r="U110" s="185">
        <f t="shared" si="92"/>
        <v>0</v>
      </c>
      <c r="V110" s="185">
        <f t="shared" si="93"/>
        <v>0</v>
      </c>
      <c r="W110" s="185">
        <f t="shared" si="94"/>
        <v>0</v>
      </c>
      <c r="X110" s="185">
        <f t="shared" si="95"/>
        <v>0</v>
      </c>
      <c r="Y110" s="185">
        <f t="shared" si="96"/>
        <v>0</v>
      </c>
      <c r="Z110" s="196">
        <f t="shared" ca="1" si="97"/>
        <v>11724</v>
      </c>
      <c r="AA110" s="185" t="str">
        <f t="shared" ca="1" si="98"/>
        <v>Offererad produktnr. 01Atea Sverige AB</v>
      </c>
      <c r="AB110" s="185"/>
      <c r="AC110" s="185" t="b">
        <f ca="1">IFERROR(IF(D110="",TRUE,
IF(OR(D110=$CB$12,D110=$CB$13),IF(LEFT(AS110,FIND(" ",AS110)-1)=D110,TRUE,FALSE),
IF(OFFSET(Processor!$AB$1,MATCH($AS110,Processor!$AA$2:$AA$23,0),MATCH(LEFT(D110,FIND(" ",D110)-1),Processor!$AC$1:$AG$1,0))&gt;=
OFFSET(Processor!$AB$1,MATCH(D110,Processor!$AA$2:$AA$23,0),MATCH(LEFT(D110,FIND(" ",D110)-1),Processor!$AC$1:$AG$1,0)),TRUE,FALSE))),FALSE)</f>
        <v>1</v>
      </c>
      <c r="AD110" s="185" t="b">
        <f t="shared" si="99"/>
        <v>1</v>
      </c>
      <c r="AE110" s="185" t="b">
        <f t="shared" si="100"/>
        <v>1</v>
      </c>
      <c r="AF110" s="185" t="b">
        <f>IF($D$108="",TRUE,IF(COUNTIF(Processor!$I$2:$I$9,$D$108)&gt;0,AND(AV110&gt;INDEX(Processor!$J$2:$J$9,MATCH($D$108,Processor!$I$2:$I$9,0)),AV110&lt;INDEX(Processor!$K$2:$K$9,MATCH($D$108,Processor!$I$2:$I$9,0))),IF(AV110=$D$108,TRUE,FALSE)))</f>
        <v>1</v>
      </c>
      <c r="AG110" s="185" t="b">
        <f t="shared" si="101"/>
        <v>1</v>
      </c>
      <c r="AH110" s="185" t="b">
        <f t="shared" si="102"/>
        <v>1</v>
      </c>
      <c r="AI110" s="185" t="b">
        <f t="shared" si="103"/>
        <v>1</v>
      </c>
      <c r="AJ110" s="185" t="b">
        <f t="shared" si="104"/>
        <v>1</v>
      </c>
      <c r="AK110" s="185" t="b">
        <f t="shared" si="105"/>
        <v>1</v>
      </c>
      <c r="AL110" s="185" t="b">
        <f>IFERROR(IF($D119="",TRUE,IF(MID(BC110,LEN(BC110)-2,1)*1&gt;=MID($D119,LEN($D119)-2,1)*1,TRUE,FALSE)),FALSE)</f>
        <v>1</v>
      </c>
      <c r="AM110" s="185" t="b">
        <f>IF(D118="",TRUE,IF(BB110&gt;=D118,TRUE,FALSE))</f>
        <v>1</v>
      </c>
      <c r="AN110" s="185"/>
      <c r="AO110" s="185"/>
      <c r="AP110" s="185" t="s">
        <v>186</v>
      </c>
      <c r="AQ110" s="185">
        <v>1</v>
      </c>
      <c r="AR110" s="185" t="str">
        <f t="shared" ca="1" si="106"/>
        <v>1920x1080</v>
      </c>
      <c r="AS110" s="185" t="str">
        <f t="shared" ca="1" si="106"/>
        <v>Intel i5 Gen 13</v>
      </c>
      <c r="AT110" s="185">
        <f t="shared" ca="1" si="106"/>
        <v>16</v>
      </c>
      <c r="AU110" s="185">
        <f t="shared" ca="1" si="106"/>
        <v>256</v>
      </c>
      <c r="AV110" s="185">
        <f t="shared" ca="1" si="106"/>
        <v>14</v>
      </c>
      <c r="AW110" s="185">
        <f t="shared" ca="1" si="106"/>
        <v>4</v>
      </c>
      <c r="AX110" s="185">
        <f t="shared" ca="1" si="106"/>
        <v>2</v>
      </c>
      <c r="AY110" s="185" t="str">
        <f t="shared" ca="1" si="106"/>
        <v>Ja, HDMI-port finns</v>
      </c>
      <c r="AZ110" s="185" t="str">
        <f t="shared" ca="1" si="106"/>
        <v>802.11a/b/g/n/ac/ax</v>
      </c>
      <c r="BA110" s="185">
        <f t="shared" ca="1" si="106"/>
        <v>5.2</v>
      </c>
      <c r="BB110" s="185">
        <f t="shared" ca="1" si="107"/>
        <v>8</v>
      </c>
      <c r="BC110" s="185" t="str">
        <f t="shared" ca="1" si="107"/>
        <v>Version 8.0</v>
      </c>
      <c r="BD110" s="185" t="str">
        <f t="shared" ca="1" si="107"/>
        <v>Ja</v>
      </c>
      <c r="BE110" s="185" t="str">
        <f t="shared" ca="1" si="107"/>
        <v>Windows 11 Pro</v>
      </c>
      <c r="BF110" s="185" t="str">
        <f t="shared" ca="1" si="107"/>
        <v>Elitebook 640 G10</v>
      </c>
      <c r="BG110" s="185">
        <f t="shared" ca="1" si="107"/>
        <v>11724</v>
      </c>
      <c r="BH110" s="192">
        <f t="shared" ca="1" si="107"/>
        <v>134</v>
      </c>
      <c r="BI110" s="192">
        <f t="shared" ca="1" si="107"/>
        <v>449</v>
      </c>
      <c r="BJ110" s="192">
        <f t="shared" ca="1" si="107"/>
        <v>241</v>
      </c>
      <c r="BK110" s="192">
        <f t="shared" ca="1" si="107"/>
        <v>1788</v>
      </c>
      <c r="BL110" s="192">
        <f t="shared" ca="1" si="108"/>
        <v>706</v>
      </c>
      <c r="BM110" s="192">
        <f t="shared" ca="1" si="108"/>
        <v>120</v>
      </c>
      <c r="BN110" s="192">
        <f t="shared" ca="1" si="108"/>
        <v>85</v>
      </c>
      <c r="BO110" s="192">
        <f t="shared" ca="1" si="108"/>
        <v>100</v>
      </c>
      <c r="BP110" s="192" t="str">
        <f t="shared" ca="1" si="108"/>
        <v>DELTACO</v>
      </c>
      <c r="BQ110" s="192" t="str">
        <f t="shared" ca="1" si="108"/>
        <v>Targus</v>
      </c>
      <c r="BR110" s="192" t="str">
        <f t="shared" ca="1" si="108"/>
        <v>HP</v>
      </c>
      <c r="BS110" s="192" t="str">
        <f t="shared" ca="1" si="108"/>
        <v>HP</v>
      </c>
      <c r="BT110" s="192" t="str">
        <f t="shared" ca="1" si="108"/>
        <v>Fodral för bärbar dator</v>
      </c>
      <c r="BU110" s="192" t="str">
        <f t="shared" ca="1" si="108"/>
        <v>Targus Privacy Screen 14" Widescreen</v>
      </c>
      <c r="BV110" s="192" t="str">
        <f t="shared" ca="1" si="108"/>
        <v>HP 65W Smart AC Adapter</v>
      </c>
      <c r="BW110" s="192" t="str">
        <f t="shared" ca="1" si="108"/>
        <v>HP USB-C Dock G5 Essential</v>
      </c>
      <c r="BX110" s="192"/>
      <c r="BY110" s="192" t="str">
        <f t="shared" ca="1" si="109"/>
        <v>Atea Sverige AB</v>
      </c>
      <c r="BZ110" s="192" t="str">
        <f t="shared" ca="1" si="109"/>
        <v>HP</v>
      </c>
      <c r="CA110" s="185"/>
      <c r="CB110" s="185" t="s">
        <v>66</v>
      </c>
      <c r="CC110" s="185"/>
      <c r="CD110" s="185"/>
      <c r="CE110" s="185"/>
      <c r="CF110" s="185"/>
      <c r="CG110" s="185"/>
      <c r="CH110" s="185"/>
      <c r="CI110" s="185"/>
      <c r="CJ110" s="185"/>
      <c r="CK110" s="185"/>
      <c r="CL110" s="185"/>
      <c r="CM110" s="185"/>
      <c r="CN110" s="185"/>
    </row>
    <row r="111" spans="2:92" ht="22.5" customHeight="1" outlineLevel="1" x14ac:dyDescent="0.35">
      <c r="C111" s="61" t="s">
        <v>119</v>
      </c>
      <c r="D111" s="64"/>
      <c r="F111" s="80" t="str">
        <f t="shared" si="110"/>
        <v/>
      </c>
      <c r="G111" s="81">
        <f t="shared" ca="1" si="111"/>
        <v>8</v>
      </c>
      <c r="H111" s="81">
        <f t="shared" ca="1" si="111"/>
        <v>8</v>
      </c>
      <c r="I111" s="120">
        <f t="shared" ca="1" si="111"/>
        <v>16</v>
      </c>
      <c r="J111" s="62"/>
      <c r="K111" s="196">
        <f t="shared" ca="1" si="85"/>
        <v>0</v>
      </c>
      <c r="L111" s="185" t="b">
        <f t="shared" si="86"/>
        <v>1</v>
      </c>
      <c r="M111" s="185" t="s">
        <v>546</v>
      </c>
      <c r="N111" s="185" t="str">
        <f t="shared" ca="1" si="87"/>
        <v>Offererad produktnr. 01Qlosr Göteborg AB</v>
      </c>
      <c r="O111" s="196" cm="1">
        <f t="array" aca="1" ref="O111" ca="1">MIN(IF(($BY$106:$BY$129=M111)*($AQ$106:$AQ$129=$O$103),$Z$106:$Z$129))</f>
        <v>6420</v>
      </c>
      <c r="P111" s="197"/>
      <c r="Q111" s="185">
        <f t="shared" si="88"/>
        <v>0</v>
      </c>
      <c r="R111" s="185">
        <f t="shared" si="89"/>
        <v>0</v>
      </c>
      <c r="S111" s="185">
        <f t="shared" si="90"/>
        <v>0</v>
      </c>
      <c r="T111" s="185">
        <f t="shared" si="91"/>
        <v>0</v>
      </c>
      <c r="U111" s="185">
        <f t="shared" si="92"/>
        <v>0</v>
      </c>
      <c r="V111" s="185">
        <f t="shared" si="93"/>
        <v>0</v>
      </c>
      <c r="W111" s="185">
        <f t="shared" si="94"/>
        <v>0</v>
      </c>
      <c r="X111" s="185">
        <f t="shared" si="95"/>
        <v>0</v>
      </c>
      <c r="Y111" s="185">
        <f t="shared" si="96"/>
        <v>0</v>
      </c>
      <c r="Z111" s="196">
        <f t="shared" ca="1" si="97"/>
        <v>14238</v>
      </c>
      <c r="AA111" s="185" t="str">
        <f t="shared" ca="1" si="98"/>
        <v>Offererad produktnr. 02Atea Sverige AB</v>
      </c>
      <c r="AB111" s="185"/>
      <c r="AC111" s="185" t="b">
        <f ca="1">IFERROR(IF(D110="",TRUE,
IF(OR(D110=$CB$12,D110=$CB$13),IF(LEFT(AS111,FIND(" ",AS111)-1)=D110,TRUE,FALSE),
IF(OFFSET(Processor!$AB$1,MATCH($AS111,Processor!$AA$2:$AA$23,0),MATCH(LEFT(D110,FIND(" ",D110)-1),Processor!$AC$1:$AG$1,0))&gt;=
OFFSET(Processor!$AB$1,MATCH(D110,Processor!$AA$2:$AA$23,0),MATCH(LEFT(D110,FIND(" ",D110)-1),Processor!$AC$1:$AG$1,0)),TRUE,FALSE))),FALSE)</f>
        <v>1</v>
      </c>
      <c r="AD111" s="185" t="b">
        <f t="shared" si="99"/>
        <v>1</v>
      </c>
      <c r="AE111" s="185" t="b">
        <f t="shared" si="100"/>
        <v>1</v>
      </c>
      <c r="AF111" s="185" t="b">
        <f>IF($D$108="",TRUE,IF(COUNTIF(Processor!$I$2:$I$9,$D$108)&gt;0,AND(AV111&gt;INDEX(Processor!$J$2:$J$9,MATCH($D$108,Processor!$I$2:$I$9,0)),AV111&lt;INDEX(Processor!$K$2:$K$9,MATCH($D$108,Processor!$I$2:$I$9,0))),IF(AV111=$D$108,TRUE,FALSE)))</f>
        <v>1</v>
      </c>
      <c r="AG111" s="185" t="b">
        <f t="shared" si="101"/>
        <v>1</v>
      </c>
      <c r="AH111" s="185" t="b">
        <f t="shared" si="102"/>
        <v>1</v>
      </c>
      <c r="AI111" s="185" t="b">
        <f t="shared" si="103"/>
        <v>1</v>
      </c>
      <c r="AJ111" s="185" t="b">
        <f t="shared" si="104"/>
        <v>1</v>
      </c>
      <c r="AK111" s="185" t="b">
        <f t="shared" si="105"/>
        <v>1</v>
      </c>
      <c r="AL111" s="185" t="b">
        <f>IFERROR(IF($D119="",TRUE,IF(MID(BC111,LEN(BC111)-2,1)*1&gt;=MID($D119,LEN($D119)-2,1)*1,TRUE,FALSE)),FALSE)</f>
        <v>1</v>
      </c>
      <c r="AM111" s="185" t="b">
        <f>IF(D118="",TRUE,IF(BB111&gt;=D118,TRUE,FALSE))</f>
        <v>1</v>
      </c>
      <c r="AN111" s="185"/>
      <c r="AO111" s="185"/>
      <c r="AP111" s="185" t="s">
        <v>187</v>
      </c>
      <c r="AQ111" s="185">
        <v>1</v>
      </c>
      <c r="AR111" s="185" t="str">
        <f t="shared" ca="1" si="106"/>
        <v>1920x1200</v>
      </c>
      <c r="AS111" s="185" t="str">
        <f t="shared" ca="1" si="106"/>
        <v>Intel i5 Gen 13</v>
      </c>
      <c r="AT111" s="185">
        <f t="shared" ca="1" si="106"/>
        <v>16</v>
      </c>
      <c r="AU111" s="185">
        <f t="shared" ca="1" si="106"/>
        <v>256</v>
      </c>
      <c r="AV111" s="185">
        <f t="shared" ca="1" si="106"/>
        <v>14</v>
      </c>
      <c r="AW111" s="185">
        <f t="shared" ca="1" si="106"/>
        <v>4</v>
      </c>
      <c r="AX111" s="185">
        <f t="shared" ca="1" si="106"/>
        <v>2</v>
      </c>
      <c r="AY111" s="185" t="str">
        <f t="shared" ca="1" si="106"/>
        <v>Ja, HDMI-port finns</v>
      </c>
      <c r="AZ111" s="185" t="str">
        <f t="shared" ca="1" si="106"/>
        <v>802.11a/b/g/n/ac/ax</v>
      </c>
      <c r="BA111" s="185">
        <f t="shared" ca="1" si="106"/>
        <v>5.3</v>
      </c>
      <c r="BB111" s="185">
        <f t="shared" ca="1" si="107"/>
        <v>8</v>
      </c>
      <c r="BC111" s="185" t="str">
        <f t="shared" ca="1" si="107"/>
        <v>Version 8.0</v>
      </c>
      <c r="BD111" s="185" t="str">
        <f t="shared" ca="1" si="107"/>
        <v>Ja</v>
      </c>
      <c r="BE111" s="185" t="str">
        <f t="shared" ca="1" si="107"/>
        <v>Windows 11 Pro</v>
      </c>
      <c r="BF111" s="185" t="str">
        <f t="shared" ca="1" si="107"/>
        <v>Elitebook 840 G10</v>
      </c>
      <c r="BG111" s="185">
        <f t="shared" ca="1" si="107"/>
        <v>14238</v>
      </c>
      <c r="BH111" s="192">
        <f t="shared" ca="1" si="107"/>
        <v>134</v>
      </c>
      <c r="BI111" s="192">
        <f t="shared" ca="1" si="107"/>
        <v>449</v>
      </c>
      <c r="BJ111" s="192">
        <f t="shared" ca="1" si="107"/>
        <v>241</v>
      </c>
      <c r="BK111" s="192">
        <f t="shared" ca="1" si="107"/>
        <v>1788</v>
      </c>
      <c r="BL111" s="192">
        <f t="shared" ca="1" si="108"/>
        <v>2039</v>
      </c>
      <c r="BM111" s="192">
        <f t="shared" ca="1" si="108"/>
        <v>120</v>
      </c>
      <c r="BN111" s="192">
        <f t="shared" ca="1" si="108"/>
        <v>85</v>
      </c>
      <c r="BO111" s="192">
        <f t="shared" ca="1" si="108"/>
        <v>100</v>
      </c>
      <c r="BP111" s="192" t="str">
        <f t="shared" ca="1" si="108"/>
        <v>DELTACO</v>
      </c>
      <c r="BQ111" s="192" t="str">
        <f t="shared" ca="1" si="108"/>
        <v>Targus</v>
      </c>
      <c r="BR111" s="192" t="str">
        <f t="shared" ca="1" si="108"/>
        <v>HP</v>
      </c>
      <c r="BS111" s="192" t="str">
        <f t="shared" ca="1" si="108"/>
        <v>HP</v>
      </c>
      <c r="BT111" s="192" t="str">
        <f t="shared" ca="1" si="108"/>
        <v>Fodral för bärbar dator</v>
      </c>
      <c r="BU111" s="192" t="str">
        <f t="shared" ca="1" si="108"/>
        <v>Targus Privacy Screen 14" Widescreen</v>
      </c>
      <c r="BV111" s="192" t="str">
        <f t="shared" ca="1" si="108"/>
        <v>HP 65W Smart AC Adapter</v>
      </c>
      <c r="BW111" s="192" t="str">
        <f t="shared" ca="1" si="108"/>
        <v>HP USB-C Dock G5 Essential</v>
      </c>
      <c r="BX111" s="192"/>
      <c r="BY111" s="192" t="str">
        <f t="shared" ca="1" si="109"/>
        <v>Atea Sverige AB</v>
      </c>
      <c r="BZ111" s="192" t="str">
        <f t="shared" ca="1" si="109"/>
        <v>HP</v>
      </c>
      <c r="CA111" s="185"/>
      <c r="CB111" s="185" t="s">
        <v>63</v>
      </c>
      <c r="CC111" s="185"/>
      <c r="CD111" s="185"/>
      <c r="CE111" s="185"/>
      <c r="CF111" s="185"/>
      <c r="CG111" s="185"/>
      <c r="CH111" s="185"/>
      <c r="CI111" s="185"/>
      <c r="CJ111" s="186"/>
      <c r="CK111" s="185"/>
      <c r="CL111" s="185"/>
      <c r="CM111" s="185"/>
      <c r="CN111" s="185"/>
    </row>
    <row r="112" spans="2:92" ht="22.5" customHeight="1" outlineLevel="1" x14ac:dyDescent="0.35">
      <c r="C112" s="61" t="s">
        <v>16</v>
      </c>
      <c r="D112" s="64"/>
      <c r="F112" s="80" t="str">
        <f t="shared" si="110"/>
        <v/>
      </c>
      <c r="G112" s="81">
        <f t="shared" ca="1" si="111"/>
        <v>256</v>
      </c>
      <c r="H112" s="81">
        <f t="shared" ca="1" si="111"/>
        <v>256</v>
      </c>
      <c r="I112" s="120">
        <f t="shared" ca="1" si="111"/>
        <v>512</v>
      </c>
      <c r="J112" s="62"/>
      <c r="Q112" s="185">
        <f t="shared" si="88"/>
        <v>0</v>
      </c>
      <c r="R112" s="185">
        <f t="shared" si="89"/>
        <v>0</v>
      </c>
      <c r="S112" s="185">
        <f t="shared" si="90"/>
        <v>0</v>
      </c>
      <c r="T112" s="185">
        <f t="shared" si="91"/>
        <v>0</v>
      </c>
      <c r="U112" s="185">
        <f t="shared" si="92"/>
        <v>0</v>
      </c>
      <c r="V112" s="185">
        <f t="shared" si="93"/>
        <v>0</v>
      </c>
      <c r="W112" s="185">
        <f t="shared" si="94"/>
        <v>0</v>
      </c>
      <c r="X112" s="185">
        <f t="shared" si="95"/>
        <v>0</v>
      </c>
      <c r="Y112" s="185">
        <f t="shared" si="96"/>
        <v>0</v>
      </c>
      <c r="Z112" s="196">
        <f t="shared" ca="1" si="97"/>
        <v>13908</v>
      </c>
      <c r="AA112" s="185" t="str">
        <f t="shared" ca="1" si="98"/>
        <v>Offererad produktnr. 03Atea Sverige AB</v>
      </c>
      <c r="AB112" s="185"/>
      <c r="AC112" s="185" t="b">
        <f ca="1">IFERROR(IF(D110="",TRUE,
IF(OR(D110=$CB$12,D110=$CB$13),IF(LEFT(AS112,FIND(" ",AS112)-1)=D110,TRUE,FALSE),
IF(OFFSET(Processor!$AB$1,MATCH($AS112,Processor!$AA$2:$AA$23,0),MATCH(LEFT(D110,FIND(" ",D110)-1),Processor!$AC$1:$AG$1,0))&gt;=
OFFSET(Processor!$AB$1,MATCH(D110,Processor!$AA$2:$AA$23,0),MATCH(LEFT(D110,FIND(" ",D110)-1),Processor!$AC$1:$AG$1,0)),TRUE,FALSE))),FALSE)</f>
        <v>1</v>
      </c>
      <c r="AD112" s="185" t="b">
        <f t="shared" si="99"/>
        <v>1</v>
      </c>
      <c r="AE112" s="185" t="b">
        <f t="shared" si="100"/>
        <v>1</v>
      </c>
      <c r="AF112" s="185" t="b">
        <f>IF($D$108="",TRUE,IF(COUNTIF(Processor!$I$2:$I$9,$D$108)&gt;0,AND(AV112&gt;INDEX(Processor!$J$2:$J$9,MATCH($D$108,Processor!$I$2:$I$9,0)),AV112&lt;INDEX(Processor!$K$2:$K$9,MATCH($D$108,Processor!$I$2:$I$9,0))),IF(AV112=$D$108,TRUE,FALSE)))</f>
        <v>1</v>
      </c>
      <c r="AG112" s="185" t="b">
        <f t="shared" si="101"/>
        <v>1</v>
      </c>
      <c r="AH112" s="185" t="b">
        <f t="shared" si="102"/>
        <v>1</v>
      </c>
      <c r="AI112" s="185" t="b">
        <f t="shared" si="103"/>
        <v>1</v>
      </c>
      <c r="AJ112" s="185" t="b">
        <f t="shared" si="104"/>
        <v>1</v>
      </c>
      <c r="AK112" s="185" t="b">
        <f t="shared" si="105"/>
        <v>1</v>
      </c>
      <c r="AL112" s="185" t="b">
        <f>IFERROR(IF($D119="",TRUE,IF(MID(BC112,LEN(BC112)-2,1)*1&gt;=MID($D119,LEN($D119)-2,1)*1,TRUE,FALSE)),FALSE)</f>
        <v>1</v>
      </c>
      <c r="AM112" s="185" t="b">
        <f>IF(D118="",TRUE,IF(BB112&gt;=D118,TRUE,FALSE))</f>
        <v>1</v>
      </c>
      <c r="AN112" s="185"/>
      <c r="AO112" s="185"/>
      <c r="AP112" s="185" t="s">
        <v>188</v>
      </c>
      <c r="AQ112" s="185">
        <v>1</v>
      </c>
      <c r="AR112" s="185" t="str">
        <f t="shared" ca="1" si="106"/>
        <v>1920x1080</v>
      </c>
      <c r="AS112" s="185" t="str">
        <f t="shared" ca="1" si="106"/>
        <v>Intel i7 Gen 13</v>
      </c>
      <c r="AT112" s="185">
        <f t="shared" ca="1" si="106"/>
        <v>16</v>
      </c>
      <c r="AU112" s="185">
        <f t="shared" ca="1" si="106"/>
        <v>512</v>
      </c>
      <c r="AV112" s="185">
        <f t="shared" ca="1" si="106"/>
        <v>14</v>
      </c>
      <c r="AW112" s="185">
        <f t="shared" ca="1" si="106"/>
        <v>4</v>
      </c>
      <c r="AX112" s="185">
        <f t="shared" ca="1" si="106"/>
        <v>2</v>
      </c>
      <c r="AY112" s="185" t="str">
        <f t="shared" ca="1" si="106"/>
        <v>Ja, HDMI-port finns</v>
      </c>
      <c r="AZ112" s="185" t="str">
        <f t="shared" ca="1" si="106"/>
        <v>802.11a/b/g/n/ac/ax</v>
      </c>
      <c r="BA112" s="185">
        <f t="shared" ca="1" si="106"/>
        <v>5.3</v>
      </c>
      <c r="BB112" s="185">
        <f t="shared" ca="1" si="107"/>
        <v>8</v>
      </c>
      <c r="BC112" s="185" t="str">
        <f t="shared" ca="1" si="107"/>
        <v>Version 8.0</v>
      </c>
      <c r="BD112" s="185" t="str">
        <f t="shared" ca="1" si="107"/>
        <v>Ja</v>
      </c>
      <c r="BE112" s="185" t="str">
        <f t="shared" ca="1" si="107"/>
        <v>Windows 11 Pro</v>
      </c>
      <c r="BF112" s="185" t="str">
        <f t="shared" ca="1" si="107"/>
        <v>Probook 440 G10</v>
      </c>
      <c r="BG112" s="185">
        <f t="shared" ca="1" si="107"/>
        <v>13908</v>
      </c>
      <c r="BH112" s="192">
        <f t="shared" ca="1" si="107"/>
        <v>134</v>
      </c>
      <c r="BI112" s="192">
        <f t="shared" ca="1" si="107"/>
        <v>449</v>
      </c>
      <c r="BJ112" s="192">
        <f t="shared" ca="1" si="107"/>
        <v>241</v>
      </c>
      <c r="BK112" s="192">
        <f t="shared" ca="1" si="107"/>
        <v>1788</v>
      </c>
      <c r="BL112" s="192">
        <f t="shared" ca="1" si="108"/>
        <v>706</v>
      </c>
      <c r="BM112" s="192">
        <f t="shared" ca="1" si="108"/>
        <v>120</v>
      </c>
      <c r="BN112" s="192">
        <f t="shared" ca="1" si="108"/>
        <v>85</v>
      </c>
      <c r="BO112" s="192">
        <f t="shared" ca="1" si="108"/>
        <v>100</v>
      </c>
      <c r="BP112" s="192" t="str">
        <f t="shared" ca="1" si="108"/>
        <v>DELTACO</v>
      </c>
      <c r="BQ112" s="192" t="str">
        <f t="shared" ca="1" si="108"/>
        <v>Targus</v>
      </c>
      <c r="BR112" s="192" t="str">
        <f t="shared" ca="1" si="108"/>
        <v>HP</v>
      </c>
      <c r="BS112" s="192" t="str">
        <f t="shared" ca="1" si="108"/>
        <v>HP</v>
      </c>
      <c r="BT112" s="192" t="str">
        <f t="shared" ca="1" si="108"/>
        <v>Fodral för bärbar dator</v>
      </c>
      <c r="BU112" s="192" t="str">
        <f t="shared" ca="1" si="108"/>
        <v>Targus Privacy Screen 14" Widescreen</v>
      </c>
      <c r="BV112" s="192" t="str">
        <f t="shared" ca="1" si="108"/>
        <v>HP 65W Smart AC Adapter</v>
      </c>
      <c r="BW112" s="192" t="str">
        <f t="shared" ca="1" si="108"/>
        <v>HP USB-C Dock G5 Essential</v>
      </c>
      <c r="BX112" s="192"/>
      <c r="BY112" s="192" t="str">
        <f t="shared" ca="1" si="109"/>
        <v>Atea Sverige AB</v>
      </c>
      <c r="BZ112" s="192" t="str">
        <f t="shared" ca="1" si="109"/>
        <v>HP</v>
      </c>
      <c r="CA112" s="185"/>
      <c r="CB112" s="185" t="s">
        <v>569</v>
      </c>
      <c r="CC112" s="185"/>
      <c r="CD112" s="185"/>
      <c r="CE112" s="185"/>
      <c r="CF112" s="185"/>
      <c r="CG112" s="185"/>
      <c r="CH112" s="185"/>
      <c r="CI112" s="185"/>
      <c r="CJ112" s="185"/>
      <c r="CK112" s="185"/>
      <c r="CL112" s="185"/>
      <c r="CM112" s="185"/>
      <c r="CN112" s="185"/>
    </row>
    <row r="113" spans="2:92" ht="22.5" customHeight="1" outlineLevel="1" x14ac:dyDescent="0.35">
      <c r="C113" s="61" t="s">
        <v>67</v>
      </c>
      <c r="D113" s="64"/>
      <c r="F113" s="80" t="str">
        <f t="shared" si="110"/>
        <v/>
      </c>
      <c r="G113" s="81">
        <f t="shared" ca="1" si="111"/>
        <v>4</v>
      </c>
      <c r="H113" s="81">
        <f t="shared" ca="1" si="111"/>
        <v>3</v>
      </c>
      <c r="I113" s="120">
        <f t="shared" ca="1" si="111"/>
        <v>4</v>
      </c>
      <c r="J113" s="62"/>
      <c r="Q113" s="185">
        <f t="shared" si="88"/>
        <v>0</v>
      </c>
      <c r="R113" s="185">
        <f t="shared" si="89"/>
        <v>0</v>
      </c>
      <c r="S113" s="185">
        <f t="shared" si="90"/>
        <v>0</v>
      </c>
      <c r="T113" s="185">
        <f t="shared" si="91"/>
        <v>0</v>
      </c>
      <c r="U113" s="185">
        <f t="shared" si="92"/>
        <v>0</v>
      </c>
      <c r="V113" s="185">
        <f t="shared" si="93"/>
        <v>0</v>
      </c>
      <c r="W113" s="185">
        <f t="shared" si="94"/>
        <v>0</v>
      </c>
      <c r="X113" s="185">
        <f t="shared" si="95"/>
        <v>0</v>
      </c>
      <c r="Y113" s="185">
        <f t="shared" si="96"/>
        <v>0</v>
      </c>
      <c r="Z113" s="196">
        <f t="shared" ca="1" si="97"/>
        <v>15588</v>
      </c>
      <c r="AA113" s="185" t="str">
        <f t="shared" ca="1" si="98"/>
        <v>Offererad produktnr. 04Atea Sverige AB</v>
      </c>
      <c r="AB113" s="185"/>
      <c r="AC113" s="185" t="b">
        <f ca="1">IFERROR(IF(D110="",TRUE,
IF(OR(D110=$CB$12,D110=$CB$13),IF(LEFT(AS113,FIND(" ",AS113)-1)=D110,TRUE,FALSE),
IF(OFFSET(Processor!$AB$1,MATCH($AS113,Processor!$AA$2:$AA$23,0),MATCH(LEFT(D110,FIND(" ",D110)-1),Processor!$AC$1:$AG$1,0))&gt;=
OFFSET(Processor!$AB$1,MATCH(D110,Processor!$AA$2:$AA$23,0),MATCH(LEFT(D110,FIND(" ",D110)-1),Processor!$AC$1:$AG$1,0)),TRUE,FALSE))),FALSE)</f>
        <v>1</v>
      </c>
      <c r="AD113" s="185" t="b">
        <f t="shared" si="99"/>
        <v>1</v>
      </c>
      <c r="AE113" s="185" t="b">
        <f t="shared" si="100"/>
        <v>1</v>
      </c>
      <c r="AF113" s="185" t="b">
        <f>IF($D$108="",TRUE,IF(COUNTIF(Processor!$I$2:$I$9,$D$108)&gt;0,AND(AV113&gt;INDEX(Processor!$J$2:$J$9,MATCH($D$108,Processor!$I$2:$I$9,0)),AV113&lt;INDEX(Processor!$K$2:$K$9,MATCH($D$108,Processor!$I$2:$I$9,0))),IF(AV113=$D$108,TRUE,FALSE)))</f>
        <v>1</v>
      </c>
      <c r="AG113" s="185" t="b">
        <f t="shared" si="101"/>
        <v>1</v>
      </c>
      <c r="AH113" s="185" t="b">
        <f t="shared" si="102"/>
        <v>1</v>
      </c>
      <c r="AI113" s="185" t="b">
        <f t="shared" si="103"/>
        <v>1</v>
      </c>
      <c r="AJ113" s="185" t="b">
        <f t="shared" si="104"/>
        <v>1</v>
      </c>
      <c r="AK113" s="185" t="b">
        <f t="shared" si="105"/>
        <v>1</v>
      </c>
      <c r="AL113" s="185" t="b">
        <f>IFERROR(IF($D119="",TRUE,IF(MID(BC113,LEN(BC113)-2,1)*1&gt;=MID($D119,LEN($D119)-2,1)*1,TRUE,FALSE)),FALSE)</f>
        <v>1</v>
      </c>
      <c r="AM113" s="185" t="b">
        <f>IF(D118="",TRUE,IF(BB113&gt;=D118,TRUE,FALSE))</f>
        <v>1</v>
      </c>
      <c r="AN113" s="185"/>
      <c r="AO113" s="185"/>
      <c r="AP113" s="185" t="s">
        <v>189</v>
      </c>
      <c r="AQ113" s="185">
        <v>1</v>
      </c>
      <c r="AR113" s="185" t="str">
        <f t="shared" ca="1" si="106"/>
        <v>1920x1080</v>
      </c>
      <c r="AS113" s="185" t="str">
        <f t="shared" ca="1" si="106"/>
        <v>Intel i7 Gen 13</v>
      </c>
      <c r="AT113" s="185">
        <f t="shared" ca="1" si="106"/>
        <v>16</v>
      </c>
      <c r="AU113" s="185">
        <f t="shared" ca="1" si="106"/>
        <v>512</v>
      </c>
      <c r="AV113" s="185">
        <f t="shared" ca="1" si="106"/>
        <v>14</v>
      </c>
      <c r="AW113" s="185">
        <f t="shared" ca="1" si="106"/>
        <v>4</v>
      </c>
      <c r="AX113" s="185">
        <f t="shared" ca="1" si="106"/>
        <v>2</v>
      </c>
      <c r="AY113" s="185" t="str">
        <f t="shared" ca="1" si="106"/>
        <v>Ja, HDMI-port finns</v>
      </c>
      <c r="AZ113" s="185" t="str">
        <f t="shared" ca="1" si="106"/>
        <v>802.11a/b/g/n/ac/ax</v>
      </c>
      <c r="BA113" s="185">
        <f t="shared" ca="1" si="106"/>
        <v>5.2</v>
      </c>
      <c r="BB113" s="185">
        <f t="shared" ca="1" si="107"/>
        <v>8</v>
      </c>
      <c r="BC113" s="185" t="str">
        <f t="shared" ca="1" si="107"/>
        <v>Version 8.0</v>
      </c>
      <c r="BD113" s="185" t="str">
        <f t="shared" ca="1" si="107"/>
        <v>Ja</v>
      </c>
      <c r="BE113" s="185" t="str">
        <f t="shared" ca="1" si="107"/>
        <v>Windows 11 Pro</v>
      </c>
      <c r="BF113" s="185" t="str">
        <f t="shared" ca="1" si="107"/>
        <v>Elitebook 640 G10</v>
      </c>
      <c r="BG113" s="185">
        <f t="shared" ca="1" si="107"/>
        <v>15588</v>
      </c>
      <c r="BH113" s="192">
        <f t="shared" ca="1" si="107"/>
        <v>134</v>
      </c>
      <c r="BI113" s="192">
        <f t="shared" ca="1" si="107"/>
        <v>449</v>
      </c>
      <c r="BJ113" s="192">
        <f t="shared" ca="1" si="107"/>
        <v>241</v>
      </c>
      <c r="BK113" s="192">
        <f t="shared" ca="1" si="107"/>
        <v>1788</v>
      </c>
      <c r="BL113" s="192">
        <f t="shared" ca="1" si="108"/>
        <v>2039</v>
      </c>
      <c r="BM113" s="192">
        <f t="shared" ca="1" si="108"/>
        <v>120</v>
      </c>
      <c r="BN113" s="192">
        <f t="shared" ca="1" si="108"/>
        <v>85</v>
      </c>
      <c r="BO113" s="192">
        <f t="shared" ca="1" si="108"/>
        <v>100</v>
      </c>
      <c r="BP113" s="192" t="str">
        <f t="shared" ca="1" si="108"/>
        <v>DELTACO</v>
      </c>
      <c r="BQ113" s="192" t="str">
        <f t="shared" ca="1" si="108"/>
        <v>Targus</v>
      </c>
      <c r="BR113" s="192" t="str">
        <f t="shared" ca="1" si="108"/>
        <v>HP</v>
      </c>
      <c r="BS113" s="192" t="str">
        <f t="shared" ca="1" si="108"/>
        <v>HP</v>
      </c>
      <c r="BT113" s="192" t="str">
        <f t="shared" ca="1" si="108"/>
        <v>Fodral för bärbar dator</v>
      </c>
      <c r="BU113" s="192" t="str">
        <f t="shared" ca="1" si="108"/>
        <v>Targus Privacy Screen 14" Widescreen</v>
      </c>
      <c r="BV113" s="192" t="str">
        <f t="shared" ca="1" si="108"/>
        <v>HP 65W Smart AC Adapter</v>
      </c>
      <c r="BW113" s="192" t="str">
        <f t="shared" ca="1" si="108"/>
        <v>HP USB-C Dock G5 Essential</v>
      </c>
      <c r="BX113" s="192"/>
      <c r="BY113" s="192" t="str">
        <f t="shared" ca="1" si="109"/>
        <v>Atea Sverige AB</v>
      </c>
      <c r="BZ113" s="192" t="str">
        <f t="shared" ca="1" si="109"/>
        <v>HP</v>
      </c>
      <c r="CA113" s="185"/>
      <c r="CB113" s="185" t="s">
        <v>711</v>
      </c>
      <c r="CC113" s="185"/>
      <c r="CD113" s="185"/>
      <c r="CE113" s="185"/>
      <c r="CF113" s="185"/>
      <c r="CG113" s="185"/>
      <c r="CH113" s="185"/>
      <c r="CI113" s="185"/>
      <c r="CJ113" s="185"/>
      <c r="CK113" s="185"/>
      <c r="CL113" s="185"/>
      <c r="CM113" s="185"/>
      <c r="CN113" s="185"/>
    </row>
    <row r="114" spans="2:92" ht="22.5" customHeight="1" outlineLevel="1" x14ac:dyDescent="0.35">
      <c r="C114" s="61" t="s">
        <v>74</v>
      </c>
      <c r="D114" s="64"/>
      <c r="F114" s="80" t="str">
        <f t="shared" si="110"/>
        <v/>
      </c>
      <c r="G114" s="81">
        <f t="shared" ca="1" si="111"/>
        <v>1</v>
      </c>
      <c r="H114" s="81">
        <f t="shared" ca="1" si="111"/>
        <v>1</v>
      </c>
      <c r="I114" s="120">
        <f t="shared" ca="1" si="111"/>
        <v>1</v>
      </c>
      <c r="J114" s="62"/>
      <c r="Q114" s="185">
        <f t="shared" si="88"/>
        <v>0</v>
      </c>
      <c r="R114" s="185">
        <f t="shared" si="89"/>
        <v>0</v>
      </c>
      <c r="S114" s="185">
        <f t="shared" si="90"/>
        <v>0</v>
      </c>
      <c r="T114" s="185">
        <f t="shared" si="91"/>
        <v>0</v>
      </c>
      <c r="U114" s="185">
        <f t="shared" si="92"/>
        <v>0</v>
      </c>
      <c r="V114" s="185">
        <f t="shared" si="93"/>
        <v>0</v>
      </c>
      <c r="W114" s="185">
        <f t="shared" si="94"/>
        <v>0</v>
      </c>
      <c r="X114" s="185">
        <f t="shared" si="95"/>
        <v>0</v>
      </c>
      <c r="Y114" s="185">
        <f t="shared" si="96"/>
        <v>0</v>
      </c>
      <c r="Z114" s="196">
        <f t="shared" ca="1" si="97"/>
        <v>7599</v>
      </c>
      <c r="AA114" s="185" t="str">
        <f t="shared" ca="1" si="98"/>
        <v>Offererad produktnr. 01Dustin Sverige AB</v>
      </c>
      <c r="AB114" s="185"/>
      <c r="AC114" s="185" t="b">
        <f ca="1">IFERROR(IF(D110="",TRUE,
IF(OR(D110=$CB$12,D110=$CB$13),IF(LEFT(AS114,FIND(" ",AS114)-1)=D110,TRUE,FALSE),
IF(OFFSET(Processor!$AB$1,MATCH($AS114,Processor!$AA$2:$AA$23,0),MATCH(LEFT(D110,FIND(" ",D110)-1),Processor!$AC$1:$AG$1,0))&gt;=
OFFSET(Processor!$AB$1,MATCH(D110,Processor!$AA$2:$AA$23,0),MATCH(LEFT(D110,FIND(" ",D110)-1),Processor!$AC$1:$AG$1,0)),TRUE,FALSE))),FALSE)</f>
        <v>1</v>
      </c>
      <c r="AD114" s="185" t="b">
        <f t="shared" si="99"/>
        <v>1</v>
      </c>
      <c r="AE114" s="185" t="b">
        <f t="shared" si="100"/>
        <v>1</v>
      </c>
      <c r="AF114" s="185" t="b">
        <f>IF($D$108="",TRUE,IF(COUNTIF(Processor!$I$2:$I$9,$D$108)&gt;0,AND(AV114&gt;INDEX(Processor!$J$2:$J$9,MATCH($D$108,Processor!$I$2:$I$9,0)),AV114&lt;INDEX(Processor!$K$2:$K$9,MATCH($D$108,Processor!$I$2:$I$9,0))),IF(AV114=$D$108,TRUE,FALSE)))</f>
        <v>1</v>
      </c>
      <c r="AG114" s="185" t="b">
        <f t="shared" si="101"/>
        <v>1</v>
      </c>
      <c r="AH114" s="185" t="b">
        <f t="shared" si="102"/>
        <v>1</v>
      </c>
      <c r="AI114" s="185" t="b">
        <f t="shared" si="103"/>
        <v>1</v>
      </c>
      <c r="AJ114" s="185" t="b">
        <f t="shared" si="104"/>
        <v>1</v>
      </c>
      <c r="AK114" s="185" t="b">
        <f t="shared" si="105"/>
        <v>1</v>
      </c>
      <c r="AL114" s="185" t="b">
        <f>IFERROR(IF($D119="",TRUE,IF(MID(BC114,LEN(BC114)-2,1)*1&gt;=MID($D119,LEN($D119)-2,1)*1,TRUE,FALSE)),FALSE)</f>
        <v>1</v>
      </c>
      <c r="AM114" s="185" t="b">
        <f>IF(D118="",TRUE,IF(BB114&gt;=D118,TRUE,FALSE))</f>
        <v>1</v>
      </c>
      <c r="AN114" s="185"/>
      <c r="AO114" s="185"/>
      <c r="AP114" s="185" t="s">
        <v>174</v>
      </c>
      <c r="AQ114" s="185">
        <v>1</v>
      </c>
      <c r="AR114" s="185" t="str">
        <f t="shared" ca="1" si="106"/>
        <v>1920x1080</v>
      </c>
      <c r="AS114" s="185" t="str">
        <f t="shared" ca="1" si="106"/>
        <v>AMD Ryzen 5</v>
      </c>
      <c r="AT114" s="185">
        <f t="shared" ca="1" si="106"/>
        <v>8</v>
      </c>
      <c r="AU114" s="185">
        <f t="shared" ca="1" si="106"/>
        <v>256</v>
      </c>
      <c r="AV114" s="185">
        <f t="shared" ca="1" si="106"/>
        <v>14</v>
      </c>
      <c r="AW114" s="185">
        <f t="shared" ca="1" si="106"/>
        <v>3</v>
      </c>
      <c r="AX114" s="185">
        <f t="shared" ca="1" si="106"/>
        <v>1</v>
      </c>
      <c r="AY114" s="185" t="str">
        <f t="shared" ca="1" si="106"/>
        <v>Ja, HDMI-port finns</v>
      </c>
      <c r="AZ114" s="185" t="str">
        <f t="shared" ca="1" si="106"/>
        <v>802.11a/b/g/n/ac/ax</v>
      </c>
      <c r="BA114" s="185">
        <f t="shared" ca="1" si="106"/>
        <v>5.3</v>
      </c>
      <c r="BB114" s="185">
        <f t="shared" ca="1" si="107"/>
        <v>11</v>
      </c>
      <c r="BC114" s="185" t="str">
        <f t="shared" ca="1" si="107"/>
        <v>Version 8.0</v>
      </c>
      <c r="BD114" s="185" t="str">
        <f t="shared" ca="1" si="107"/>
        <v>Ja</v>
      </c>
      <c r="BE114" s="185" t="str">
        <f t="shared" ca="1" si="107"/>
        <v>Windows 11 Pro</v>
      </c>
      <c r="BF114" s="185" t="str">
        <f t="shared" ca="1" si="107"/>
        <v>ProBook 445 G10</v>
      </c>
      <c r="BG114" s="185">
        <f t="shared" ca="1" si="107"/>
        <v>7599</v>
      </c>
      <c r="BH114" s="192">
        <f t="shared" ca="1" si="107"/>
        <v>123</v>
      </c>
      <c r="BI114" s="192">
        <f t="shared" ca="1" si="107"/>
        <v>425</v>
      </c>
      <c r="BJ114" s="192">
        <f t="shared" ca="1" si="107"/>
        <v>149</v>
      </c>
      <c r="BK114" s="192">
        <f t="shared" ca="1" si="107"/>
        <v>1185</v>
      </c>
      <c r="BL114" s="192">
        <f t="shared" ca="1" si="108"/>
        <v>450</v>
      </c>
      <c r="BM114" s="192">
        <f t="shared" ca="1" si="108"/>
        <v>133</v>
      </c>
      <c r="BN114" s="192">
        <f t="shared" ca="1" si="108"/>
        <v>20</v>
      </c>
      <c r="BO114" s="192">
        <f t="shared" ca="1" si="108"/>
        <v>20</v>
      </c>
      <c r="BP114" s="192" t="str">
        <f t="shared" ca="1" si="108"/>
        <v>Cirafon</v>
      </c>
      <c r="BQ114" s="192" t="str">
        <f t="shared" ca="1" si="108"/>
        <v>Cirafon</v>
      </c>
      <c r="BR114" s="192" t="str">
        <f t="shared" ca="1" si="108"/>
        <v>HP</v>
      </c>
      <c r="BS114" s="192" t="str">
        <f t="shared" ca="1" si="108"/>
        <v>HP</v>
      </c>
      <c r="BT114" s="192" t="str">
        <f t="shared" ca="1" si="108"/>
        <v>LSN8696R2-14.1</v>
      </c>
      <c r="BU114" s="192" t="str">
        <f t="shared" ca="1" si="108"/>
        <v>DPF14-9</v>
      </c>
      <c r="BV114" s="192" t="str">
        <f t="shared" ca="1" si="108"/>
        <v xml:space="preserve">1MZ01AA </v>
      </c>
      <c r="BW114" s="192" t="str">
        <f t="shared" ca="1" si="108"/>
        <v>72C71AA</v>
      </c>
      <c r="BX114" s="192"/>
      <c r="BY114" s="192" t="str">
        <f t="shared" ca="1" si="109"/>
        <v>Dustin Sverige AB</v>
      </c>
      <c r="BZ114" s="192" t="str">
        <f t="shared" ca="1" si="109"/>
        <v>HP</v>
      </c>
      <c r="CA114" s="185"/>
      <c r="CB114" s="185" t="s">
        <v>64</v>
      </c>
      <c r="CC114" s="185"/>
      <c r="CD114" s="185"/>
      <c r="CE114" s="185"/>
      <c r="CF114" s="185"/>
      <c r="CG114" s="185"/>
      <c r="CH114" s="185"/>
      <c r="CI114" s="185"/>
      <c r="CJ114" s="185"/>
      <c r="CK114" s="185"/>
      <c r="CL114" s="185"/>
      <c r="CM114" s="185"/>
      <c r="CN114" s="185"/>
    </row>
    <row r="115" spans="2:92" ht="22.5" customHeight="1" outlineLevel="1" x14ac:dyDescent="0.35">
      <c r="C115" s="61" t="s">
        <v>97</v>
      </c>
      <c r="D115" s="64"/>
      <c r="F115" s="80" t="str">
        <f t="shared" si="110"/>
        <v/>
      </c>
      <c r="G115" s="81" t="str">
        <f t="shared" ca="1" si="111"/>
        <v>Ja, HDMI-port finns</v>
      </c>
      <c r="H115" s="81" t="str">
        <f t="shared" ca="1" si="111"/>
        <v>Ja, HDMI-port finns</v>
      </c>
      <c r="I115" s="120" t="str">
        <f t="shared" ca="1" si="111"/>
        <v>Ja, HDMI-port finns</v>
      </c>
      <c r="J115" s="62"/>
      <c r="Q115" s="185">
        <f t="shared" si="88"/>
        <v>0</v>
      </c>
      <c r="R115" s="185">
        <f t="shared" si="89"/>
        <v>0</v>
      </c>
      <c r="S115" s="185">
        <f t="shared" si="90"/>
        <v>0</v>
      </c>
      <c r="T115" s="185">
        <f t="shared" si="91"/>
        <v>0</v>
      </c>
      <c r="U115" s="185">
        <f t="shared" si="92"/>
        <v>0</v>
      </c>
      <c r="V115" s="185">
        <f t="shared" si="93"/>
        <v>0</v>
      </c>
      <c r="W115" s="185">
        <f t="shared" si="94"/>
        <v>0</v>
      </c>
      <c r="X115" s="185">
        <f t="shared" si="95"/>
        <v>0</v>
      </c>
      <c r="Y115" s="185">
        <f t="shared" si="96"/>
        <v>0</v>
      </c>
      <c r="Z115" s="196">
        <f t="shared" ca="1" si="97"/>
        <v>11900</v>
      </c>
      <c r="AA115" s="185" t="str">
        <f t="shared" ca="1" si="98"/>
        <v>Offererad produktnr. 02Dustin Sverige AB</v>
      </c>
      <c r="AB115" s="185"/>
      <c r="AC115" s="198" t="b">
        <f ca="1">IFERROR(IF(D110="",TRUE,
IF(OR(D110=$CB$12,D110=$CB$13),IF(LEFT(AS115,FIND(" ",AS115)-1)=D110,TRUE,FALSE),
IF(OFFSET(Processor!$AB$1,MATCH($AS115,Processor!$AA$2:$AA$23,0),MATCH(LEFT(D110,FIND(" ",D110)-1),Processor!$AC$1:$AG$1,0))&gt;=
OFFSET(Processor!$AB$1,MATCH(D110,Processor!$AA$2:$AA$23,0),MATCH(LEFT(D110,FIND(" ",D110)-1),Processor!$AC$1:$AG$1,0)),TRUE,FALSE))),FALSE)</f>
        <v>1</v>
      </c>
      <c r="AD115" s="185" t="b">
        <f t="shared" si="99"/>
        <v>1</v>
      </c>
      <c r="AE115" s="185" t="b">
        <f t="shared" si="100"/>
        <v>1</v>
      </c>
      <c r="AF115" s="185" t="b">
        <f>IF($D$108="",TRUE,IF(COUNTIF(Processor!$I$2:$I$9,$D$108)&gt;0,AND(AV115&gt;INDEX(Processor!$J$2:$J$9,MATCH($D$108,Processor!$I$2:$I$9,0)),AV115&lt;INDEX(Processor!$K$2:$K$9,MATCH($D$108,Processor!$I$2:$I$9,0))),IF(AV115=$D$108,TRUE,FALSE)))</f>
        <v>1</v>
      </c>
      <c r="AG115" s="185" t="b">
        <f t="shared" si="101"/>
        <v>1</v>
      </c>
      <c r="AH115" s="185" t="b">
        <f t="shared" si="102"/>
        <v>1</v>
      </c>
      <c r="AI115" s="185" t="b">
        <f t="shared" si="103"/>
        <v>1</v>
      </c>
      <c r="AJ115" s="185" t="b">
        <f t="shared" si="104"/>
        <v>1</v>
      </c>
      <c r="AK115" s="185" t="b">
        <f t="shared" si="105"/>
        <v>1</v>
      </c>
      <c r="AL115" s="185" t="b">
        <f>IFERROR(IF($D119="",TRUE,IF(MID(BC115,LEN(BC115)-2,1)*1&gt;=MID($D119,LEN($D119)-2,1)*1,TRUE,FALSE)),FALSE)</f>
        <v>1</v>
      </c>
      <c r="AM115" s="185" t="b">
        <f>IF(D118="",TRUE,IF(BB115&gt;=D118,TRUE,FALSE))</f>
        <v>1</v>
      </c>
      <c r="AN115" s="185"/>
      <c r="AO115" s="185"/>
      <c r="AP115" s="185" t="s">
        <v>175</v>
      </c>
      <c r="AQ115" s="185">
        <v>1</v>
      </c>
      <c r="AR115" s="185" t="str">
        <f t="shared" ca="1" si="106"/>
        <v>1920x1200</v>
      </c>
      <c r="AS115" s="185" t="str">
        <f t="shared" ca="1" si="106"/>
        <v>Intel i5</v>
      </c>
      <c r="AT115" s="185">
        <f t="shared" ca="1" si="106"/>
        <v>16</v>
      </c>
      <c r="AU115" s="185">
        <f t="shared" ca="1" si="106"/>
        <v>256</v>
      </c>
      <c r="AV115" s="185">
        <f t="shared" ca="1" si="106"/>
        <v>14</v>
      </c>
      <c r="AW115" s="185">
        <f t="shared" ca="1" si="106"/>
        <v>2</v>
      </c>
      <c r="AX115" s="185">
        <f t="shared" ca="1" si="106"/>
        <v>2</v>
      </c>
      <c r="AY115" s="185" t="str">
        <f t="shared" ca="1" si="106"/>
        <v>Ja, HDMI-port finns</v>
      </c>
      <c r="AZ115" s="185" t="str">
        <f t="shared" ca="1" si="106"/>
        <v>802.11a/b/g/n/ac/ax</v>
      </c>
      <c r="BA115" s="185">
        <f t="shared" ca="1" si="106"/>
        <v>5.3</v>
      </c>
      <c r="BB115" s="185">
        <f t="shared" ca="1" si="107"/>
        <v>11</v>
      </c>
      <c r="BC115" s="185" t="str">
        <f t="shared" ca="1" si="107"/>
        <v>Version 8.0</v>
      </c>
      <c r="BD115" s="185" t="str">
        <f t="shared" ca="1" si="107"/>
        <v>Ja</v>
      </c>
      <c r="BE115" s="185" t="str">
        <f t="shared" ca="1" si="107"/>
        <v>Windows 11 Pro</v>
      </c>
      <c r="BF115" s="185" t="str">
        <f t="shared" ca="1" si="107"/>
        <v>Elitebook 840 G9</v>
      </c>
      <c r="BG115" s="185">
        <f t="shared" ca="1" si="107"/>
        <v>11900</v>
      </c>
      <c r="BH115" s="192">
        <f t="shared" ca="1" si="107"/>
        <v>123</v>
      </c>
      <c r="BI115" s="192">
        <f t="shared" ca="1" si="107"/>
        <v>425</v>
      </c>
      <c r="BJ115" s="192">
        <f t="shared" ca="1" si="107"/>
        <v>149</v>
      </c>
      <c r="BK115" s="192">
        <f t="shared" ca="1" si="107"/>
        <v>1185</v>
      </c>
      <c r="BL115" s="192">
        <f t="shared" ca="1" si="108"/>
        <v>450</v>
      </c>
      <c r="BM115" s="192">
        <f t="shared" ca="1" si="108"/>
        <v>133</v>
      </c>
      <c r="BN115" s="192">
        <f t="shared" ca="1" si="108"/>
        <v>20</v>
      </c>
      <c r="BO115" s="192">
        <f t="shared" ca="1" si="108"/>
        <v>20</v>
      </c>
      <c r="BP115" s="192" t="str">
        <f t="shared" ca="1" si="108"/>
        <v>Cirafon</v>
      </c>
      <c r="BQ115" s="192" t="str">
        <f t="shared" ca="1" si="108"/>
        <v>Cirafon</v>
      </c>
      <c r="BR115" s="192" t="str">
        <f t="shared" ca="1" si="108"/>
        <v>HP</v>
      </c>
      <c r="BS115" s="192" t="str">
        <f t="shared" ca="1" si="108"/>
        <v>HP</v>
      </c>
      <c r="BT115" s="192" t="str">
        <f t="shared" ca="1" si="108"/>
        <v>LSN8696R2-14.1</v>
      </c>
      <c r="BU115" s="192" t="str">
        <f t="shared" ca="1" si="108"/>
        <v>DPF14-9</v>
      </c>
      <c r="BV115" s="192" t="str">
        <f t="shared" ca="1" si="108"/>
        <v xml:space="preserve">1MZ01AA </v>
      </c>
      <c r="BW115" s="192" t="str">
        <f t="shared" ca="1" si="108"/>
        <v>72C71AA</v>
      </c>
      <c r="BX115" s="192"/>
      <c r="BY115" s="192" t="str">
        <f t="shared" ca="1" si="109"/>
        <v>Dustin Sverige AB</v>
      </c>
      <c r="BZ115" s="192" t="str">
        <f t="shared" ca="1" si="109"/>
        <v>HP</v>
      </c>
      <c r="CA115" s="185"/>
      <c r="CB115" s="185" t="s">
        <v>571</v>
      </c>
      <c r="CC115" s="185"/>
      <c r="CD115" s="185"/>
      <c r="CE115" s="185"/>
      <c r="CF115" s="185"/>
      <c r="CG115" s="185"/>
      <c r="CH115" s="185"/>
      <c r="CI115" s="185"/>
      <c r="CJ115" s="185"/>
      <c r="CK115" s="185"/>
      <c r="CL115" s="185"/>
      <c r="CM115" s="185"/>
      <c r="CN115" s="185"/>
    </row>
    <row r="116" spans="2:92" ht="22.5" customHeight="1" outlineLevel="1" x14ac:dyDescent="0.35">
      <c r="C116" s="61" t="s">
        <v>103</v>
      </c>
      <c r="D116" s="64"/>
      <c r="F116" s="80" t="str">
        <f t="shared" si="110"/>
        <v/>
      </c>
      <c r="G116" s="81" t="str">
        <f t="shared" ca="1" si="111"/>
        <v>802.11a/b/g/n/ac/ax</v>
      </c>
      <c r="H116" s="81" t="str">
        <f t="shared" ca="1" si="111"/>
        <v>802.11a/b/g/n/ac/ax</v>
      </c>
      <c r="I116" s="120" t="str">
        <f t="shared" ca="1" si="111"/>
        <v>802.11a/b/g/n/ac/ax</v>
      </c>
      <c r="J116" s="62"/>
      <c r="Q116" s="185">
        <f t="shared" si="88"/>
        <v>0</v>
      </c>
      <c r="R116" s="185">
        <f t="shared" si="89"/>
        <v>0</v>
      </c>
      <c r="S116" s="185">
        <f t="shared" si="90"/>
        <v>0</v>
      </c>
      <c r="T116" s="185">
        <f t="shared" si="91"/>
        <v>0</v>
      </c>
      <c r="U116" s="185">
        <f t="shared" si="92"/>
        <v>0</v>
      </c>
      <c r="V116" s="185">
        <f t="shared" si="93"/>
        <v>0</v>
      </c>
      <c r="W116" s="185">
        <f t="shared" si="94"/>
        <v>0</v>
      </c>
      <c r="X116" s="185">
        <f t="shared" si="95"/>
        <v>0</v>
      </c>
      <c r="Y116" s="185">
        <f t="shared" si="96"/>
        <v>0</v>
      </c>
      <c r="Z116" s="196">
        <f t="shared" ca="1" si="97"/>
        <v>10490</v>
      </c>
      <c r="AA116" s="185" t="str">
        <f t="shared" ca="1" si="98"/>
        <v>Offererad produktnr. 03Dustin Sverige AB</v>
      </c>
      <c r="AB116" s="185"/>
      <c r="AC116" s="185" t="b">
        <f ca="1">IFERROR(IF(D110="",TRUE,
IF(OR(D110=$CB$12,D110=$CB$13),IF(LEFT(AS116,FIND(" ",AS116)-1)=D110,TRUE,FALSE),
IF(OFFSET(Processor!$AB$1,MATCH($AS116,Processor!$AA$2:$AA$23,0),MATCH(LEFT(D110,FIND(" ",D110)-1),Processor!$AC$1:$AG$1,0))&gt;=
OFFSET(Processor!$AB$1,MATCH(D110,Processor!$AA$2:$AA$23,0),MATCH(LEFT(D110,FIND(" ",D110)-1),Processor!$AC$1:$AG$1,0)),TRUE,FALSE))),FALSE)</f>
        <v>1</v>
      </c>
      <c r="AD116" s="185" t="b">
        <f t="shared" si="99"/>
        <v>1</v>
      </c>
      <c r="AE116" s="185" t="b">
        <f t="shared" si="100"/>
        <v>1</v>
      </c>
      <c r="AF116" s="185" t="b">
        <f>IF($D$108="",TRUE,IF(COUNTIF(Processor!$I$2:$I$9,$D$108)&gt;0,AND(AV116&gt;INDEX(Processor!$J$2:$J$9,MATCH($D$108,Processor!$I$2:$I$9,0)),AV116&lt;INDEX(Processor!$K$2:$K$9,MATCH($D$108,Processor!$I$2:$I$9,0))),IF(AV116=$D$108,TRUE,FALSE)))</f>
        <v>1</v>
      </c>
      <c r="AG116" s="185" t="b">
        <f t="shared" si="101"/>
        <v>1</v>
      </c>
      <c r="AH116" s="185" t="b">
        <f t="shared" si="102"/>
        <v>1</v>
      </c>
      <c r="AI116" s="185" t="b">
        <f t="shared" si="103"/>
        <v>1</v>
      </c>
      <c r="AJ116" s="185" t="b">
        <f t="shared" si="104"/>
        <v>1</v>
      </c>
      <c r="AK116" s="185" t="b">
        <f t="shared" si="105"/>
        <v>1</v>
      </c>
      <c r="AL116" s="185" t="b">
        <f>IFERROR(IF($D119="",TRUE,IF(MID(BC116,LEN(BC116)-2,1)*1&gt;=MID($D119,LEN($D119)-2,1)*1,TRUE,FALSE)),FALSE)</f>
        <v>1</v>
      </c>
      <c r="AM116" s="185" t="b">
        <f>IF(D118="",TRUE,IF(BB116&gt;=D118,TRUE,FALSE))</f>
        <v>1</v>
      </c>
      <c r="AN116" s="185"/>
      <c r="AO116" s="185"/>
      <c r="AP116" s="185" t="s">
        <v>176</v>
      </c>
      <c r="AQ116" s="185">
        <v>1</v>
      </c>
      <c r="AR116" s="185" t="str">
        <f t="shared" ref="AR116:BA125" ca="1" si="112">IFERROR(INDEX(INDIRECT(AR$101&amp;"!$A$10:CC100000"),MATCH($AP116,INDIRECT(AR$101&amp;"!BH$10:BH100000"),0),MATCH(AR$103,INDIRECT(AR$101&amp;"!a10:CC10"),0)),"False")</f>
        <v>1920x1080</v>
      </c>
      <c r="AS116" s="185" t="str">
        <f t="shared" ca="1" si="112"/>
        <v>Intel i7 Gen 12</v>
      </c>
      <c r="AT116" s="185">
        <f t="shared" ca="1" si="112"/>
        <v>32</v>
      </c>
      <c r="AU116" s="185">
        <f t="shared" ca="1" si="112"/>
        <v>512</v>
      </c>
      <c r="AV116" s="185">
        <f t="shared" ca="1" si="112"/>
        <v>14</v>
      </c>
      <c r="AW116" s="185">
        <f t="shared" ca="1" si="112"/>
        <v>3</v>
      </c>
      <c r="AX116" s="185">
        <f t="shared" ca="1" si="112"/>
        <v>1</v>
      </c>
      <c r="AY116" s="185" t="str">
        <f t="shared" ca="1" si="112"/>
        <v>Ja, HDMI-port finns</v>
      </c>
      <c r="AZ116" s="185" t="str">
        <f t="shared" ca="1" si="112"/>
        <v>802.11a/b/g/n/ac/ax</v>
      </c>
      <c r="BA116" s="185">
        <f t="shared" ca="1" si="112"/>
        <v>5.3</v>
      </c>
      <c r="BB116" s="185">
        <f t="shared" ref="BB116:BK125" ca="1" si="113">IFERROR(INDEX(INDIRECT(BB$101&amp;"!$A$10:CC100000"),MATCH($AP116,INDIRECT(BB$101&amp;"!BH$10:BH100000"),0),MATCH(BB$103,INDIRECT(BB$101&amp;"!a10:CC10"),0)),"False")</f>
        <v>11</v>
      </c>
      <c r="BC116" s="185" t="str">
        <f t="shared" ca="1" si="113"/>
        <v>Version 8.0</v>
      </c>
      <c r="BD116" s="185" t="str">
        <f t="shared" ca="1" si="113"/>
        <v>Ja</v>
      </c>
      <c r="BE116" s="185" t="str">
        <f t="shared" ca="1" si="113"/>
        <v>Windows 11 Pro</v>
      </c>
      <c r="BF116" s="185" t="str">
        <f t="shared" ca="1" si="113"/>
        <v>ProBook 440 G9</v>
      </c>
      <c r="BG116" s="185">
        <f t="shared" ca="1" si="113"/>
        <v>10490</v>
      </c>
      <c r="BH116" s="192">
        <f t="shared" ca="1" si="113"/>
        <v>123</v>
      </c>
      <c r="BI116" s="192">
        <f t="shared" ca="1" si="113"/>
        <v>425</v>
      </c>
      <c r="BJ116" s="192">
        <f t="shared" ca="1" si="113"/>
        <v>149</v>
      </c>
      <c r="BK116" s="192">
        <f t="shared" ca="1" si="113"/>
        <v>1185</v>
      </c>
      <c r="BL116" s="192">
        <f t="shared" ref="BL116:BW125" ca="1" si="114">IFERROR(INDEX(INDIRECT(BL$101&amp;"!$A$10:CC100000"),MATCH($AP116,INDIRECT(BL$101&amp;"!BH$10:BH100000"),0),MATCH(BL$103,INDIRECT(BL$101&amp;"!a10:CC10"),0)),"False")</f>
        <v>450</v>
      </c>
      <c r="BM116" s="192">
        <f t="shared" ca="1" si="114"/>
        <v>133</v>
      </c>
      <c r="BN116" s="192">
        <f t="shared" ca="1" si="114"/>
        <v>20</v>
      </c>
      <c r="BO116" s="192">
        <f t="shared" ca="1" si="114"/>
        <v>20</v>
      </c>
      <c r="BP116" s="192" t="str">
        <f t="shared" ca="1" si="114"/>
        <v>Cirafon</v>
      </c>
      <c r="BQ116" s="192" t="str">
        <f t="shared" ca="1" si="114"/>
        <v>Cirafon</v>
      </c>
      <c r="BR116" s="192" t="str">
        <f t="shared" ca="1" si="114"/>
        <v>HP</v>
      </c>
      <c r="BS116" s="192" t="str">
        <f t="shared" ca="1" si="114"/>
        <v>HP</v>
      </c>
      <c r="BT116" s="192" t="str">
        <f t="shared" ca="1" si="114"/>
        <v>LSN8696R2-14.1</v>
      </c>
      <c r="BU116" s="192" t="str">
        <f t="shared" ca="1" si="114"/>
        <v>DPF14-9</v>
      </c>
      <c r="BV116" s="192" t="str">
        <f t="shared" ca="1" si="114"/>
        <v xml:space="preserve">1MZ01AA </v>
      </c>
      <c r="BW116" s="192" t="str">
        <f t="shared" ca="1" si="114"/>
        <v>72C71AA</v>
      </c>
      <c r="BX116" s="192"/>
      <c r="BY116" s="192" t="str">
        <f t="shared" ca="1" si="109"/>
        <v>Dustin Sverige AB</v>
      </c>
      <c r="BZ116" s="192" t="str">
        <f t="shared" ca="1" si="109"/>
        <v>HP</v>
      </c>
      <c r="CA116" s="185"/>
      <c r="CB116" s="185" t="s">
        <v>710</v>
      </c>
      <c r="CC116" s="185"/>
      <c r="CD116" s="185"/>
      <c r="CE116" s="185"/>
      <c r="CF116" s="185"/>
      <c r="CG116" s="185"/>
      <c r="CH116" s="185"/>
      <c r="CI116" s="185"/>
      <c r="CJ116" s="185"/>
      <c r="CK116" s="185"/>
      <c r="CL116" s="185"/>
      <c r="CM116" s="185"/>
      <c r="CN116" s="185"/>
    </row>
    <row r="117" spans="2:92" ht="33.75" customHeight="1" outlineLevel="1" x14ac:dyDescent="0.35">
      <c r="C117" s="61" t="s">
        <v>75</v>
      </c>
      <c r="D117" s="110"/>
      <c r="F117" s="80" t="str">
        <f t="shared" si="110"/>
        <v/>
      </c>
      <c r="G117" s="81">
        <f t="shared" ca="1" si="111"/>
        <v>5</v>
      </c>
      <c r="H117" s="81">
        <f t="shared" ca="1" si="111"/>
        <v>5.3</v>
      </c>
      <c r="I117" s="120">
        <f t="shared" ca="1" si="111"/>
        <v>5</v>
      </c>
      <c r="J117" s="62"/>
      <c r="Q117" s="185">
        <f t="shared" si="88"/>
        <v>0</v>
      </c>
      <c r="R117" s="185">
        <f t="shared" si="89"/>
        <v>0</v>
      </c>
      <c r="S117" s="185">
        <f t="shared" si="90"/>
        <v>0</v>
      </c>
      <c r="T117" s="185">
        <f t="shared" si="91"/>
        <v>0</v>
      </c>
      <c r="U117" s="185">
        <f t="shared" si="92"/>
        <v>0</v>
      </c>
      <c r="V117" s="185">
        <f t="shared" si="93"/>
        <v>0</v>
      </c>
      <c r="W117" s="185">
        <f t="shared" si="94"/>
        <v>0</v>
      </c>
      <c r="X117" s="185">
        <f t="shared" si="95"/>
        <v>0</v>
      </c>
      <c r="Y117" s="185">
        <f t="shared" si="96"/>
        <v>0</v>
      </c>
      <c r="Z117" s="196">
        <f t="shared" ca="1" si="97"/>
        <v>13790</v>
      </c>
      <c r="AA117" s="185" t="str">
        <f t="shared" ca="1" si="98"/>
        <v>Offererad produktnr. 04Dustin Sverige AB</v>
      </c>
      <c r="AB117" s="185"/>
      <c r="AC117" s="185" t="b">
        <f ca="1">IFERROR(IF(D110="",TRUE,
IF(OR(D110=$CB$12,D110=$CB$13),IF(LEFT(AS117,FIND(" ",AS117)-1)=D110,TRUE,FALSE),
IF(OFFSET(Processor!$AB$1,MATCH($AS117,Processor!$AA$2:$AA$23,0),MATCH(LEFT(D110,FIND(" ",D110)-1),Processor!$AC$1:$AG$1,0))&gt;=
OFFSET(Processor!$AB$1,MATCH(D110,Processor!$AA$2:$AA$23,0),MATCH(LEFT(D110,FIND(" ",D110)-1),Processor!$AC$1:$AG$1,0)),TRUE,FALSE))),FALSE)</f>
        <v>1</v>
      </c>
      <c r="AD117" s="185" t="b">
        <f t="shared" si="99"/>
        <v>1</v>
      </c>
      <c r="AE117" s="185" t="b">
        <f t="shared" si="100"/>
        <v>1</v>
      </c>
      <c r="AF117" s="185" t="b">
        <f>IF($D$108="",TRUE,IF(COUNTIF(Processor!$I$2:$I$9,$D$108)&gt;0,AND(AV117&gt;INDEX(Processor!$J$2:$J$9,MATCH($D$108,Processor!$I$2:$I$9,0)),AV117&lt;INDEX(Processor!$K$2:$K$9,MATCH($D$108,Processor!$I$2:$I$9,0))),IF(AV117=$D$108,TRUE,FALSE)))</f>
        <v>1</v>
      </c>
      <c r="AG117" s="185" t="b">
        <f t="shared" si="101"/>
        <v>1</v>
      </c>
      <c r="AH117" s="185" t="b">
        <f t="shared" si="102"/>
        <v>1</v>
      </c>
      <c r="AI117" s="185" t="b">
        <f t="shared" si="103"/>
        <v>1</v>
      </c>
      <c r="AJ117" s="185" t="b">
        <f t="shared" si="104"/>
        <v>1</v>
      </c>
      <c r="AK117" s="185" t="b">
        <f t="shared" si="105"/>
        <v>1</v>
      </c>
      <c r="AL117" s="185" t="b">
        <f>IFERROR(IF($D119="",TRUE,IF(MID(BC117,LEN(BC117)-2,1)*1&gt;=MID($D119,LEN($D119)-2,1)*1,TRUE,FALSE)),FALSE)</f>
        <v>1</v>
      </c>
      <c r="AM117" s="185" t="b">
        <f>IF(D118="",TRUE,IF(BB117&gt;=D118,TRUE,FALSE))</f>
        <v>1</v>
      </c>
      <c r="AN117" s="185"/>
      <c r="AO117" s="185"/>
      <c r="AP117" s="185" t="s">
        <v>177</v>
      </c>
      <c r="AQ117" s="185">
        <v>1</v>
      </c>
      <c r="AR117" s="185" t="str">
        <f t="shared" ca="1" si="112"/>
        <v>1920x1200</v>
      </c>
      <c r="AS117" s="185" t="str">
        <f t="shared" ca="1" si="112"/>
        <v>Intel i7</v>
      </c>
      <c r="AT117" s="185">
        <f t="shared" ca="1" si="112"/>
        <v>16</v>
      </c>
      <c r="AU117" s="185">
        <f t="shared" ca="1" si="112"/>
        <v>512</v>
      </c>
      <c r="AV117" s="185">
        <f t="shared" ca="1" si="112"/>
        <v>14</v>
      </c>
      <c r="AW117" s="185">
        <f t="shared" ca="1" si="112"/>
        <v>2</v>
      </c>
      <c r="AX117" s="185">
        <f t="shared" ca="1" si="112"/>
        <v>2</v>
      </c>
      <c r="AY117" s="185" t="str">
        <f t="shared" ca="1" si="112"/>
        <v>Ja, HDMI-port finns</v>
      </c>
      <c r="AZ117" s="185" t="str">
        <f t="shared" ca="1" si="112"/>
        <v>802.11a/b/g/n/ac/ax</v>
      </c>
      <c r="BA117" s="185">
        <f t="shared" ca="1" si="112"/>
        <v>5.3</v>
      </c>
      <c r="BB117" s="185">
        <f t="shared" ca="1" si="113"/>
        <v>11</v>
      </c>
      <c r="BC117" s="185" t="str">
        <f t="shared" ca="1" si="113"/>
        <v>Version 8.0</v>
      </c>
      <c r="BD117" s="185" t="str">
        <f t="shared" ca="1" si="113"/>
        <v>Ja</v>
      </c>
      <c r="BE117" s="185" t="str">
        <f t="shared" ca="1" si="113"/>
        <v>Windows 11 Pro</v>
      </c>
      <c r="BF117" s="185" t="str">
        <f t="shared" ca="1" si="113"/>
        <v>EliteBook 840 G9</v>
      </c>
      <c r="BG117" s="185">
        <f t="shared" ca="1" si="113"/>
        <v>13790</v>
      </c>
      <c r="BH117" s="192">
        <f t="shared" ca="1" si="113"/>
        <v>123</v>
      </c>
      <c r="BI117" s="192">
        <f t="shared" ca="1" si="113"/>
        <v>425</v>
      </c>
      <c r="BJ117" s="192">
        <f t="shared" ca="1" si="113"/>
        <v>149</v>
      </c>
      <c r="BK117" s="192">
        <f t="shared" ca="1" si="113"/>
        <v>1185</v>
      </c>
      <c r="BL117" s="192">
        <f t="shared" ca="1" si="114"/>
        <v>450</v>
      </c>
      <c r="BM117" s="192">
        <f t="shared" ca="1" si="114"/>
        <v>133</v>
      </c>
      <c r="BN117" s="192">
        <f t="shared" ca="1" si="114"/>
        <v>20</v>
      </c>
      <c r="BO117" s="192">
        <f t="shared" ca="1" si="114"/>
        <v>20</v>
      </c>
      <c r="BP117" s="192" t="str">
        <f t="shared" ca="1" si="114"/>
        <v>Cirafon</v>
      </c>
      <c r="BQ117" s="192" t="str">
        <f t="shared" ca="1" si="114"/>
        <v>Cirafon</v>
      </c>
      <c r="BR117" s="192" t="str">
        <f t="shared" ca="1" si="114"/>
        <v>HP</v>
      </c>
      <c r="BS117" s="192" t="str">
        <f t="shared" ca="1" si="114"/>
        <v>HP</v>
      </c>
      <c r="BT117" s="192" t="str">
        <f t="shared" ca="1" si="114"/>
        <v>LSN8696R2-14.1</v>
      </c>
      <c r="BU117" s="192" t="str">
        <f t="shared" ca="1" si="114"/>
        <v>DPF14-9</v>
      </c>
      <c r="BV117" s="192" t="str">
        <f t="shared" ca="1" si="114"/>
        <v xml:space="preserve">1MZ01AA </v>
      </c>
      <c r="BW117" s="192" t="str">
        <f t="shared" ca="1" si="114"/>
        <v>72C71AA</v>
      </c>
      <c r="BX117" s="192"/>
      <c r="BY117" s="192" t="str">
        <f t="shared" ca="1" si="109"/>
        <v>Dustin Sverige AB</v>
      </c>
      <c r="BZ117" s="192" t="str">
        <f t="shared" ca="1" si="109"/>
        <v>HP</v>
      </c>
      <c r="CA117" s="185"/>
      <c r="CB117" s="185"/>
      <c r="CC117" s="185"/>
      <c r="CD117" s="185"/>
      <c r="CE117" s="185"/>
      <c r="CF117" s="185"/>
      <c r="CG117" s="185"/>
      <c r="CH117" s="185"/>
      <c r="CI117" s="185"/>
      <c r="CJ117" s="185"/>
      <c r="CK117" s="185"/>
      <c r="CL117" s="185"/>
      <c r="CM117" s="185"/>
      <c r="CN117" s="185"/>
    </row>
    <row r="118" spans="2:92" ht="32.25" customHeight="1" outlineLevel="1" x14ac:dyDescent="0.35">
      <c r="C118" s="61" t="s">
        <v>120</v>
      </c>
      <c r="D118" s="65"/>
      <c r="F118" s="80" t="str">
        <f t="shared" si="110"/>
        <v/>
      </c>
      <c r="G118" s="81">
        <f t="shared" ca="1" si="111"/>
        <v>11</v>
      </c>
      <c r="H118" s="81">
        <f t="shared" ca="1" si="111"/>
        <v>11</v>
      </c>
      <c r="I118" s="121">
        <f t="shared" ca="1" si="111"/>
        <v>11</v>
      </c>
      <c r="J118" s="62"/>
      <c r="Q118" s="185">
        <f t="shared" si="88"/>
        <v>0</v>
      </c>
      <c r="R118" s="185">
        <f t="shared" si="89"/>
        <v>0</v>
      </c>
      <c r="S118" s="185">
        <f t="shared" si="90"/>
        <v>0</v>
      </c>
      <c r="T118" s="185">
        <f t="shared" si="91"/>
        <v>0</v>
      </c>
      <c r="U118" s="185">
        <f t="shared" si="92"/>
        <v>0</v>
      </c>
      <c r="V118" s="185">
        <f t="shared" si="93"/>
        <v>0</v>
      </c>
      <c r="W118" s="185">
        <f t="shared" si="94"/>
        <v>0</v>
      </c>
      <c r="X118" s="185">
        <f t="shared" si="95"/>
        <v>0</v>
      </c>
      <c r="Y118" s="185">
        <f t="shared" si="96"/>
        <v>0</v>
      </c>
      <c r="Z118" s="196">
        <f t="shared" ca="1" si="97"/>
        <v>8848</v>
      </c>
      <c r="AA118" s="185" t="str">
        <f t="shared" ca="1" si="98"/>
        <v>Offererad produktnr. 01Foxway Education AB</v>
      </c>
      <c r="AB118" s="185"/>
      <c r="AC118" s="185" t="b">
        <f ca="1">IFERROR(IF(D110="",TRUE,
IF(OR(D110=$CB$12,D110=$CB$13),IF(LEFT(AS118,FIND(" ",AS118)-1)=D110,TRUE,FALSE),
IF(OFFSET(Processor!$AB$1,MATCH($AS118,Processor!$AA$2:$AA$23,0),MATCH(LEFT(D110,FIND(" ",D110)-1),Processor!$AC$1:$AG$1,0))&gt;=
OFFSET(Processor!$AB$1,MATCH(D110,Processor!$AA$2:$AA$23,0),MATCH(LEFT(D110,FIND(" ",D110)-1),Processor!$AC$1:$AG$1,0)),TRUE,FALSE))),FALSE)</f>
        <v>1</v>
      </c>
      <c r="AD118" s="185" t="b">
        <f t="shared" si="99"/>
        <v>1</v>
      </c>
      <c r="AE118" s="185" t="b">
        <f t="shared" si="100"/>
        <v>1</v>
      </c>
      <c r="AF118" s="185" t="b">
        <f>IF($D$108="",TRUE,IF(COUNTIF(Processor!$I$2:$I$9,$D$108)&gt;0,AND(AV118&gt;INDEX(Processor!$J$2:$J$9,MATCH($D$108,Processor!$I$2:$I$9,0)),AV118&lt;INDEX(Processor!$K$2:$K$9,MATCH($D$108,Processor!$I$2:$I$9,0))),IF(AV118=$D$108,TRUE,FALSE)))</f>
        <v>1</v>
      </c>
      <c r="AG118" s="185" t="b">
        <f t="shared" si="101"/>
        <v>1</v>
      </c>
      <c r="AH118" s="185" t="b">
        <f t="shared" si="102"/>
        <v>1</v>
      </c>
      <c r="AI118" s="185" t="b">
        <f t="shared" si="103"/>
        <v>1</v>
      </c>
      <c r="AJ118" s="185" t="b">
        <f t="shared" si="104"/>
        <v>1</v>
      </c>
      <c r="AK118" s="185" t="b">
        <f t="shared" si="105"/>
        <v>1</v>
      </c>
      <c r="AL118" s="185" t="b">
        <f>IFERROR(IF($D119="",TRUE,IF(MID(BC118,LEN(BC118)-2,1)*1&gt;=MID($D119,LEN($D119)-2,1)*1,TRUE,FALSE)),FALSE)</f>
        <v>1</v>
      </c>
      <c r="AM118" s="185" t="b">
        <f>IF(D118="",TRUE,IF(BB118&gt;=D118,TRUE,FALSE))</f>
        <v>1</v>
      </c>
      <c r="AN118" s="185"/>
      <c r="AO118" s="185"/>
      <c r="AP118" s="185" t="s">
        <v>210</v>
      </c>
      <c r="AQ118" s="185">
        <v>1</v>
      </c>
      <c r="AR118" s="185" t="str">
        <f t="shared" ca="1" si="112"/>
        <v>1920x1080</v>
      </c>
      <c r="AS118" s="185" t="str">
        <f t="shared" ca="1" si="112"/>
        <v>AMD Ryzen 5</v>
      </c>
      <c r="AT118" s="185">
        <f t="shared" ca="1" si="112"/>
        <v>8</v>
      </c>
      <c r="AU118" s="185">
        <f t="shared" ca="1" si="112"/>
        <v>256</v>
      </c>
      <c r="AV118" s="185">
        <f t="shared" ca="1" si="112"/>
        <v>14</v>
      </c>
      <c r="AW118" s="185">
        <f t="shared" ca="1" si="112"/>
        <v>4</v>
      </c>
      <c r="AX118" s="185">
        <f t="shared" ca="1" si="112"/>
        <v>1</v>
      </c>
      <c r="AY118" s="185" t="str">
        <f t="shared" ca="1" si="112"/>
        <v>Ja, HDMI-port finns</v>
      </c>
      <c r="AZ118" s="185" t="str">
        <f t="shared" ca="1" si="112"/>
        <v>802.11a/b/g/n/ac/ax</v>
      </c>
      <c r="BA118" s="185">
        <f t="shared" ca="1" si="112"/>
        <v>5.3</v>
      </c>
      <c r="BB118" s="185">
        <f t="shared" ca="1" si="113"/>
        <v>11</v>
      </c>
      <c r="BC118" s="185" t="str">
        <f t="shared" ca="1" si="113"/>
        <v>Version 8.0</v>
      </c>
      <c r="BD118" s="185" t="str">
        <f t="shared" ca="1" si="113"/>
        <v>Ja</v>
      </c>
      <c r="BE118" s="185" t="str">
        <f t="shared" ca="1" si="113"/>
        <v>Windows 11 Pro</v>
      </c>
      <c r="BF118" s="185" t="str">
        <f t="shared" ca="1" si="113"/>
        <v>ProBook 445 G10</v>
      </c>
      <c r="BG118" s="185">
        <f t="shared" ca="1" si="113"/>
        <v>8848</v>
      </c>
      <c r="BH118" s="192">
        <f t="shared" ca="1" si="113"/>
        <v>78</v>
      </c>
      <c r="BI118" s="192">
        <f t="shared" ca="1" si="113"/>
        <v>252</v>
      </c>
      <c r="BJ118" s="192">
        <f t="shared" ca="1" si="113"/>
        <v>138</v>
      </c>
      <c r="BK118" s="192">
        <f t="shared" ca="1" si="113"/>
        <v>1150</v>
      </c>
      <c r="BL118" s="192">
        <f t="shared" ca="1" si="114"/>
        <v>160</v>
      </c>
      <c r="BM118" s="192">
        <f t="shared" ca="1" si="114"/>
        <v>185</v>
      </c>
      <c r="BN118" s="192">
        <f t="shared" ca="1" si="114"/>
        <v>60</v>
      </c>
      <c r="BO118" s="192">
        <f t="shared" ca="1" si="114"/>
        <v>50</v>
      </c>
      <c r="BP118" s="192" t="str">
        <f t="shared" ca="1" si="114"/>
        <v>V7</v>
      </c>
      <c r="BQ118" s="192" t="str">
        <f t="shared" ca="1" si="114"/>
        <v>Targus</v>
      </c>
      <c r="BR118" s="192" t="str">
        <f t="shared" ca="1" si="114"/>
        <v>HP</v>
      </c>
      <c r="BS118" s="192" t="str">
        <f t="shared" ca="1" si="114"/>
        <v>HP</v>
      </c>
      <c r="BT118" s="192" t="str">
        <f t="shared" ca="1" si="114"/>
        <v>V7 Elite Sleeve 14"</v>
      </c>
      <c r="BU118" s="192" t="str">
        <f t="shared" ca="1" si="114"/>
        <v>Targus Privacy Screen 14"</v>
      </c>
      <c r="BV118" s="192" t="str">
        <f t="shared" ca="1" si="114"/>
        <v>HP 45W Smart AC Adapter</v>
      </c>
      <c r="BW118" s="192" t="str">
        <f t="shared" ca="1" si="114"/>
        <v>HP USB-C Dock G5</v>
      </c>
      <c r="BX118" s="192"/>
      <c r="BY118" s="192" t="str">
        <f t="shared" ca="1" si="109"/>
        <v>Foxway Education AB</v>
      </c>
      <c r="BZ118" s="192" t="str">
        <f t="shared" ca="1" si="109"/>
        <v>HP</v>
      </c>
      <c r="CA118" s="185"/>
      <c r="CB118" s="185"/>
      <c r="CC118" s="185"/>
      <c r="CD118" s="185"/>
      <c r="CE118" s="185"/>
      <c r="CF118" s="185"/>
      <c r="CG118" s="185"/>
      <c r="CH118" s="185"/>
      <c r="CI118" s="185"/>
      <c r="CJ118" s="185"/>
      <c r="CK118" s="185"/>
      <c r="CL118" s="185"/>
      <c r="CM118" s="185"/>
      <c r="CN118" s="185"/>
    </row>
    <row r="119" spans="2:92" ht="24" customHeight="1" outlineLevel="1" x14ac:dyDescent="0.35">
      <c r="C119" s="61" t="s">
        <v>38</v>
      </c>
      <c r="D119" s="64"/>
      <c r="F119" s="80" t="str">
        <f t="shared" si="110"/>
        <v/>
      </c>
      <c r="G119" s="81" t="str">
        <f t="shared" ca="1" si="111"/>
        <v>Version 8.0</v>
      </c>
      <c r="H119" s="81" t="str">
        <f t="shared" ca="1" si="111"/>
        <v>Version 8.0</v>
      </c>
      <c r="I119" s="120" t="str">
        <f t="shared" ca="1" si="111"/>
        <v>Version 8.0</v>
      </c>
      <c r="J119" s="62"/>
      <c r="Q119" s="185">
        <f t="shared" si="88"/>
        <v>0</v>
      </c>
      <c r="R119" s="185">
        <f t="shared" si="89"/>
        <v>0</v>
      </c>
      <c r="S119" s="185">
        <f t="shared" si="90"/>
        <v>0</v>
      </c>
      <c r="T119" s="185">
        <f t="shared" si="91"/>
        <v>0</v>
      </c>
      <c r="U119" s="185">
        <f t="shared" si="92"/>
        <v>0</v>
      </c>
      <c r="V119" s="185">
        <f t="shared" si="93"/>
        <v>0</v>
      </c>
      <c r="W119" s="185">
        <f t="shared" si="94"/>
        <v>0</v>
      </c>
      <c r="X119" s="185">
        <f t="shared" si="95"/>
        <v>0</v>
      </c>
      <c r="Y119" s="185">
        <f t="shared" si="96"/>
        <v>0</v>
      </c>
      <c r="Z119" s="196">
        <f t="shared" ca="1" si="97"/>
        <v>9288</v>
      </c>
      <c r="AA119" s="185" t="str">
        <f t="shared" ca="1" si="98"/>
        <v>Offererad produktnr. 02Foxway Education AB</v>
      </c>
      <c r="AB119" s="185"/>
      <c r="AC119" s="185" t="b">
        <f ca="1">IFERROR(IF(D110="",TRUE,
IF(OR(D110=$CB$12,D110=$CB$13),IF(LEFT(AS119,FIND(" ",AS119)-1)=D110,TRUE,FALSE),
IF(OFFSET(Processor!$AB$1,MATCH($AS119,Processor!$AA$2:$AA$23,0),MATCH(LEFT(D110,FIND(" ",D110)-1),Processor!$AC$1:$AG$1,0))&gt;=
OFFSET(Processor!$AB$1,MATCH(D110,Processor!$AA$2:$AA$23,0),MATCH(LEFT(D110,FIND(" ",D110)-1),Processor!$AC$1:$AG$1,0)),TRUE,FALSE))),FALSE)</f>
        <v>1</v>
      </c>
      <c r="AD119" s="185" t="b">
        <f t="shared" si="99"/>
        <v>1</v>
      </c>
      <c r="AE119" s="185" t="b">
        <f t="shared" si="100"/>
        <v>1</v>
      </c>
      <c r="AF119" s="185" t="b">
        <f>IF($D$108="",TRUE,IF(COUNTIF(Processor!$I$2:$I$9,$D$108)&gt;0,AND(AV119&gt;INDEX(Processor!$J$2:$J$9,MATCH($D$108,Processor!$I$2:$I$9,0)),AV119&lt;INDEX(Processor!$K$2:$K$9,MATCH($D$108,Processor!$I$2:$I$9,0))),IF(AV119=$D$108,TRUE,FALSE)))</f>
        <v>1</v>
      </c>
      <c r="AG119" s="185" t="b">
        <f t="shared" si="101"/>
        <v>1</v>
      </c>
      <c r="AH119" s="185" t="b">
        <f t="shared" si="102"/>
        <v>1</v>
      </c>
      <c r="AI119" s="185" t="b">
        <f t="shared" si="103"/>
        <v>1</v>
      </c>
      <c r="AJ119" s="185" t="b">
        <f t="shared" si="104"/>
        <v>1</v>
      </c>
      <c r="AK119" s="185" t="b">
        <f t="shared" si="105"/>
        <v>1</v>
      </c>
      <c r="AL119" s="185" t="b">
        <f>IFERROR(IF($D119="",TRUE,IF(MID(BC119,LEN(BC119)-2,1)*1&gt;=MID($D119,LEN($D119)-2,1)*1,TRUE,FALSE)),FALSE)</f>
        <v>1</v>
      </c>
      <c r="AM119" s="185" t="b">
        <f>IF(D118="",TRUE,IF(BB119&gt;=D118,TRUE,FALSE))</f>
        <v>1</v>
      </c>
      <c r="AN119" s="185"/>
      <c r="AO119" s="185"/>
      <c r="AP119" s="185" t="s">
        <v>211</v>
      </c>
      <c r="AQ119" s="185">
        <v>1</v>
      </c>
      <c r="AR119" s="185" t="str">
        <f t="shared" ca="1" si="112"/>
        <v>1920x1080</v>
      </c>
      <c r="AS119" s="185" t="str">
        <f t="shared" ca="1" si="112"/>
        <v>AMD Ryzen 5</v>
      </c>
      <c r="AT119" s="185">
        <f t="shared" ca="1" si="112"/>
        <v>8</v>
      </c>
      <c r="AU119" s="185">
        <f t="shared" ca="1" si="112"/>
        <v>256</v>
      </c>
      <c r="AV119" s="185">
        <f t="shared" ca="1" si="112"/>
        <v>14</v>
      </c>
      <c r="AW119" s="185">
        <f t="shared" ca="1" si="112"/>
        <v>3</v>
      </c>
      <c r="AX119" s="185">
        <f t="shared" ca="1" si="112"/>
        <v>1</v>
      </c>
      <c r="AY119" s="185" t="str">
        <f t="shared" ca="1" si="112"/>
        <v>Ja, HDMI-port finns</v>
      </c>
      <c r="AZ119" s="185" t="str">
        <f t="shared" ca="1" si="112"/>
        <v>802.11a/b/g/n/ac</v>
      </c>
      <c r="BA119" s="185">
        <f t="shared" ca="1" si="112"/>
        <v>5</v>
      </c>
      <c r="BB119" s="185">
        <f t="shared" ca="1" si="113"/>
        <v>11</v>
      </c>
      <c r="BC119" s="185" t="str">
        <f t="shared" ca="1" si="113"/>
        <v>Version 8.0</v>
      </c>
      <c r="BD119" s="185" t="str">
        <f t="shared" ca="1" si="113"/>
        <v>Ja</v>
      </c>
      <c r="BE119" s="185" t="str">
        <f t="shared" ca="1" si="113"/>
        <v>Windows 11 Pro</v>
      </c>
      <c r="BF119" s="185" t="str">
        <f t="shared" ca="1" si="113"/>
        <v>E14 G5 AMD</v>
      </c>
      <c r="BG119" s="185">
        <f t="shared" ca="1" si="113"/>
        <v>9288</v>
      </c>
      <c r="BH119" s="192">
        <f t="shared" ca="1" si="113"/>
        <v>78</v>
      </c>
      <c r="BI119" s="192">
        <f t="shared" ca="1" si="113"/>
        <v>252</v>
      </c>
      <c r="BJ119" s="192">
        <f t="shared" ca="1" si="113"/>
        <v>210</v>
      </c>
      <c r="BK119" s="192">
        <f t="shared" ca="1" si="113"/>
        <v>1824</v>
      </c>
      <c r="BL119" s="192">
        <f t="shared" ca="1" si="114"/>
        <v>290</v>
      </c>
      <c r="BM119" s="192">
        <f t="shared" ca="1" si="114"/>
        <v>185</v>
      </c>
      <c r="BN119" s="192">
        <f t="shared" ca="1" si="114"/>
        <v>60</v>
      </c>
      <c r="BO119" s="192">
        <f t="shared" ca="1" si="114"/>
        <v>50</v>
      </c>
      <c r="BP119" s="192" t="str">
        <f t="shared" ca="1" si="114"/>
        <v>V7</v>
      </c>
      <c r="BQ119" s="192" t="str">
        <f t="shared" ca="1" si="114"/>
        <v>Targus</v>
      </c>
      <c r="BR119" s="192" t="str">
        <f t="shared" ca="1" si="114"/>
        <v>Lenovo</v>
      </c>
      <c r="BS119" s="192" t="str">
        <f t="shared" ca="1" si="114"/>
        <v>Lenovo</v>
      </c>
      <c r="BT119" s="192" t="str">
        <f t="shared" ca="1" si="114"/>
        <v>V7 Elite Sleeve 14"</v>
      </c>
      <c r="BU119" s="192" t="str">
        <f t="shared" ca="1" si="114"/>
        <v>Targus Privacy Screen 14"</v>
      </c>
      <c r="BV119" s="192" t="str">
        <f t="shared" ca="1" si="114"/>
        <v>Power adapter USB-C 45w</v>
      </c>
      <c r="BW119" s="192" t="str">
        <f t="shared" ca="1" si="114"/>
        <v>ThinkPad USB-C Dock gen2</v>
      </c>
      <c r="BX119" s="192"/>
      <c r="BY119" s="192" t="str">
        <f t="shared" ca="1" si="109"/>
        <v>Foxway Education AB</v>
      </c>
      <c r="BZ119" s="192" t="str">
        <f t="shared" ca="1" si="109"/>
        <v>Lenovo</v>
      </c>
      <c r="CA119" s="185"/>
      <c r="CB119" s="185"/>
      <c r="CC119" s="185"/>
      <c r="CD119" s="185"/>
      <c r="CE119" s="185"/>
      <c r="CF119" s="185"/>
      <c r="CG119" s="185"/>
      <c r="CH119" s="185"/>
      <c r="CI119" s="185"/>
      <c r="CJ119" s="185"/>
      <c r="CK119" s="185"/>
      <c r="CL119" s="185"/>
      <c r="CM119" s="185"/>
      <c r="CN119" s="185"/>
    </row>
    <row r="120" spans="2:92" ht="24" customHeight="1" outlineLevel="1" x14ac:dyDescent="0.35">
      <c r="C120" s="61" t="s">
        <v>37</v>
      </c>
      <c r="D120" s="64"/>
      <c r="F120" s="80" t="str">
        <f t="shared" si="110"/>
        <v/>
      </c>
      <c r="G120" s="81" t="str">
        <f t="shared" ca="1" si="111"/>
        <v>Ja</v>
      </c>
      <c r="H120" s="81" t="str">
        <f t="shared" ca="1" si="111"/>
        <v>Ja</v>
      </c>
      <c r="I120" s="120" t="str">
        <f t="shared" ca="1" si="111"/>
        <v>Ja</v>
      </c>
      <c r="J120" s="62"/>
      <c r="Q120" s="185">
        <f t="shared" si="88"/>
        <v>0</v>
      </c>
      <c r="R120" s="185">
        <f t="shared" si="89"/>
        <v>0</v>
      </c>
      <c r="S120" s="185">
        <f t="shared" si="90"/>
        <v>0</v>
      </c>
      <c r="T120" s="185">
        <f t="shared" si="91"/>
        <v>0</v>
      </c>
      <c r="U120" s="185">
        <f t="shared" si="92"/>
        <v>0</v>
      </c>
      <c r="V120" s="185">
        <f t="shared" si="93"/>
        <v>0</v>
      </c>
      <c r="W120" s="185">
        <f t="shared" si="94"/>
        <v>0</v>
      </c>
      <c r="X120" s="185">
        <f t="shared" si="95"/>
        <v>0</v>
      </c>
      <c r="Y120" s="185">
        <f t="shared" si="96"/>
        <v>0</v>
      </c>
      <c r="Z120" s="196">
        <f t="shared" ca="1" si="97"/>
        <v>11210</v>
      </c>
      <c r="AA120" s="185" t="str">
        <f t="shared" ca="1" si="98"/>
        <v>Offererad produktnr. 03Foxway Education AB</v>
      </c>
      <c r="AB120" s="185"/>
      <c r="AC120" s="185" t="b">
        <f ca="1">IFERROR(IF(D110="",TRUE,
IF(OR(D110=$CB$12,D110=$CB$13),IF(LEFT(AS120,FIND(" ",AS120)-1)=D110,TRUE,FALSE),
IF(OFFSET(Processor!$AB$1,MATCH($AS120,Processor!$AA$2:$AA$23,0),MATCH(LEFT(D110,FIND(" ",D110)-1),Processor!$AC$1:$AG$1,0))&gt;=
OFFSET(Processor!$AB$1,MATCH(D110,Processor!$AA$2:$AA$23,0),MATCH(LEFT(D110,FIND(" ",D110)-1),Processor!$AC$1:$AG$1,0)),TRUE,FALSE))),FALSE)</f>
        <v>1</v>
      </c>
      <c r="AD120" s="185" t="b">
        <f t="shared" si="99"/>
        <v>1</v>
      </c>
      <c r="AE120" s="185" t="b">
        <f t="shared" si="100"/>
        <v>1</v>
      </c>
      <c r="AF120" s="185" t="b">
        <f>IF($D$108="",TRUE,IF(COUNTIF(Processor!$I$2:$I$9,$D$108)&gt;0,AND(AV120&gt;INDEX(Processor!$J$2:$J$9,MATCH($D$108,Processor!$I$2:$I$9,0)),AV120&lt;INDEX(Processor!$K$2:$K$9,MATCH($D$108,Processor!$I$2:$I$9,0))),IF(AV120=$D$108,TRUE,FALSE)))</f>
        <v>1</v>
      </c>
      <c r="AG120" s="185" t="b">
        <f t="shared" si="101"/>
        <v>1</v>
      </c>
      <c r="AH120" s="185" t="b">
        <f t="shared" si="102"/>
        <v>1</v>
      </c>
      <c r="AI120" s="185" t="b">
        <f t="shared" si="103"/>
        <v>1</v>
      </c>
      <c r="AJ120" s="185" t="b">
        <f t="shared" si="104"/>
        <v>1</v>
      </c>
      <c r="AK120" s="185" t="b">
        <f t="shared" si="105"/>
        <v>1</v>
      </c>
      <c r="AL120" s="185" t="b">
        <f>IFERROR(IF($D119="",TRUE,IF(MID(BC120,LEN(BC120)-2,1)*1&gt;=MID($D119,LEN($D119)-2,1)*1,TRUE,FALSE)),FALSE)</f>
        <v>1</v>
      </c>
      <c r="AM120" s="185" t="b">
        <f>IF(D118="",TRUE,IF(BB120&gt;=D118,TRUE,FALSE))</f>
        <v>1</v>
      </c>
      <c r="AN120" s="185"/>
      <c r="AO120" s="185"/>
      <c r="AP120" s="185" t="s">
        <v>212</v>
      </c>
      <c r="AQ120" s="185">
        <v>1</v>
      </c>
      <c r="AR120" s="185" t="str">
        <f t="shared" ca="1" si="112"/>
        <v>1920x1080</v>
      </c>
      <c r="AS120" s="185" t="str">
        <f t="shared" ca="1" si="112"/>
        <v>AMD Ryzen 7</v>
      </c>
      <c r="AT120" s="185">
        <f t="shared" ca="1" si="112"/>
        <v>16</v>
      </c>
      <c r="AU120" s="185">
        <f t="shared" ca="1" si="112"/>
        <v>512</v>
      </c>
      <c r="AV120" s="185">
        <f t="shared" ca="1" si="112"/>
        <v>14</v>
      </c>
      <c r="AW120" s="185">
        <f t="shared" ca="1" si="112"/>
        <v>4</v>
      </c>
      <c r="AX120" s="185">
        <f t="shared" ca="1" si="112"/>
        <v>2</v>
      </c>
      <c r="AY120" s="185" t="str">
        <f t="shared" ca="1" si="112"/>
        <v>Ja, HDMI-port finns</v>
      </c>
      <c r="AZ120" s="185" t="str">
        <f t="shared" ca="1" si="112"/>
        <v>802.11a/b/g/n/ac/ax</v>
      </c>
      <c r="BA120" s="185">
        <f t="shared" ca="1" si="112"/>
        <v>5.2</v>
      </c>
      <c r="BB120" s="185">
        <f t="shared" ca="1" si="113"/>
        <v>11</v>
      </c>
      <c r="BC120" s="185" t="str">
        <f t="shared" ca="1" si="113"/>
        <v>Version 8.0</v>
      </c>
      <c r="BD120" s="185" t="str">
        <f t="shared" ca="1" si="113"/>
        <v>Ja</v>
      </c>
      <c r="BE120" s="185" t="str">
        <f t="shared" ca="1" si="113"/>
        <v>Windows 11 Pro</v>
      </c>
      <c r="BF120" s="185" t="str">
        <f t="shared" ca="1" si="113"/>
        <v>L14 G4 AMD</v>
      </c>
      <c r="BG120" s="185">
        <f t="shared" ca="1" si="113"/>
        <v>11210</v>
      </c>
      <c r="BH120" s="192">
        <f t="shared" ca="1" si="113"/>
        <v>78</v>
      </c>
      <c r="BI120" s="192">
        <f t="shared" ca="1" si="113"/>
        <v>252</v>
      </c>
      <c r="BJ120" s="192">
        <f t="shared" ca="1" si="113"/>
        <v>210</v>
      </c>
      <c r="BK120" s="192">
        <f t="shared" ca="1" si="113"/>
        <v>1824</v>
      </c>
      <c r="BL120" s="192">
        <f t="shared" ca="1" si="114"/>
        <v>290</v>
      </c>
      <c r="BM120" s="192">
        <f t="shared" ca="1" si="114"/>
        <v>185</v>
      </c>
      <c r="BN120" s="192">
        <f t="shared" ca="1" si="114"/>
        <v>60</v>
      </c>
      <c r="BO120" s="192">
        <f t="shared" ca="1" si="114"/>
        <v>50</v>
      </c>
      <c r="BP120" s="192" t="str">
        <f t="shared" ca="1" si="114"/>
        <v>V7</v>
      </c>
      <c r="BQ120" s="192" t="str">
        <f t="shared" ca="1" si="114"/>
        <v>Targus</v>
      </c>
      <c r="BR120" s="192" t="str">
        <f t="shared" ca="1" si="114"/>
        <v>Lenovo</v>
      </c>
      <c r="BS120" s="192" t="str">
        <f t="shared" ca="1" si="114"/>
        <v>Lenovo</v>
      </c>
      <c r="BT120" s="192" t="str">
        <f t="shared" ca="1" si="114"/>
        <v>V7 Elite Sleeve 14"</v>
      </c>
      <c r="BU120" s="192" t="str">
        <f t="shared" ca="1" si="114"/>
        <v>Targus Privacy Screen 14"</v>
      </c>
      <c r="BV120" s="192" t="str">
        <f t="shared" ca="1" si="114"/>
        <v>Power adapter USB-C 45w</v>
      </c>
      <c r="BW120" s="192" t="str">
        <f t="shared" ca="1" si="114"/>
        <v>ThinkPad USB-C Dock gen2</v>
      </c>
      <c r="BX120" s="192"/>
      <c r="BY120" s="192" t="str">
        <f t="shared" ca="1" si="109"/>
        <v>Foxway Education AB</v>
      </c>
      <c r="BZ120" s="192" t="str">
        <f t="shared" ca="1" si="109"/>
        <v>Lenovo</v>
      </c>
      <c r="CA120" s="185"/>
      <c r="CB120" s="185"/>
      <c r="CC120" s="185"/>
      <c r="CD120" s="185"/>
      <c r="CE120" s="185"/>
      <c r="CF120" s="185"/>
      <c r="CG120" s="185"/>
      <c r="CH120" s="185"/>
      <c r="CI120" s="185"/>
      <c r="CJ120" s="185"/>
      <c r="CK120" s="185"/>
      <c r="CL120" s="185"/>
      <c r="CM120" s="185"/>
      <c r="CN120" s="185"/>
    </row>
    <row r="121" spans="2:92" ht="24" customHeight="1" outlineLevel="1" x14ac:dyDescent="0.35">
      <c r="C121" s="66"/>
      <c r="D121" s="67"/>
      <c r="F121" s="62"/>
      <c r="G121" s="62"/>
      <c r="H121" s="62"/>
      <c r="I121" s="62"/>
      <c r="J121" s="62"/>
      <c r="Q121" s="185">
        <f t="shared" si="88"/>
        <v>0</v>
      </c>
      <c r="R121" s="185">
        <f t="shared" si="89"/>
        <v>0</v>
      </c>
      <c r="S121" s="185">
        <f t="shared" si="90"/>
        <v>0</v>
      </c>
      <c r="T121" s="185">
        <f t="shared" si="91"/>
        <v>0</v>
      </c>
      <c r="U121" s="185">
        <f t="shared" si="92"/>
        <v>0</v>
      </c>
      <c r="V121" s="185">
        <f t="shared" si="93"/>
        <v>0</v>
      </c>
      <c r="W121" s="185">
        <f t="shared" si="94"/>
        <v>0</v>
      </c>
      <c r="X121" s="185">
        <f t="shared" si="95"/>
        <v>0</v>
      </c>
      <c r="Y121" s="185">
        <f t="shared" si="96"/>
        <v>0</v>
      </c>
      <c r="Z121" s="196">
        <f t="shared" ca="1" si="97"/>
        <v>10577</v>
      </c>
      <c r="AA121" s="185" t="str">
        <f t="shared" ca="1" si="98"/>
        <v>Offererad produktnr. 04Foxway Education AB</v>
      </c>
      <c r="AB121" s="185"/>
      <c r="AC121" s="185" t="b">
        <f ca="1">IFERROR(IF(D110="",TRUE,
IF(OR(D110=$CB$12,D110=$CB$13),IF(LEFT(AS121,FIND(" ",AS121)-1)=D110,TRUE,FALSE),
IF(OFFSET(Processor!$AB$1,MATCH($AS121,Processor!$AA$2:$AA$23,0),MATCH(LEFT(D110,FIND(" ",D110)-1),Processor!$AC$1:$AG$1,0))&gt;=
OFFSET(Processor!$AB$1,MATCH(D110,Processor!$AA$2:$AA$23,0),MATCH(LEFT(D110,FIND(" ",D110)-1),Processor!$AC$1:$AG$1,0)),TRUE,FALSE))),FALSE)</f>
        <v>1</v>
      </c>
      <c r="AD121" s="185" t="b">
        <f t="shared" si="99"/>
        <v>1</v>
      </c>
      <c r="AE121" s="185" t="b">
        <f t="shared" si="100"/>
        <v>1</v>
      </c>
      <c r="AF121" s="185" t="b">
        <f>IF($D$108="",TRUE,IF(COUNTIF(Processor!$I$2:$I$9,$D$108)&gt;0,AND(AV121&gt;INDEX(Processor!$J$2:$J$9,MATCH($D$108,Processor!$I$2:$I$9,0)),AV121&lt;INDEX(Processor!$K$2:$K$9,MATCH($D$108,Processor!$I$2:$I$9,0))),IF(AV121=$D$108,TRUE,FALSE)))</f>
        <v>1</v>
      </c>
      <c r="AG121" s="185" t="b">
        <f t="shared" si="101"/>
        <v>1</v>
      </c>
      <c r="AH121" s="185" t="b">
        <f t="shared" si="102"/>
        <v>1</v>
      </c>
      <c r="AI121" s="185" t="b">
        <f t="shared" si="103"/>
        <v>1</v>
      </c>
      <c r="AJ121" s="185" t="b">
        <f t="shared" si="104"/>
        <v>1</v>
      </c>
      <c r="AK121" s="185" t="b">
        <f t="shared" si="105"/>
        <v>1</v>
      </c>
      <c r="AL121" s="185" t="b">
        <f>IFERROR(IF($D119="",TRUE,IF(MID(BC121,LEN(BC121)-2,1)*1&gt;=MID($D119,LEN($D119)-2,1)*1,TRUE,FALSE)),FALSE)</f>
        <v>1</v>
      </c>
      <c r="AM121" s="185" t="b">
        <f>IF(D118="",TRUE,IF(BB121&gt;=D118,TRUE,FALSE))</f>
        <v>1</v>
      </c>
      <c r="AN121" s="185"/>
      <c r="AO121" s="185"/>
      <c r="AP121" s="185" t="s">
        <v>213</v>
      </c>
      <c r="AQ121" s="185">
        <v>1</v>
      </c>
      <c r="AR121" s="185" t="str">
        <f t="shared" ca="1" si="112"/>
        <v>1920x1080</v>
      </c>
      <c r="AS121" s="185" t="str">
        <f t="shared" ca="1" si="112"/>
        <v>Intel i7</v>
      </c>
      <c r="AT121" s="185">
        <f t="shared" ca="1" si="112"/>
        <v>16</v>
      </c>
      <c r="AU121" s="185">
        <f t="shared" ca="1" si="112"/>
        <v>512</v>
      </c>
      <c r="AV121" s="185">
        <f t="shared" ca="1" si="112"/>
        <v>14</v>
      </c>
      <c r="AW121" s="185">
        <f t="shared" ca="1" si="112"/>
        <v>4</v>
      </c>
      <c r="AX121" s="185">
        <f t="shared" ca="1" si="112"/>
        <v>2</v>
      </c>
      <c r="AY121" s="185" t="str">
        <f t="shared" ca="1" si="112"/>
        <v>Ja, HDMI-port finns</v>
      </c>
      <c r="AZ121" s="185" t="str">
        <f t="shared" ca="1" si="112"/>
        <v>802.11a/b/g/n/ac/ax</v>
      </c>
      <c r="BA121" s="185">
        <f t="shared" ca="1" si="112"/>
        <v>5.3</v>
      </c>
      <c r="BB121" s="185">
        <f t="shared" ca="1" si="113"/>
        <v>11</v>
      </c>
      <c r="BC121" s="185" t="str">
        <f t="shared" ca="1" si="113"/>
        <v>Version 8.0</v>
      </c>
      <c r="BD121" s="185" t="str">
        <f t="shared" ca="1" si="113"/>
        <v>Ja</v>
      </c>
      <c r="BE121" s="185" t="str">
        <f t="shared" ca="1" si="113"/>
        <v>Windows 11 Pro</v>
      </c>
      <c r="BF121" s="185" t="str">
        <f t="shared" ca="1" si="113"/>
        <v>Probook 445 G10</v>
      </c>
      <c r="BG121" s="185">
        <f t="shared" ca="1" si="113"/>
        <v>10577</v>
      </c>
      <c r="BH121" s="192">
        <f t="shared" ca="1" si="113"/>
        <v>93</v>
      </c>
      <c r="BI121" s="192">
        <f t="shared" ca="1" si="113"/>
        <v>252</v>
      </c>
      <c r="BJ121" s="192">
        <f t="shared" ca="1" si="113"/>
        <v>138</v>
      </c>
      <c r="BK121" s="192">
        <f t="shared" ca="1" si="113"/>
        <v>1150</v>
      </c>
      <c r="BL121" s="192">
        <f t="shared" ca="1" si="114"/>
        <v>192</v>
      </c>
      <c r="BM121" s="192">
        <f t="shared" ca="1" si="114"/>
        <v>185</v>
      </c>
      <c r="BN121" s="192">
        <f t="shared" ca="1" si="114"/>
        <v>60</v>
      </c>
      <c r="BO121" s="192">
        <f t="shared" ca="1" si="114"/>
        <v>50</v>
      </c>
      <c r="BP121" s="192" t="str">
        <f t="shared" ca="1" si="114"/>
        <v>V7</v>
      </c>
      <c r="BQ121" s="192" t="str">
        <f t="shared" ca="1" si="114"/>
        <v>Targus</v>
      </c>
      <c r="BR121" s="192" t="str">
        <f t="shared" ca="1" si="114"/>
        <v>HP</v>
      </c>
      <c r="BS121" s="192" t="str">
        <f t="shared" ca="1" si="114"/>
        <v>HP</v>
      </c>
      <c r="BT121" s="192" t="str">
        <f t="shared" ca="1" si="114"/>
        <v>V7 Elite Sleeve 14"</v>
      </c>
      <c r="BU121" s="192" t="str">
        <f t="shared" ca="1" si="114"/>
        <v>Targus Privacy Screen 14"</v>
      </c>
      <c r="BV121" s="192" t="str">
        <f t="shared" ca="1" si="114"/>
        <v>HP 45W Smart AC Adapter</v>
      </c>
      <c r="BW121" s="192" t="str">
        <f t="shared" ca="1" si="114"/>
        <v>HP USB-C Dock G5</v>
      </c>
      <c r="BX121" s="192"/>
      <c r="BY121" s="192" t="str">
        <f t="shared" ca="1" si="109"/>
        <v>Foxway Education AB</v>
      </c>
      <c r="BZ121" s="192" t="str">
        <f t="shared" ca="1" si="109"/>
        <v>HP</v>
      </c>
      <c r="CA121" s="185"/>
      <c r="CB121" s="185"/>
      <c r="CC121" s="185"/>
      <c r="CD121" s="185"/>
      <c r="CE121" s="185"/>
      <c r="CF121" s="185"/>
      <c r="CG121" s="185"/>
      <c r="CH121" s="185"/>
      <c r="CI121" s="185"/>
      <c r="CJ121" s="185"/>
      <c r="CK121" s="185"/>
      <c r="CL121" s="185"/>
      <c r="CM121" s="185"/>
      <c r="CN121" s="185"/>
    </row>
    <row r="122" spans="2:92" ht="26.25" customHeight="1" outlineLevel="1" x14ac:dyDescent="0.35">
      <c r="C122" s="212" t="s">
        <v>366</v>
      </c>
      <c r="D122" s="213"/>
      <c r="E122" s="213"/>
      <c r="F122" s="213"/>
      <c r="G122" s="213"/>
      <c r="H122" s="213"/>
      <c r="I122" s="214"/>
      <c r="J122" s="68"/>
      <c r="Q122" s="185">
        <f t="shared" si="88"/>
        <v>0</v>
      </c>
      <c r="R122" s="185">
        <f t="shared" si="89"/>
        <v>0</v>
      </c>
      <c r="S122" s="185">
        <f t="shared" si="90"/>
        <v>0</v>
      </c>
      <c r="T122" s="185">
        <f t="shared" si="91"/>
        <v>0</v>
      </c>
      <c r="U122" s="185">
        <f t="shared" si="92"/>
        <v>0</v>
      </c>
      <c r="V122" s="185">
        <f t="shared" si="93"/>
        <v>0</v>
      </c>
      <c r="W122" s="185">
        <f t="shared" si="94"/>
        <v>0</v>
      </c>
      <c r="X122" s="185">
        <f t="shared" si="95"/>
        <v>0</v>
      </c>
      <c r="Y122" s="185">
        <f t="shared" si="96"/>
        <v>0</v>
      </c>
      <c r="Z122" s="196">
        <f t="shared" ca="1" si="97"/>
        <v>6420</v>
      </c>
      <c r="AA122" s="185" t="str">
        <f t="shared" ca="1" si="98"/>
        <v>Offererad produktnr. 01Qlosr Göteborg AB</v>
      </c>
      <c r="AB122" s="185"/>
      <c r="AC122" s="185" t="b">
        <f ca="1">IFERROR(IF(D110="",TRUE,
IF(OR(D110=$CB$12,D110=$CB$13),IF(LEFT(AS122,FIND(" ",AS122)-1)=D110,TRUE,FALSE),
IF(OFFSET(Processor!$AB$1,MATCH($AS122,Processor!$AA$2:$AA$23,0),MATCH(LEFT(D110,FIND(" ",D110)-1),Processor!$AC$1:$AG$1,0))&gt;=
OFFSET(Processor!$AB$1,MATCH(D110,Processor!$AA$2:$AA$23,0),MATCH(LEFT(D110,FIND(" ",D110)-1),Processor!$AC$1:$AG$1,0)),TRUE,FALSE))),FALSE)</f>
        <v>1</v>
      </c>
      <c r="AD122" s="185" t="b">
        <f t="shared" si="99"/>
        <v>1</v>
      </c>
      <c r="AE122" s="185" t="b">
        <f t="shared" si="100"/>
        <v>1</v>
      </c>
      <c r="AF122" s="185" t="b">
        <f>IF($D$108="",TRUE,IF(COUNTIF(Processor!$I$2:$I$9,$D$108)&gt;0,AND(AV122&gt;INDEX(Processor!$J$2:$J$9,MATCH($D$108,Processor!$I$2:$I$9,0)),AV122&lt;INDEX(Processor!$K$2:$K$9,MATCH($D$108,Processor!$I$2:$I$9,0))),IF(AV122=$D$108,TRUE,FALSE)))</f>
        <v>1</v>
      </c>
      <c r="AG122" s="185" t="b">
        <f t="shared" si="101"/>
        <v>1</v>
      </c>
      <c r="AH122" s="185" t="b">
        <f t="shared" si="102"/>
        <v>1</v>
      </c>
      <c r="AI122" s="185" t="b">
        <f t="shared" si="103"/>
        <v>1</v>
      </c>
      <c r="AJ122" s="185" t="b">
        <f t="shared" si="104"/>
        <v>1</v>
      </c>
      <c r="AK122" s="185" t="b">
        <f t="shared" si="105"/>
        <v>1</v>
      </c>
      <c r="AL122" s="185" t="b">
        <f>IFERROR(IF($D119="",TRUE,IF(MID(BC122,LEN(BC122)-2,1)*1&gt;=MID($D119,LEN($D119)-2,1)*1,TRUE,FALSE)),FALSE)</f>
        <v>1</v>
      </c>
      <c r="AM122" s="185" t="b">
        <f>IF(D118="",TRUE,IF(BB122&gt;=D118,TRUE,FALSE))</f>
        <v>1</v>
      </c>
      <c r="AN122" s="185"/>
      <c r="AO122" s="185"/>
      <c r="AP122" s="185" t="s">
        <v>552</v>
      </c>
      <c r="AQ122" s="185">
        <v>1</v>
      </c>
      <c r="AR122" s="185" t="str">
        <f t="shared" ca="1" si="112"/>
        <v>1920x1080</v>
      </c>
      <c r="AS122" s="185" t="str">
        <f t="shared" ca="1" si="112"/>
        <v>AMD Ryzen 5</v>
      </c>
      <c r="AT122" s="185">
        <f t="shared" ca="1" si="112"/>
        <v>8</v>
      </c>
      <c r="AU122" s="185">
        <f t="shared" ca="1" si="112"/>
        <v>256</v>
      </c>
      <c r="AV122" s="185">
        <f t="shared" ca="1" si="112"/>
        <v>14</v>
      </c>
      <c r="AW122" s="185">
        <f t="shared" ca="1" si="112"/>
        <v>4</v>
      </c>
      <c r="AX122" s="185">
        <f t="shared" ca="1" si="112"/>
        <v>1</v>
      </c>
      <c r="AY122" s="185" t="str">
        <f t="shared" ca="1" si="112"/>
        <v>Ja, HDMI-port finns</v>
      </c>
      <c r="AZ122" s="185" t="str">
        <f t="shared" ca="1" si="112"/>
        <v>802.11a/b/g/n/ac/ax</v>
      </c>
      <c r="BA122" s="185">
        <f t="shared" ca="1" si="112"/>
        <v>5</v>
      </c>
      <c r="BB122" s="185">
        <f t="shared" ca="1" si="113"/>
        <v>11</v>
      </c>
      <c r="BC122" s="185" t="str">
        <f t="shared" ca="1" si="113"/>
        <v>Version 8.0</v>
      </c>
      <c r="BD122" s="185" t="str">
        <f t="shared" ca="1" si="113"/>
        <v>Ja</v>
      </c>
      <c r="BE122" s="185" t="str">
        <f t="shared" ca="1" si="113"/>
        <v>Windows 10 Pro</v>
      </c>
      <c r="BF122" s="185" t="str">
        <f t="shared" ca="1" si="113"/>
        <v>ProBook 445 G8</v>
      </c>
      <c r="BG122" s="185">
        <f t="shared" ca="1" si="113"/>
        <v>6420</v>
      </c>
      <c r="BH122" s="192">
        <f t="shared" ca="1" si="113"/>
        <v>79</v>
      </c>
      <c r="BI122" s="192">
        <f t="shared" ca="1" si="113"/>
        <v>199</v>
      </c>
      <c r="BJ122" s="192">
        <f t="shared" ca="1" si="113"/>
        <v>106</v>
      </c>
      <c r="BK122" s="192">
        <f t="shared" ca="1" si="113"/>
        <v>949</v>
      </c>
      <c r="BL122" s="192">
        <f t="shared" ca="1" si="114"/>
        <v>151</v>
      </c>
      <c r="BM122" s="192">
        <f t="shared" ca="1" si="114"/>
        <v>70</v>
      </c>
      <c r="BN122" s="192">
        <f t="shared" ca="1" si="114"/>
        <v>25</v>
      </c>
      <c r="BO122" s="192">
        <f t="shared" ca="1" si="114"/>
        <v>25</v>
      </c>
      <c r="BP122" s="192" t="str">
        <f t="shared" ca="1" si="114"/>
        <v>HP</v>
      </c>
      <c r="BQ122" s="192" t="str">
        <f t="shared" ca="1" si="114"/>
        <v>HP</v>
      </c>
      <c r="BR122" s="192" t="str">
        <f t="shared" ca="1" si="114"/>
        <v>HP</v>
      </c>
      <c r="BS122" s="192" t="str">
        <f t="shared" ca="1" si="114"/>
        <v>HP</v>
      </c>
      <c r="BT122" s="192" t="str">
        <f t="shared" ca="1" si="114"/>
        <v>GBX2UW01AA</v>
      </c>
      <c r="BU122" s="192" t="str">
        <f t="shared" ca="1" si="114"/>
        <v>GBXJ6E65AA</v>
      </c>
      <c r="BV122" s="192" t="str">
        <f t="shared" ca="1" si="114"/>
        <v>GBXH6Y88AA</v>
      </c>
      <c r="BW122" s="192" t="str">
        <f t="shared" ca="1" si="114"/>
        <v>GBX5TW10AA</v>
      </c>
      <c r="BX122" s="192"/>
      <c r="BY122" s="192" t="str">
        <f t="shared" ca="1" si="109"/>
        <v>Qlosr Göteborg AB</v>
      </c>
      <c r="BZ122" s="192" t="str">
        <f t="shared" ca="1" si="109"/>
        <v>HP</v>
      </c>
      <c r="CA122" s="185"/>
      <c r="CB122" s="185"/>
      <c r="CC122" s="185"/>
      <c r="CD122" s="185"/>
      <c r="CE122" s="185"/>
      <c r="CF122" s="185"/>
      <c r="CG122" s="185"/>
      <c r="CH122" s="185"/>
      <c r="CI122" s="185"/>
      <c r="CJ122" s="185"/>
      <c r="CK122" s="185"/>
      <c r="CL122" s="185"/>
      <c r="CM122" s="185"/>
      <c r="CN122" s="185"/>
    </row>
    <row r="123" spans="2:92" ht="26.25" customHeight="1" outlineLevel="1" x14ac:dyDescent="0.35">
      <c r="B123" s="69" t="s">
        <v>53</v>
      </c>
      <c r="C123" s="115" t="s">
        <v>363</v>
      </c>
      <c r="D123" s="70"/>
      <c r="F123" s="161" t="str">
        <f t="shared" ref="F123:F134" si="115">IF(F$104="Inget antal angivet","",IFERROR(INDEX($AR$105:$BZ$132,MATCH(F$101,$AP$105:$AP$132,0),MATCH($B123,$AR$105:$BZ$105,0)),""))</f>
        <v/>
      </c>
      <c r="G123" s="162">
        <f t="shared" ref="G123:I134" ca="1" si="116">IFERROR(INDEX($AR$105:$BZ$132,MATCH(G$101,$AP$105:$AP$132,0),MATCH($B123,$AR$105:$BZ$105,0)),"")</f>
        <v>79</v>
      </c>
      <c r="H123" s="162">
        <f t="shared" ca="1" si="116"/>
        <v>123</v>
      </c>
      <c r="I123" s="162">
        <f t="shared" ca="1" si="116"/>
        <v>79</v>
      </c>
      <c r="J123" s="62"/>
      <c r="Q123" s="185">
        <f t="shared" si="88"/>
        <v>0</v>
      </c>
      <c r="R123" s="185">
        <f t="shared" si="89"/>
        <v>0</v>
      </c>
      <c r="S123" s="185">
        <f t="shared" si="90"/>
        <v>0</v>
      </c>
      <c r="T123" s="185">
        <f t="shared" si="91"/>
        <v>0</v>
      </c>
      <c r="U123" s="185">
        <f t="shared" si="92"/>
        <v>0</v>
      </c>
      <c r="V123" s="185">
        <f t="shared" si="93"/>
        <v>0</v>
      </c>
      <c r="W123" s="185">
        <f t="shared" si="94"/>
        <v>0</v>
      </c>
      <c r="X123" s="185">
        <f t="shared" si="95"/>
        <v>0</v>
      </c>
      <c r="Y123" s="185">
        <f t="shared" si="96"/>
        <v>0</v>
      </c>
      <c r="Z123" s="196">
        <f t="shared" ca="1" si="97"/>
        <v>9600</v>
      </c>
      <c r="AA123" s="185" t="str">
        <f t="shared" ca="1" si="98"/>
        <v>Offererad produktnr. 02Qlosr Göteborg AB</v>
      </c>
      <c r="AB123" s="185"/>
      <c r="AC123" s="185" t="b">
        <f ca="1">IFERROR(IF(D110="",TRUE,
IF(OR(D110=$CB$12,D110=$CB$13),IF(LEFT(AS123,FIND(" ",AS123)-1)=D110,TRUE,FALSE),
IF(OFFSET(Processor!$AB$1,MATCH($AS123,Processor!$AA$2:$AA$23,0),MATCH(LEFT(D110,FIND(" ",D110)-1),Processor!$AC$1:$AG$1,0))&gt;=
OFFSET(Processor!$AB$1,MATCH(D110,Processor!$AA$2:$AA$23,0),MATCH(LEFT(D110,FIND(" ",D110)-1),Processor!$AC$1:$AG$1,0)),TRUE,FALSE))),FALSE)</f>
        <v>1</v>
      </c>
      <c r="AD123" s="185" t="b">
        <f t="shared" si="99"/>
        <v>1</v>
      </c>
      <c r="AE123" s="185" t="b">
        <f t="shared" si="100"/>
        <v>1</v>
      </c>
      <c r="AF123" s="185" t="b">
        <f>IF($D$108="",TRUE,IF(COUNTIF(Processor!$I$2:$I$9,$D$108)&gt;0,AND(AV123&gt;INDEX(Processor!$J$2:$J$9,MATCH($D$108,Processor!$I$2:$I$9,0)),AV123&lt;INDEX(Processor!$K$2:$K$9,MATCH($D$108,Processor!$I$2:$I$9,0))),IF(AV123=$D$108,TRUE,FALSE)))</f>
        <v>1</v>
      </c>
      <c r="AG123" s="185" t="b">
        <f t="shared" si="101"/>
        <v>1</v>
      </c>
      <c r="AH123" s="185" t="b">
        <f t="shared" si="102"/>
        <v>1</v>
      </c>
      <c r="AI123" s="185" t="b">
        <f t="shared" si="103"/>
        <v>1</v>
      </c>
      <c r="AJ123" s="185" t="b">
        <f t="shared" si="104"/>
        <v>1</v>
      </c>
      <c r="AK123" s="185" t="b">
        <f t="shared" si="105"/>
        <v>1</v>
      </c>
      <c r="AL123" s="185" t="b">
        <f>IFERROR(IF($D119="",TRUE,IF(MID(BC123,LEN(BC123)-2,1)*1&gt;=MID($D119,LEN($D119)-2,1)*1,TRUE,FALSE)),FALSE)</f>
        <v>1</v>
      </c>
      <c r="AM123" s="185" t="b">
        <f>IF(D118="",TRUE,IF(BB123&gt;=D118,TRUE,FALSE))</f>
        <v>1</v>
      </c>
      <c r="AN123" s="185"/>
      <c r="AO123" s="185"/>
      <c r="AP123" s="185" t="s">
        <v>553</v>
      </c>
      <c r="AQ123" s="185">
        <v>1</v>
      </c>
      <c r="AR123" s="185" t="str">
        <f t="shared" ca="1" si="112"/>
        <v>1920x1080</v>
      </c>
      <c r="AS123" s="185" t="str">
        <f t="shared" ca="1" si="112"/>
        <v>Intel i5</v>
      </c>
      <c r="AT123" s="185">
        <f t="shared" ca="1" si="112"/>
        <v>8</v>
      </c>
      <c r="AU123" s="185">
        <f t="shared" ca="1" si="112"/>
        <v>256</v>
      </c>
      <c r="AV123" s="185">
        <f t="shared" ca="1" si="112"/>
        <v>14</v>
      </c>
      <c r="AW123" s="185">
        <f t="shared" ca="1" si="112"/>
        <v>2</v>
      </c>
      <c r="AX123" s="185">
        <f t="shared" ca="1" si="112"/>
        <v>2</v>
      </c>
      <c r="AY123" s="185" t="str">
        <f t="shared" ca="1" si="112"/>
        <v>Ja, HDMI-port finns</v>
      </c>
      <c r="AZ123" s="185" t="str">
        <f t="shared" ca="1" si="112"/>
        <v>802.11a/b/g/n/ac/ax</v>
      </c>
      <c r="BA123" s="185">
        <f t="shared" ca="1" si="112"/>
        <v>5.3</v>
      </c>
      <c r="BB123" s="185">
        <f t="shared" ca="1" si="113"/>
        <v>11</v>
      </c>
      <c r="BC123" s="185" t="str">
        <f t="shared" ca="1" si="113"/>
        <v>Version 8.0</v>
      </c>
      <c r="BD123" s="185" t="str">
        <f t="shared" ca="1" si="113"/>
        <v>Ja</v>
      </c>
      <c r="BE123" s="185" t="str">
        <f t="shared" ca="1" si="113"/>
        <v>Windows 11 Pro</v>
      </c>
      <c r="BF123" s="185" t="str">
        <f t="shared" ca="1" si="113"/>
        <v>Dell Latitude 5440</v>
      </c>
      <c r="BG123" s="185">
        <f t="shared" ca="1" si="113"/>
        <v>9600</v>
      </c>
      <c r="BH123" s="192">
        <f t="shared" ca="1" si="113"/>
        <v>79</v>
      </c>
      <c r="BI123" s="192">
        <f t="shared" ca="1" si="113"/>
        <v>199</v>
      </c>
      <c r="BJ123" s="192">
        <f t="shared" ca="1" si="113"/>
        <v>182</v>
      </c>
      <c r="BK123" s="192">
        <f t="shared" ca="1" si="113"/>
        <v>1138</v>
      </c>
      <c r="BL123" s="192">
        <f t="shared" ca="1" si="114"/>
        <v>151</v>
      </c>
      <c r="BM123" s="192">
        <f t="shared" ca="1" si="114"/>
        <v>70</v>
      </c>
      <c r="BN123" s="192">
        <f t="shared" ca="1" si="114"/>
        <v>25</v>
      </c>
      <c r="BO123" s="192">
        <f t="shared" ca="1" si="114"/>
        <v>25</v>
      </c>
      <c r="BP123" s="192" t="str">
        <f t="shared" ca="1" si="114"/>
        <v>HP</v>
      </c>
      <c r="BQ123" s="192" t="str">
        <f t="shared" ca="1" si="114"/>
        <v>HP</v>
      </c>
      <c r="BR123" s="192" t="str">
        <f t="shared" ca="1" si="114"/>
        <v>Dell</v>
      </c>
      <c r="BS123" s="192" t="str">
        <f t="shared" ca="1" si="114"/>
        <v>HP</v>
      </c>
      <c r="BT123" s="192" t="str">
        <f t="shared" ca="1" si="114"/>
        <v>GBX3E2U7AA</v>
      </c>
      <c r="BU123" s="192" t="str">
        <f t="shared" ca="1" si="114"/>
        <v>GBXJ6E65AA</v>
      </c>
      <c r="BV123" s="192" t="str">
        <f t="shared" ca="1" si="114"/>
        <v>GBXUSBC65W-2</v>
      </c>
      <c r="BW123" s="192" t="str">
        <f t="shared" ca="1" si="114"/>
        <v>GBX5TW10AA</v>
      </c>
      <c r="BX123" s="192"/>
      <c r="BY123" s="192" t="str">
        <f t="shared" ca="1" si="109"/>
        <v>Qlosr Göteborg AB</v>
      </c>
      <c r="BZ123" s="192" t="str">
        <f t="shared" ca="1" si="109"/>
        <v>Dell</v>
      </c>
      <c r="CA123" s="185"/>
      <c r="CB123" s="185"/>
      <c r="CC123" s="185"/>
      <c r="CD123" s="185"/>
      <c r="CE123" s="185"/>
      <c r="CF123" s="185"/>
      <c r="CG123" s="185"/>
      <c r="CH123" s="185"/>
      <c r="CI123" s="185"/>
      <c r="CJ123" s="185"/>
      <c r="CK123" s="185"/>
      <c r="CL123" s="185"/>
      <c r="CM123" s="185"/>
      <c r="CN123" s="185"/>
    </row>
    <row r="124" spans="2:92" ht="26.25" customHeight="1" outlineLevel="1" x14ac:dyDescent="0.35">
      <c r="B124" s="69" t="s">
        <v>340</v>
      </c>
      <c r="C124" s="96" t="s">
        <v>51</v>
      </c>
      <c r="D124" s="131" t="str">
        <f>IF("Ska Ingå"=D123,"Ska Ingå","")</f>
        <v/>
      </c>
      <c r="F124" s="84" t="str">
        <f t="shared" si="115"/>
        <v/>
      </c>
      <c r="G124" s="85" t="str">
        <f t="shared" ca="1" si="116"/>
        <v>HP</v>
      </c>
      <c r="H124" s="85" t="str">
        <f t="shared" ca="1" si="116"/>
        <v>Cirafon</v>
      </c>
      <c r="I124" s="85" t="str">
        <f t="shared" ca="1" si="116"/>
        <v>HP</v>
      </c>
      <c r="J124" s="62"/>
      <c r="Q124" s="185">
        <f t="shared" si="88"/>
        <v>0</v>
      </c>
      <c r="R124" s="185">
        <f t="shared" si="89"/>
        <v>0</v>
      </c>
      <c r="S124" s="185">
        <f t="shared" si="90"/>
        <v>0</v>
      </c>
      <c r="T124" s="185">
        <f t="shared" si="91"/>
        <v>0</v>
      </c>
      <c r="U124" s="185">
        <f t="shared" si="92"/>
        <v>0</v>
      </c>
      <c r="V124" s="185">
        <f t="shared" si="93"/>
        <v>0</v>
      </c>
      <c r="W124" s="185">
        <f t="shared" si="94"/>
        <v>0</v>
      </c>
      <c r="X124" s="185">
        <f t="shared" si="95"/>
        <v>0</v>
      </c>
      <c r="Y124" s="185">
        <f t="shared" si="96"/>
        <v>0</v>
      </c>
      <c r="Z124" s="196">
        <f t="shared" ca="1" si="97"/>
        <v>7640</v>
      </c>
      <c r="AA124" s="185" t="str">
        <f t="shared" ca="1" si="98"/>
        <v>Offererad produktnr. 03Qlosr Göteborg AB</v>
      </c>
      <c r="AB124" s="185"/>
      <c r="AC124" s="185" t="b">
        <f ca="1">IFERROR(IF(D110="",TRUE,
IF(OR(D110=$CB$12,D110=$CB$13),IF(LEFT(AS124,FIND(" ",AS124)-1)=D110,TRUE,FALSE),
IF(OFFSET(Processor!$AB$1,MATCH($AS124,Processor!$AA$2:$AA$23,0),MATCH(LEFT(D110,FIND(" ",D110)-1),Processor!$AC$1:$AG$1,0))&gt;=
OFFSET(Processor!$AB$1,MATCH(D110,Processor!$AA$2:$AA$23,0),MATCH(LEFT(D110,FIND(" ",D110)-1),Processor!$AC$1:$AG$1,0)),TRUE,FALSE))),FALSE)</f>
        <v>1</v>
      </c>
      <c r="AD124" s="185" t="b">
        <f t="shared" si="99"/>
        <v>1</v>
      </c>
      <c r="AE124" s="185" t="b">
        <f t="shared" si="100"/>
        <v>1</v>
      </c>
      <c r="AF124" s="185" t="b">
        <f>IF($D$108="",TRUE,IF(COUNTIF(Processor!$I$2:$I$9,$D$108)&gt;0,AND(AV124&gt;INDEX(Processor!$J$2:$J$9,MATCH($D$108,Processor!$I$2:$I$9,0)),AV124&lt;INDEX(Processor!$K$2:$K$9,MATCH($D$108,Processor!$I$2:$I$9,0))),IF(AV124=$D$108,TRUE,FALSE)))</f>
        <v>1</v>
      </c>
      <c r="AG124" s="185" t="b">
        <f t="shared" si="101"/>
        <v>1</v>
      </c>
      <c r="AH124" s="185" t="b">
        <f t="shared" si="102"/>
        <v>1</v>
      </c>
      <c r="AI124" s="185" t="b">
        <f t="shared" si="103"/>
        <v>1</v>
      </c>
      <c r="AJ124" s="185" t="b">
        <f t="shared" si="104"/>
        <v>1</v>
      </c>
      <c r="AK124" s="185" t="b">
        <f t="shared" si="105"/>
        <v>1</v>
      </c>
      <c r="AL124" s="185" t="b">
        <f>IFERROR(IF($D119="",TRUE,IF(MID(BC124,LEN(BC124)-2,1)*1&gt;=MID($D119,LEN($D119)-2,1)*1,TRUE,FALSE)),FALSE)</f>
        <v>1</v>
      </c>
      <c r="AM124" s="185" t="b">
        <f>IF(D118="",TRUE,IF(BB124&gt;=D118,TRUE,FALSE))</f>
        <v>1</v>
      </c>
      <c r="AN124" s="185"/>
      <c r="AO124" s="185"/>
      <c r="AP124" s="185" t="s">
        <v>554</v>
      </c>
      <c r="AQ124" s="185">
        <v>1</v>
      </c>
      <c r="AR124" s="185" t="str">
        <f t="shared" ca="1" si="112"/>
        <v>1920x1080</v>
      </c>
      <c r="AS124" s="185" t="str">
        <f t="shared" ca="1" si="112"/>
        <v>AMD Ryzen 7</v>
      </c>
      <c r="AT124" s="185">
        <f t="shared" ca="1" si="112"/>
        <v>16</v>
      </c>
      <c r="AU124" s="185">
        <f t="shared" ca="1" si="112"/>
        <v>512</v>
      </c>
      <c r="AV124" s="185">
        <f t="shared" ca="1" si="112"/>
        <v>14</v>
      </c>
      <c r="AW124" s="185">
        <f t="shared" ca="1" si="112"/>
        <v>4</v>
      </c>
      <c r="AX124" s="185">
        <f t="shared" ca="1" si="112"/>
        <v>1</v>
      </c>
      <c r="AY124" s="185" t="str">
        <f t="shared" ca="1" si="112"/>
        <v>Ja, HDMI-port finns</v>
      </c>
      <c r="AZ124" s="185" t="str">
        <f t="shared" ca="1" si="112"/>
        <v>802.11a/b/g/n/ac/ax</v>
      </c>
      <c r="BA124" s="185">
        <f t="shared" ca="1" si="112"/>
        <v>5</v>
      </c>
      <c r="BB124" s="185">
        <f t="shared" ca="1" si="113"/>
        <v>11</v>
      </c>
      <c r="BC124" s="185" t="str">
        <f t="shared" ca="1" si="113"/>
        <v>Version 8.0</v>
      </c>
      <c r="BD124" s="185" t="str">
        <f t="shared" ca="1" si="113"/>
        <v>Ja</v>
      </c>
      <c r="BE124" s="185" t="str">
        <f t="shared" ca="1" si="113"/>
        <v>Windows 10 Pro</v>
      </c>
      <c r="BF124" s="185" t="str">
        <f t="shared" ca="1" si="113"/>
        <v>ProBook 445 G8</v>
      </c>
      <c r="BG124" s="185">
        <f t="shared" ca="1" si="113"/>
        <v>7640</v>
      </c>
      <c r="BH124" s="192">
        <f t="shared" ca="1" si="113"/>
        <v>79</v>
      </c>
      <c r="BI124" s="192">
        <f t="shared" ca="1" si="113"/>
        <v>199</v>
      </c>
      <c r="BJ124" s="192">
        <f t="shared" ca="1" si="113"/>
        <v>106</v>
      </c>
      <c r="BK124" s="192">
        <f t="shared" ca="1" si="113"/>
        <v>949</v>
      </c>
      <c r="BL124" s="192">
        <f t="shared" ca="1" si="114"/>
        <v>151</v>
      </c>
      <c r="BM124" s="192">
        <f t="shared" ca="1" si="114"/>
        <v>70</v>
      </c>
      <c r="BN124" s="192">
        <f t="shared" ca="1" si="114"/>
        <v>25</v>
      </c>
      <c r="BO124" s="192">
        <f t="shared" ca="1" si="114"/>
        <v>25</v>
      </c>
      <c r="BP124" s="192" t="str">
        <f t="shared" ca="1" si="114"/>
        <v>HP</v>
      </c>
      <c r="BQ124" s="192" t="str">
        <f t="shared" ca="1" si="114"/>
        <v>HP</v>
      </c>
      <c r="BR124" s="192" t="str">
        <f t="shared" ca="1" si="114"/>
        <v>HP</v>
      </c>
      <c r="BS124" s="192" t="str">
        <f t="shared" ca="1" si="114"/>
        <v>HP</v>
      </c>
      <c r="BT124" s="192" t="str">
        <f t="shared" ca="1" si="114"/>
        <v>GBX2UW01AA</v>
      </c>
      <c r="BU124" s="192" t="str">
        <f t="shared" ca="1" si="114"/>
        <v>GBXJ6E65AA</v>
      </c>
      <c r="BV124" s="192" t="str">
        <f t="shared" ca="1" si="114"/>
        <v>GBXH6Y88AA</v>
      </c>
      <c r="BW124" s="192" t="str">
        <f t="shared" ca="1" si="114"/>
        <v>GBX5TW10AA</v>
      </c>
      <c r="BX124" s="192"/>
      <c r="BY124" s="192" t="str">
        <f t="shared" ca="1" si="109"/>
        <v>Qlosr Göteborg AB</v>
      </c>
      <c r="BZ124" s="192" t="str">
        <f t="shared" ca="1" si="109"/>
        <v>HP</v>
      </c>
      <c r="CA124" s="185"/>
      <c r="CB124" s="185"/>
      <c r="CC124" s="185"/>
      <c r="CD124" s="185"/>
      <c r="CE124" s="185"/>
      <c r="CF124" s="185"/>
      <c r="CG124" s="185"/>
      <c r="CH124" s="185"/>
      <c r="CI124" s="185"/>
      <c r="CJ124" s="185"/>
      <c r="CK124" s="185"/>
      <c r="CL124" s="185"/>
      <c r="CM124" s="185"/>
      <c r="CN124" s="185"/>
    </row>
    <row r="125" spans="2:92" ht="67.5" customHeight="1" outlineLevel="1" x14ac:dyDescent="0.35">
      <c r="B125" s="69" t="s">
        <v>345</v>
      </c>
      <c r="C125" s="97" t="s">
        <v>52</v>
      </c>
      <c r="D125" s="132" t="str">
        <f>IF("Ska Ingå"=D123,"Ska Ingå","")</f>
        <v/>
      </c>
      <c r="F125" s="86" t="str">
        <f t="shared" si="115"/>
        <v/>
      </c>
      <c r="G125" s="87" t="str">
        <f t="shared" ca="1" si="116"/>
        <v>GBX2UW01AA</v>
      </c>
      <c r="H125" s="87" t="str">
        <f t="shared" ca="1" si="116"/>
        <v>LSN8696R2-14.1</v>
      </c>
      <c r="I125" s="87" t="str">
        <f t="shared" ca="1" si="116"/>
        <v>GBX2UW01AA</v>
      </c>
      <c r="J125" s="62"/>
      <c r="Q125" s="185">
        <f t="shared" si="88"/>
        <v>0</v>
      </c>
      <c r="R125" s="185">
        <f t="shared" si="89"/>
        <v>0</v>
      </c>
      <c r="S125" s="185">
        <f t="shared" si="90"/>
        <v>0</v>
      </c>
      <c r="T125" s="185">
        <f t="shared" si="91"/>
        <v>0</v>
      </c>
      <c r="U125" s="185">
        <f t="shared" si="92"/>
        <v>0</v>
      </c>
      <c r="V125" s="185">
        <f t="shared" si="93"/>
        <v>0</v>
      </c>
      <c r="W125" s="185">
        <f t="shared" si="94"/>
        <v>0</v>
      </c>
      <c r="X125" s="185">
        <f t="shared" si="95"/>
        <v>0</v>
      </c>
      <c r="Y125" s="185">
        <f t="shared" si="96"/>
        <v>0</v>
      </c>
      <c r="Z125" s="196">
        <f t="shared" ca="1" si="97"/>
        <v>8299</v>
      </c>
      <c r="AA125" s="185" t="str">
        <f t="shared" ca="1" si="98"/>
        <v>Offererad produktnr. 04Qlosr Göteborg AB</v>
      </c>
      <c r="AB125" s="185"/>
      <c r="AC125" s="185" t="b">
        <f ca="1">IFERROR(IF(D110="",TRUE,
IF(OR(D110=$CB$12,D110=$CB$13),IF(LEFT(AS125,FIND(" ",AS125)-1)=D110,TRUE,FALSE),
IF(OFFSET(Processor!$AB$1,MATCH($AS125,Processor!$AA$2:$AA$23,0),MATCH(LEFT(D110,FIND(" ",D110)-1),Processor!$AC$1:$AG$1,0))&gt;=
OFFSET(Processor!$AB$1,MATCH(D110,Processor!$AA$2:$AA$23,0),MATCH(LEFT(D110,FIND(" ",D110)-1),Processor!$AC$1:$AG$1,0)),TRUE,FALSE))),FALSE)</f>
        <v>1</v>
      </c>
      <c r="AD125" s="185" t="b">
        <f t="shared" si="99"/>
        <v>1</v>
      </c>
      <c r="AE125" s="185" t="b">
        <f t="shared" si="100"/>
        <v>1</v>
      </c>
      <c r="AF125" s="185" t="b">
        <f>IF($D$108="",TRUE,IF(COUNTIF(Processor!$I$2:$I$9,$D$108)&gt;0,AND(AV125&gt;INDEX(Processor!$J$2:$J$9,MATCH($D$108,Processor!$I$2:$I$9,0)),AV125&lt;INDEX(Processor!$K$2:$K$9,MATCH($D$108,Processor!$I$2:$I$9,0))),IF(AV125=$D$108,TRUE,FALSE)))</f>
        <v>1</v>
      </c>
      <c r="AG125" s="185" t="b">
        <f t="shared" si="101"/>
        <v>1</v>
      </c>
      <c r="AH125" s="185" t="b">
        <f t="shared" si="102"/>
        <v>1</v>
      </c>
      <c r="AI125" s="185" t="b">
        <f t="shared" si="103"/>
        <v>1</v>
      </c>
      <c r="AJ125" s="185" t="b">
        <f t="shared" si="104"/>
        <v>1</v>
      </c>
      <c r="AK125" s="185" t="b">
        <f t="shared" si="105"/>
        <v>1</v>
      </c>
      <c r="AL125" s="185" t="b">
        <f>IFERROR(IF($D119="",TRUE,IF(MID(BC125,LEN(BC125)-2,1)*1&gt;=MID($D119,LEN($D119)-2,1)*1,TRUE,FALSE)),FALSE)</f>
        <v>1</v>
      </c>
      <c r="AM125" s="185" t="b">
        <f>IF(D118="",TRUE,IF(BB125&gt;=D118,TRUE,FALSE))</f>
        <v>1</v>
      </c>
      <c r="AN125" s="185"/>
      <c r="AO125" s="185"/>
      <c r="AP125" s="185" t="s">
        <v>555</v>
      </c>
      <c r="AQ125" s="185">
        <v>1</v>
      </c>
      <c r="AR125" s="185" t="str">
        <f t="shared" ca="1" si="112"/>
        <v>1920x1080</v>
      </c>
      <c r="AS125" s="185" t="str">
        <f t="shared" ca="1" si="112"/>
        <v>Intel i7</v>
      </c>
      <c r="AT125" s="185">
        <f t="shared" ca="1" si="112"/>
        <v>16</v>
      </c>
      <c r="AU125" s="185">
        <f t="shared" ca="1" si="112"/>
        <v>512</v>
      </c>
      <c r="AV125" s="185">
        <f t="shared" ca="1" si="112"/>
        <v>14</v>
      </c>
      <c r="AW125" s="185">
        <f t="shared" ca="1" si="112"/>
        <v>4</v>
      </c>
      <c r="AX125" s="185">
        <f t="shared" ca="1" si="112"/>
        <v>1</v>
      </c>
      <c r="AY125" s="185" t="str">
        <f t="shared" ca="1" si="112"/>
        <v>Ja, HDMI-port finns</v>
      </c>
      <c r="AZ125" s="185" t="str">
        <f t="shared" ca="1" si="112"/>
        <v>802.11a/b/g/n/ac/ax</v>
      </c>
      <c r="BA125" s="185">
        <f t="shared" ca="1" si="112"/>
        <v>5</v>
      </c>
      <c r="BB125" s="185">
        <f t="shared" ca="1" si="113"/>
        <v>11</v>
      </c>
      <c r="BC125" s="185" t="str">
        <f t="shared" ca="1" si="113"/>
        <v>Version 8.0</v>
      </c>
      <c r="BD125" s="185" t="str">
        <f t="shared" ca="1" si="113"/>
        <v>Ja</v>
      </c>
      <c r="BE125" s="185" t="str">
        <f t="shared" ca="1" si="113"/>
        <v>Windows 10 Pro</v>
      </c>
      <c r="BF125" s="185" t="str">
        <f t="shared" ca="1" si="113"/>
        <v>ProBook 440 G8</v>
      </c>
      <c r="BG125" s="185">
        <f t="shared" ca="1" si="113"/>
        <v>8299</v>
      </c>
      <c r="BH125" s="192">
        <f t="shared" ca="1" si="113"/>
        <v>79</v>
      </c>
      <c r="BI125" s="192">
        <f t="shared" ca="1" si="113"/>
        <v>199</v>
      </c>
      <c r="BJ125" s="192">
        <f t="shared" ca="1" si="113"/>
        <v>106</v>
      </c>
      <c r="BK125" s="192">
        <f t="shared" ca="1" si="113"/>
        <v>949</v>
      </c>
      <c r="BL125" s="192">
        <f t="shared" ca="1" si="114"/>
        <v>151</v>
      </c>
      <c r="BM125" s="192">
        <f t="shared" ca="1" si="114"/>
        <v>70</v>
      </c>
      <c r="BN125" s="192">
        <f t="shared" ca="1" si="114"/>
        <v>25</v>
      </c>
      <c r="BO125" s="192">
        <f t="shared" ca="1" si="114"/>
        <v>25</v>
      </c>
      <c r="BP125" s="192" t="str">
        <f t="shared" ca="1" si="114"/>
        <v>HP</v>
      </c>
      <c r="BQ125" s="192" t="str">
        <f t="shared" ca="1" si="114"/>
        <v>HP</v>
      </c>
      <c r="BR125" s="192" t="str">
        <f t="shared" ca="1" si="114"/>
        <v>HP</v>
      </c>
      <c r="BS125" s="192" t="str">
        <f t="shared" ca="1" si="114"/>
        <v>HP</v>
      </c>
      <c r="BT125" s="192" t="str">
        <f t="shared" ca="1" si="114"/>
        <v>GBX2UW01AA</v>
      </c>
      <c r="BU125" s="192" t="str">
        <f t="shared" ca="1" si="114"/>
        <v>GBXJ6E65AA</v>
      </c>
      <c r="BV125" s="192" t="str">
        <f t="shared" ca="1" si="114"/>
        <v>GBXH6Y88AA</v>
      </c>
      <c r="BW125" s="192" t="str">
        <f t="shared" ca="1" si="114"/>
        <v>GBX5TW10AA</v>
      </c>
      <c r="BX125" s="192"/>
      <c r="BY125" s="192" t="str">
        <f t="shared" ca="1" si="109"/>
        <v>Qlosr Göteborg AB</v>
      </c>
      <c r="BZ125" s="192" t="str">
        <f t="shared" ca="1" si="109"/>
        <v>HP</v>
      </c>
      <c r="CA125" s="185"/>
      <c r="CB125" s="185"/>
      <c r="CC125" s="185"/>
      <c r="CD125" s="185"/>
      <c r="CE125" s="185"/>
      <c r="CF125" s="185"/>
      <c r="CG125" s="185"/>
      <c r="CH125" s="185"/>
      <c r="CI125" s="185"/>
      <c r="CJ125" s="185"/>
      <c r="CK125" s="185"/>
      <c r="CL125" s="185"/>
      <c r="CM125" s="185"/>
      <c r="CN125" s="185"/>
    </row>
    <row r="126" spans="2:92" ht="26.25" customHeight="1" outlineLevel="1" x14ac:dyDescent="0.35">
      <c r="B126" s="69" t="s">
        <v>54</v>
      </c>
      <c r="C126" s="98" t="s">
        <v>77</v>
      </c>
      <c r="D126" s="70"/>
      <c r="F126" s="157" t="str">
        <f t="shared" si="115"/>
        <v/>
      </c>
      <c r="G126" s="158">
        <f t="shared" ca="1" si="116"/>
        <v>199</v>
      </c>
      <c r="H126" s="158">
        <f t="shared" ca="1" si="116"/>
        <v>425</v>
      </c>
      <c r="I126" s="158">
        <f t="shared" ca="1" si="116"/>
        <v>199</v>
      </c>
      <c r="J126" s="62"/>
      <c r="BH126" s="63"/>
      <c r="BI126" s="63"/>
      <c r="BJ126" s="63"/>
      <c r="BK126" s="63"/>
      <c r="BL126" s="63"/>
      <c r="BM126" s="63"/>
      <c r="BN126" s="63"/>
      <c r="BO126" s="63"/>
      <c r="BP126" s="63"/>
      <c r="BQ126" s="63"/>
      <c r="BR126" s="63"/>
      <c r="BS126" s="63"/>
      <c r="BT126" s="63"/>
      <c r="BU126" s="63"/>
      <c r="BV126" s="63"/>
      <c r="BW126" s="63"/>
      <c r="BX126" s="63"/>
      <c r="BY126" s="63"/>
      <c r="BZ126" s="63"/>
      <c r="CA126" s="185"/>
      <c r="CB126" s="185"/>
      <c r="CC126" s="185"/>
      <c r="CD126" s="185"/>
      <c r="CE126" s="185"/>
      <c r="CF126" s="185"/>
      <c r="CG126" s="185"/>
      <c r="CH126" s="185"/>
      <c r="CI126" s="185"/>
      <c r="CJ126" s="185"/>
      <c r="CK126" s="185"/>
      <c r="CL126" s="185"/>
      <c r="CM126" s="185"/>
      <c r="CN126" s="185"/>
    </row>
    <row r="127" spans="2:92" ht="26.25" customHeight="1" outlineLevel="1" x14ac:dyDescent="0.35">
      <c r="B127" s="69" t="s">
        <v>341</v>
      </c>
      <c r="C127" s="61" t="s">
        <v>51</v>
      </c>
      <c r="D127" s="131" t="str">
        <f>IF("Ska Ingå"=D126,"Ska Ingå","")</f>
        <v/>
      </c>
      <c r="F127" s="88" t="str">
        <f t="shared" si="115"/>
        <v/>
      </c>
      <c r="G127" s="89" t="str">
        <f t="shared" ca="1" si="116"/>
        <v>HP</v>
      </c>
      <c r="H127" s="89" t="str">
        <f t="shared" ca="1" si="116"/>
        <v>Cirafon</v>
      </c>
      <c r="I127" s="89" t="str">
        <f t="shared" ca="1" si="116"/>
        <v>HP</v>
      </c>
      <c r="J127" s="62"/>
      <c r="BH127" s="63"/>
      <c r="BI127" s="63"/>
      <c r="BJ127" s="63"/>
      <c r="BK127" s="63"/>
      <c r="BL127" s="63"/>
      <c r="BM127" s="63"/>
      <c r="BN127" s="63"/>
      <c r="BO127" s="63"/>
      <c r="BP127" s="63"/>
      <c r="BQ127" s="63"/>
      <c r="BR127" s="63"/>
      <c r="BS127" s="63"/>
      <c r="BT127" s="63"/>
      <c r="BU127" s="63"/>
      <c r="BV127" s="63"/>
      <c r="BW127" s="63"/>
      <c r="BX127" s="63"/>
      <c r="BY127" s="63"/>
      <c r="BZ127" s="63"/>
      <c r="CA127" s="185"/>
      <c r="CB127" s="185"/>
      <c r="CC127" s="185"/>
      <c r="CD127" s="185"/>
      <c r="CE127" s="185"/>
      <c r="CF127" s="185"/>
      <c r="CG127" s="185"/>
      <c r="CH127" s="185"/>
      <c r="CI127" s="185"/>
      <c r="CJ127" s="185"/>
      <c r="CK127" s="185"/>
      <c r="CL127" s="185"/>
      <c r="CM127" s="185"/>
      <c r="CN127" s="185"/>
    </row>
    <row r="128" spans="2:92" ht="68.25" customHeight="1" outlineLevel="1" x14ac:dyDescent="0.35">
      <c r="B128" s="69" t="s">
        <v>346</v>
      </c>
      <c r="C128" s="99" t="s">
        <v>52</v>
      </c>
      <c r="D128" s="132" t="str">
        <f>IF("Ska Ingå"=D126,"Ska Ingå","")</f>
        <v/>
      </c>
      <c r="F128" s="90" t="str">
        <f t="shared" si="115"/>
        <v/>
      </c>
      <c r="G128" s="91" t="str">
        <f t="shared" ca="1" si="116"/>
        <v>GBXJ6E65AA</v>
      </c>
      <c r="H128" s="91" t="str">
        <f t="shared" ca="1" si="116"/>
        <v>DPF14-9</v>
      </c>
      <c r="I128" s="91" t="str">
        <f t="shared" ca="1" si="116"/>
        <v>GBXJ6E65AA</v>
      </c>
      <c r="J128" s="62"/>
      <c r="BH128" s="63"/>
      <c r="BI128" s="63"/>
      <c r="BJ128" s="63"/>
      <c r="BK128" s="63"/>
      <c r="BL128" s="63"/>
      <c r="BM128" s="63"/>
      <c r="BN128" s="63"/>
      <c r="BO128" s="63"/>
      <c r="BP128" s="63"/>
      <c r="BQ128" s="63"/>
      <c r="BR128" s="63"/>
      <c r="BS128" s="63"/>
      <c r="BT128" s="63"/>
      <c r="BU128" s="63"/>
      <c r="BV128" s="63"/>
      <c r="BW128" s="63"/>
      <c r="BX128" s="63"/>
      <c r="BY128" s="63"/>
      <c r="BZ128" s="63"/>
      <c r="CA128" s="185"/>
      <c r="CB128" s="185"/>
      <c r="CC128" s="185"/>
      <c r="CD128" s="185"/>
      <c r="CE128" s="185"/>
      <c r="CF128" s="185"/>
      <c r="CG128" s="185"/>
      <c r="CH128" s="185"/>
      <c r="CI128" s="185"/>
      <c r="CJ128" s="185"/>
      <c r="CK128" s="185"/>
      <c r="CL128" s="185"/>
      <c r="CM128" s="185"/>
      <c r="CN128" s="185"/>
    </row>
    <row r="129" spans="2:92" ht="31.5" customHeight="1" outlineLevel="1" x14ac:dyDescent="0.35">
      <c r="B129" s="69" t="s">
        <v>55</v>
      </c>
      <c r="C129" s="95" t="s">
        <v>371</v>
      </c>
      <c r="D129" s="70"/>
      <c r="F129" s="159" t="str">
        <f t="shared" si="115"/>
        <v/>
      </c>
      <c r="G129" s="160">
        <f t="shared" ca="1" si="116"/>
        <v>106</v>
      </c>
      <c r="H129" s="160">
        <f t="shared" ca="1" si="116"/>
        <v>149</v>
      </c>
      <c r="I129" s="160">
        <f t="shared" ca="1" si="116"/>
        <v>106</v>
      </c>
      <c r="J129" s="62"/>
      <c r="BH129" s="63"/>
      <c r="BI129" s="63"/>
      <c r="BJ129" s="63"/>
      <c r="BK129" s="63"/>
      <c r="BL129" s="63"/>
      <c r="BM129" s="63"/>
      <c r="BN129" s="63"/>
      <c r="BO129" s="63"/>
      <c r="BP129" s="63"/>
      <c r="BQ129" s="63"/>
      <c r="BR129" s="63"/>
      <c r="BS129" s="63"/>
      <c r="BT129" s="63"/>
      <c r="BU129" s="63"/>
      <c r="BV129" s="63"/>
      <c r="BW129" s="63"/>
      <c r="BX129" s="63"/>
      <c r="BY129" s="63"/>
      <c r="BZ129" s="63"/>
      <c r="CA129" s="185"/>
      <c r="CB129" s="185"/>
      <c r="CC129" s="185"/>
      <c r="CD129" s="185"/>
      <c r="CE129" s="185"/>
      <c r="CF129" s="185"/>
      <c r="CG129" s="185"/>
      <c r="CH129" s="185"/>
      <c r="CI129" s="185"/>
      <c r="CJ129" s="185"/>
      <c r="CK129" s="185"/>
      <c r="CL129" s="185"/>
      <c r="CM129" s="185"/>
      <c r="CN129" s="185"/>
    </row>
    <row r="130" spans="2:92" ht="26.25" customHeight="1" outlineLevel="1" x14ac:dyDescent="0.35">
      <c r="B130" s="69" t="s">
        <v>342</v>
      </c>
      <c r="C130" s="96" t="s">
        <v>51</v>
      </c>
      <c r="D130" s="131" t="str">
        <f>IF("Ska Ingå"=D129,"Ska Ingå","")</f>
        <v/>
      </c>
      <c r="F130" s="84" t="str">
        <f t="shared" si="115"/>
        <v/>
      </c>
      <c r="G130" s="85" t="str">
        <f t="shared" ca="1" si="116"/>
        <v>HP</v>
      </c>
      <c r="H130" s="85" t="str">
        <f t="shared" ca="1" si="116"/>
        <v>HP</v>
      </c>
      <c r="I130" s="85" t="str">
        <f t="shared" ca="1" si="116"/>
        <v>HP</v>
      </c>
      <c r="J130" s="62"/>
    </row>
    <row r="131" spans="2:92" ht="67.5" customHeight="1" outlineLevel="1" x14ac:dyDescent="0.35">
      <c r="B131" s="69" t="s">
        <v>347</v>
      </c>
      <c r="C131" s="97" t="s">
        <v>52</v>
      </c>
      <c r="D131" s="132" t="str">
        <f>IF("Ska Ingå"=D129,"Ska Ingå","")</f>
        <v/>
      </c>
      <c r="F131" s="86" t="str">
        <f t="shared" si="115"/>
        <v/>
      </c>
      <c r="G131" s="87" t="str">
        <f t="shared" ca="1" si="116"/>
        <v>GBXH6Y88AA</v>
      </c>
      <c r="H131" s="87" t="str">
        <f t="shared" ca="1" si="116"/>
        <v xml:space="preserve">1MZ01AA </v>
      </c>
      <c r="I131" s="87" t="str">
        <f t="shared" ca="1" si="116"/>
        <v>GBXH6Y88AA</v>
      </c>
      <c r="J131" s="62"/>
    </row>
    <row r="132" spans="2:92" ht="26.25" customHeight="1" outlineLevel="1" x14ac:dyDescent="0.35">
      <c r="B132" s="69" t="s">
        <v>59</v>
      </c>
      <c r="C132" s="98" t="s">
        <v>364</v>
      </c>
      <c r="D132" s="70"/>
      <c r="F132" s="157" t="str">
        <f t="shared" si="115"/>
        <v/>
      </c>
      <c r="G132" s="158">
        <f t="shared" ca="1" si="116"/>
        <v>949</v>
      </c>
      <c r="H132" s="158">
        <f t="shared" ca="1" si="116"/>
        <v>1185</v>
      </c>
      <c r="I132" s="158">
        <f t="shared" ca="1" si="116"/>
        <v>949</v>
      </c>
      <c r="J132" s="62"/>
      <c r="BH132" s="63"/>
      <c r="BI132" s="63"/>
      <c r="BJ132" s="63"/>
      <c r="BK132" s="63"/>
      <c r="BL132" s="63"/>
      <c r="BM132" s="63"/>
      <c r="BN132" s="63"/>
      <c r="BO132" s="63"/>
      <c r="BP132" s="63"/>
      <c r="BQ132" s="63"/>
      <c r="BR132" s="63"/>
      <c r="BS132" s="63"/>
      <c r="BT132" s="63"/>
      <c r="BU132" s="63"/>
      <c r="BV132" s="63"/>
      <c r="BW132" s="63"/>
      <c r="BX132" s="63"/>
      <c r="BY132" s="63"/>
      <c r="BZ132" s="63"/>
    </row>
    <row r="133" spans="2:92" ht="26.25" customHeight="1" outlineLevel="1" x14ac:dyDescent="0.35">
      <c r="B133" s="69" t="s">
        <v>343</v>
      </c>
      <c r="C133" s="61" t="s">
        <v>51</v>
      </c>
      <c r="D133" s="131" t="str">
        <f>IF("Ska Ingå"=D132,"Ska Ingå","")</f>
        <v/>
      </c>
      <c r="F133" s="88" t="str">
        <f t="shared" si="115"/>
        <v/>
      </c>
      <c r="G133" s="89" t="str">
        <f t="shared" ca="1" si="116"/>
        <v>HP</v>
      </c>
      <c r="H133" s="89" t="str">
        <f t="shared" ca="1" si="116"/>
        <v>HP</v>
      </c>
      <c r="I133" s="89" t="str">
        <f t="shared" ca="1" si="116"/>
        <v>HP</v>
      </c>
      <c r="J133" s="62"/>
    </row>
    <row r="134" spans="2:92" ht="67.5" customHeight="1" outlineLevel="1" x14ac:dyDescent="0.35">
      <c r="B134" s="69" t="s">
        <v>348</v>
      </c>
      <c r="C134" s="99" t="s">
        <v>52</v>
      </c>
      <c r="D134" s="132" t="str">
        <f>IF("Ska Ingå"=D132,"Ska Ingå","")</f>
        <v/>
      </c>
      <c r="F134" s="90" t="str">
        <f t="shared" si="115"/>
        <v/>
      </c>
      <c r="G134" s="91" t="str">
        <f t="shared" ca="1" si="116"/>
        <v>GBX5TW10AA</v>
      </c>
      <c r="H134" s="91" t="str">
        <f t="shared" ca="1" si="116"/>
        <v>72C71AA</v>
      </c>
      <c r="I134" s="91" t="str">
        <f t="shared" ca="1" si="116"/>
        <v>GBX5TW10AA</v>
      </c>
      <c r="J134" s="62"/>
      <c r="BH134" s="63"/>
      <c r="BI134" s="63"/>
      <c r="BJ134" s="63"/>
      <c r="BK134" s="63"/>
      <c r="BL134" s="63"/>
      <c r="BM134" s="63"/>
      <c r="BN134" s="63"/>
      <c r="BO134" s="63"/>
      <c r="BP134" s="63"/>
      <c r="BQ134" s="63"/>
      <c r="BR134" s="63"/>
      <c r="BS134" s="63"/>
      <c r="BT134" s="63"/>
      <c r="BU134" s="63"/>
      <c r="BV134" s="63"/>
      <c r="BW134" s="63"/>
      <c r="BX134" s="63"/>
      <c r="BY134" s="63"/>
      <c r="BZ134" s="63"/>
    </row>
    <row r="135" spans="2:92" ht="26.25" customHeight="1" outlineLevel="1" x14ac:dyDescent="0.35">
      <c r="B135" s="69"/>
      <c r="C135" s="212" t="s">
        <v>365</v>
      </c>
      <c r="D135" s="215"/>
      <c r="E135" s="213"/>
      <c r="F135" s="213"/>
      <c r="G135" s="213"/>
      <c r="H135" s="213"/>
      <c r="I135" s="214"/>
      <c r="J135" s="62"/>
      <c r="BH135" s="63"/>
      <c r="BI135" s="63"/>
      <c r="BJ135" s="63"/>
      <c r="BK135" s="63"/>
      <c r="BL135" s="63"/>
      <c r="BM135" s="63"/>
      <c r="BN135" s="63"/>
      <c r="BO135" s="63"/>
      <c r="BP135" s="63"/>
      <c r="BQ135" s="63"/>
      <c r="BR135" s="63"/>
      <c r="BS135" s="63"/>
      <c r="BT135" s="63"/>
      <c r="BU135" s="63"/>
      <c r="BV135" s="63"/>
      <c r="BW135" s="63"/>
      <c r="BX135" s="63"/>
      <c r="BY135" s="63"/>
      <c r="BZ135" s="63"/>
    </row>
    <row r="136" spans="2:92" ht="26.25" customHeight="1" outlineLevel="1" x14ac:dyDescent="0.35">
      <c r="B136" s="71" t="s">
        <v>228</v>
      </c>
      <c r="C136" s="115" t="s">
        <v>367</v>
      </c>
      <c r="D136" s="70"/>
      <c r="F136" s="151" t="str">
        <f>IF(F$104="Inget antal angivet","",IFERROR(INDEX($AR$105:$BZ$132,MATCH(F$101,$AP$105:$AP$132,0),MATCH($B136,$AR$105:$BZ$105,0)),""))</f>
        <v/>
      </c>
      <c r="G136" s="152">
        <f t="shared" ref="G136:I139" ca="1" si="117">IFERROR(INDEX($AR$105:$BZ$132,MATCH(G$101,$AP$105:$AP$132,0),MATCH($B136,$AR$105:$BZ$105,0)),"")</f>
        <v>151</v>
      </c>
      <c r="H136" s="152">
        <f t="shared" ca="1" si="117"/>
        <v>450</v>
      </c>
      <c r="I136" s="152">
        <f t="shared" ca="1" si="117"/>
        <v>151</v>
      </c>
      <c r="J136" s="62"/>
    </row>
    <row r="137" spans="2:92" ht="26.25" customHeight="1" outlineLevel="1" x14ac:dyDescent="0.35">
      <c r="B137" s="71" t="s">
        <v>229</v>
      </c>
      <c r="C137" s="61" t="s">
        <v>368</v>
      </c>
      <c r="D137" s="70"/>
      <c r="F137" s="153" t="str">
        <f>IF(F$104="Inget antal angivet","",IFERROR(INDEX($AR$105:$BZ$132,MATCH(F$101,$AP$105:$AP$132,0),MATCH($B137,$AR$105:$BZ$105,0)),""))</f>
        <v/>
      </c>
      <c r="G137" s="154">
        <f t="shared" ca="1" si="117"/>
        <v>70</v>
      </c>
      <c r="H137" s="154">
        <f t="shared" ca="1" si="117"/>
        <v>133</v>
      </c>
      <c r="I137" s="154">
        <f t="shared" ca="1" si="117"/>
        <v>70</v>
      </c>
      <c r="J137" s="62"/>
    </row>
    <row r="138" spans="2:92" ht="26.25" customHeight="1" outlineLevel="1" x14ac:dyDescent="0.35">
      <c r="B138" s="71" t="s">
        <v>230</v>
      </c>
      <c r="C138" s="96" t="s">
        <v>369</v>
      </c>
      <c r="D138" s="70"/>
      <c r="F138" s="155" t="str">
        <f>IF(F$104="Inget antal angivet","",IFERROR(INDEX($AR$105:$BZ$132,MATCH(F$101,$AP$105:$AP$132,0),MATCH($B138,$AR$105:$BZ$105,0)),""))</f>
        <v/>
      </c>
      <c r="G138" s="156">
        <f t="shared" ca="1" si="117"/>
        <v>25</v>
      </c>
      <c r="H138" s="156">
        <f t="shared" ca="1" si="117"/>
        <v>20</v>
      </c>
      <c r="I138" s="156">
        <f t="shared" ca="1" si="117"/>
        <v>25</v>
      </c>
      <c r="J138" s="62"/>
    </row>
    <row r="139" spans="2:92" ht="26.25" customHeight="1" outlineLevel="1" x14ac:dyDescent="0.35">
      <c r="B139" s="71" t="s">
        <v>231</v>
      </c>
      <c r="C139" s="61" t="s">
        <v>370</v>
      </c>
      <c r="D139" s="70"/>
      <c r="F139" s="153" t="str">
        <f>IF(F$104="Inget antal angivet","",IFERROR(INDEX($AR$105:$BZ$132,MATCH(F$101,$AP$105:$AP$132,0),MATCH($B139,$AR$105:$BZ$105,0)),""))</f>
        <v/>
      </c>
      <c r="G139" s="154">
        <f t="shared" ca="1" si="117"/>
        <v>25</v>
      </c>
      <c r="H139" s="154">
        <f t="shared" ca="1" si="117"/>
        <v>20</v>
      </c>
      <c r="I139" s="154">
        <f t="shared" ca="1" si="117"/>
        <v>25</v>
      </c>
      <c r="J139" s="62"/>
    </row>
    <row r="140" spans="2:92" ht="24" customHeight="1" outlineLevel="1" x14ac:dyDescent="0.35"/>
    <row r="141" spans="2:92" ht="24" customHeight="1" x14ac:dyDescent="0.35"/>
    <row r="142" spans="2:92" ht="24" customHeight="1" x14ac:dyDescent="0.35">
      <c r="D142" s="72" t="s">
        <v>233</v>
      </c>
      <c r="F142" s="216" t="s">
        <v>362</v>
      </c>
      <c r="G142" s="216"/>
      <c r="H142" s="216"/>
      <c r="I142" s="217"/>
      <c r="J142" s="73"/>
    </row>
    <row r="143" spans="2:92" ht="24" customHeight="1" x14ac:dyDescent="0.35">
      <c r="D143" s="74"/>
      <c r="F143" s="202" t="str">
        <f ca="1">IFERROR(INDEX($Z$106:$Z$132,MATCH(F101,$AA$106:$AA$132,0))*D143,"")</f>
        <v/>
      </c>
      <c r="G143" s="202">
        <f ca="1">IFERROR(P106 *D143,"")</f>
        <v>0</v>
      </c>
      <c r="H143" s="202">
        <f ca="1">IFERROR(P107 *D143,"")</f>
        <v>0</v>
      </c>
      <c r="I143" s="202">
        <f ca="1">IFERROR(P108 * D143,"")</f>
        <v>0</v>
      </c>
      <c r="J143" s="54"/>
    </row>
    <row r="145" spans="2:92" ht="15" thickBot="1" x14ac:dyDescent="0.4">
      <c r="C145" s="174"/>
      <c r="D145" s="174"/>
      <c r="E145" s="174"/>
      <c r="F145" s="174"/>
      <c r="G145" s="174"/>
      <c r="H145" s="174"/>
      <c r="I145" s="174"/>
    </row>
    <row r="146" spans="2:92" ht="15" thickTop="1" x14ac:dyDescent="0.35"/>
    <row r="148" spans="2:92" ht="59.25" customHeight="1" collapsed="1" x14ac:dyDescent="0.35">
      <c r="C148" s="53"/>
      <c r="D148" s="53"/>
      <c r="F148" s="169" t="e">
        <f ca="1">N152</f>
        <v>#N/A</v>
      </c>
      <c r="G148" s="169" t="str">
        <f ca="1">INDEX(AA153:AA179,MATCH(P153,Z153:Z179,0))</f>
        <v>Offererad produktnr. 01Qlosr Göteborg AB</v>
      </c>
      <c r="H148" s="169" t="str">
        <f ca="1">INDEX(AA153:AA179,MATCH(P154,Z153:Z179,0))</f>
        <v>Offererad produktnr. 01Dustin Sverige AB</v>
      </c>
      <c r="I148" s="169" t="str">
        <f ca="1">INDEX(AA153:AA179,MATCH(P155,Z153:Z179,0))</f>
        <v>Offererad produktnr. 03Qlosr Göteborg AB</v>
      </c>
      <c r="J148" s="54"/>
      <c r="AR148" s="12" t="s">
        <v>124</v>
      </c>
      <c r="AS148" s="12" t="s">
        <v>124</v>
      </c>
      <c r="AT148" s="12" t="s">
        <v>124</v>
      </c>
      <c r="AU148" s="12" t="s">
        <v>124</v>
      </c>
      <c r="AV148" s="12" t="s">
        <v>124</v>
      </c>
      <c r="AW148" s="12" t="s">
        <v>124</v>
      </c>
      <c r="AX148" s="12" t="s">
        <v>124</v>
      </c>
      <c r="AY148" s="12" t="s">
        <v>124</v>
      </c>
      <c r="AZ148" s="12" t="s">
        <v>124</v>
      </c>
      <c r="BA148" s="12" t="s">
        <v>124</v>
      </c>
      <c r="BB148" s="12" t="s">
        <v>124</v>
      </c>
      <c r="BC148" s="12" t="s">
        <v>124</v>
      </c>
      <c r="BD148" s="12" t="s">
        <v>124</v>
      </c>
      <c r="BE148" s="12" t="s">
        <v>124</v>
      </c>
      <c r="BF148" s="12" t="s">
        <v>124</v>
      </c>
      <c r="BG148" s="12" t="s">
        <v>124</v>
      </c>
      <c r="BH148" s="12" t="s">
        <v>124</v>
      </c>
      <c r="BI148" s="12" t="s">
        <v>124</v>
      </c>
      <c r="BJ148" s="12" t="s">
        <v>124</v>
      </c>
      <c r="BK148" s="12" t="s">
        <v>124</v>
      </c>
      <c r="BL148" s="12" t="s">
        <v>124</v>
      </c>
      <c r="BM148" s="12" t="s">
        <v>124</v>
      </c>
      <c r="BN148" s="12" t="s">
        <v>124</v>
      </c>
      <c r="BO148" s="12" t="s">
        <v>124</v>
      </c>
      <c r="BP148" s="12" t="s">
        <v>124</v>
      </c>
      <c r="BQ148" s="12" t="s">
        <v>124</v>
      </c>
      <c r="BR148" s="12" t="s">
        <v>124</v>
      </c>
      <c r="BS148" s="12" t="s">
        <v>124</v>
      </c>
      <c r="BT148" s="12" t="s">
        <v>124</v>
      </c>
      <c r="BU148" s="12" t="s">
        <v>124</v>
      </c>
      <c r="BV148" s="12" t="s">
        <v>124</v>
      </c>
      <c r="BW148" s="12" t="s">
        <v>124</v>
      </c>
      <c r="BX148" s="12"/>
      <c r="BY148" s="12" t="s">
        <v>124</v>
      </c>
      <c r="BZ148" s="12" t="s">
        <v>124</v>
      </c>
      <c r="CA148" s="12"/>
      <c r="CB148" s="12"/>
      <c r="CC148" s="12"/>
      <c r="CD148" s="12"/>
      <c r="CE148" s="12"/>
      <c r="CF148" s="12"/>
      <c r="CG148" s="12"/>
      <c r="CH148" s="12"/>
      <c r="CI148" s="12"/>
      <c r="CJ148" s="12"/>
      <c r="CK148" s="12"/>
      <c r="CL148" s="12"/>
      <c r="CM148" s="12"/>
      <c r="CN148" s="12"/>
    </row>
    <row r="149" spans="2:92" ht="33" customHeight="1" thickBot="1" x14ac:dyDescent="0.4">
      <c r="C149" s="53"/>
      <c r="D149" s="53"/>
      <c r="F149" s="140" t="s">
        <v>446</v>
      </c>
      <c r="G149" s="205" t="s">
        <v>447</v>
      </c>
      <c r="H149" s="205"/>
      <c r="I149" s="205"/>
      <c r="J149" s="54"/>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row>
    <row r="150" spans="2:92" ht="22.5" customHeight="1" thickBot="1" x14ac:dyDescent="0.4">
      <c r="B150" t="str">
        <f ca="1" xml:space="preserve"> "Produkt "  &amp; B151</f>
        <v>Produkt 4</v>
      </c>
      <c r="C150" s="206" t="str">
        <f>IF(F151="Ingen produkt motsvarar","Felmeddelande",IF(COUNTIF($P$1:$P$6,TRUE)&gt;0,"","Felmeddelande"))</f>
        <v/>
      </c>
      <c r="D150" s="207"/>
      <c r="F150" s="208" t="s">
        <v>271</v>
      </c>
      <c r="G150" s="209"/>
      <c r="H150" s="209"/>
      <c r="I150" s="209"/>
      <c r="J150" s="55"/>
      <c r="O150">
        <v>1</v>
      </c>
      <c r="AR150" s="13" t="str">
        <f t="shared" ref="AR150:BF150" si="118">AR152</f>
        <v>Upplösning</v>
      </c>
      <c r="AS150" s="13" t="str">
        <f t="shared" si="118"/>
        <v>Processor</v>
      </c>
      <c r="AT150" s="13" t="str">
        <f t="shared" si="118"/>
        <v>Internminne (GB)</v>
      </c>
      <c r="AU150" s="13" t="str">
        <f t="shared" si="118"/>
        <v>Hårddisk</v>
      </c>
      <c r="AV150" s="13" t="str">
        <f t="shared" si="118"/>
        <v>Skärmstorlek (tum)</v>
      </c>
      <c r="AW150" s="13" t="str">
        <f t="shared" si="118"/>
        <v>Portar USB</v>
      </c>
      <c r="AX150" s="13" t="str">
        <f t="shared" si="118"/>
        <v>Portar USB C</v>
      </c>
      <c r="AY150" s="13" t="str">
        <f t="shared" si="118"/>
        <v>Portar HDMI/Display</v>
      </c>
      <c r="AZ150" s="13" t="str">
        <f t="shared" si="118"/>
        <v>Kommunikation WLAN</v>
      </c>
      <c r="BA150" s="13" t="str">
        <f t="shared" si="118"/>
        <v>Kommunikation Bluetooth</v>
      </c>
      <c r="BB150" s="13" t="str">
        <f t="shared" si="118"/>
        <v>Batteritid (tim)</v>
      </c>
      <c r="BC150" s="13" t="str">
        <f t="shared" si="118"/>
        <v>Energiprestanda</v>
      </c>
      <c r="BD150" s="13" t="str">
        <f t="shared" si="118"/>
        <v>Låsskydd</v>
      </c>
      <c r="BE150" s="13" t="str">
        <f t="shared" si="118"/>
        <v>Operativsystem</v>
      </c>
      <c r="BF150" s="13" t="str">
        <f t="shared" si="118"/>
        <v>Modellbenämning</v>
      </c>
      <c r="BG150" t="s">
        <v>224</v>
      </c>
      <c r="BH150" s="56" t="s">
        <v>53</v>
      </c>
      <c r="BI150" s="56" t="s">
        <v>54</v>
      </c>
      <c r="BJ150" s="56" t="s">
        <v>55</v>
      </c>
      <c r="BK150" s="56" t="s">
        <v>59</v>
      </c>
      <c r="BL150" s="57" t="s">
        <v>228</v>
      </c>
      <c r="BM150" s="57" t="s">
        <v>229</v>
      </c>
      <c r="BN150" s="57" t="s">
        <v>230</v>
      </c>
      <c r="BO150" s="57" t="s">
        <v>231</v>
      </c>
      <c r="BP150" s="57" t="s">
        <v>340</v>
      </c>
      <c r="BQ150" s="57" t="s">
        <v>341</v>
      </c>
      <c r="BR150" s="57" t="s">
        <v>342</v>
      </c>
      <c r="BS150" s="57" t="s">
        <v>343</v>
      </c>
      <c r="BT150" s="57" t="s">
        <v>345</v>
      </c>
      <c r="BU150" s="57" t="s">
        <v>346</v>
      </c>
      <c r="BV150" s="57" t="s">
        <v>347</v>
      </c>
      <c r="BW150" s="57" t="s">
        <v>348</v>
      </c>
      <c r="BX150" s="57"/>
      <c r="BY150" s="57" t="s">
        <v>6</v>
      </c>
      <c r="BZ150" s="4" t="s">
        <v>51</v>
      </c>
      <c r="CA150" s="13"/>
      <c r="CB150" s="13"/>
      <c r="CC150" s="13"/>
      <c r="CD150" s="13"/>
      <c r="CE150" s="13"/>
      <c r="CF150" s="13"/>
      <c r="CG150" s="13"/>
      <c r="CH150" s="13"/>
      <c r="CI150" s="13"/>
      <c r="CJ150" s="13"/>
      <c r="CK150" s="13"/>
      <c r="CL150" s="13"/>
      <c r="CM150" s="13"/>
      <c r="CN150" s="13"/>
    </row>
    <row r="151" spans="2:92" ht="22.5" customHeight="1" x14ac:dyDescent="0.35">
      <c r="B151">
        <f ca="1">COUNTIF($F$7:F154,"Produkt I varukorg*")</f>
        <v>4</v>
      </c>
      <c r="C151" t="s">
        <v>474</v>
      </c>
      <c r="F151" s="187" t="str" cm="1">
        <f t="array" ref="F151">IF(D190&lt;1,"Inget antal angivet",IFERROR(INDEX($Z153:$Z179,MATCH(F148,$AA153:$AA179,0),0),"Ingen produkt motsvarar"))</f>
        <v>Inget antal angivet</v>
      </c>
      <c r="G151" s="188">
        <f ca="1">IFERROR(P153,"Ingen produkt motsvarar")</f>
        <v>6420</v>
      </c>
      <c r="H151" s="188">
        <f ca="1">IFERROR(P154,"")</f>
        <v>7599</v>
      </c>
      <c r="I151" s="188">
        <f ca="1">IFERROR(P155,"")</f>
        <v>7640</v>
      </c>
      <c r="J151" s="54"/>
      <c r="AA151" t="str">
        <f>IF(COUNTIF(AB151:AK151,FALSE)&gt;0,AP151,"")</f>
        <v/>
      </c>
      <c r="AB151" t="b">
        <f>IF($D$156="",TRUE,IF(AR151=$D$156,TRUE,FALSE))</f>
        <v>1</v>
      </c>
      <c r="AC151" t="b">
        <f>IF(D153="",TRUE,IF(AS151=$D$157,TRUE,FALSE))</f>
        <v>1</v>
      </c>
      <c r="AD151" t="b">
        <f>IF(D156="",TRUE,IF(AT151=D156,TRUE,FALSE))</f>
        <v>1</v>
      </c>
      <c r="AE151" t="b">
        <f>IF(D157="",TRUE,IF(AU151=D157,TRUE,FALSE))</f>
        <v>1</v>
      </c>
      <c r="AF151" t="b">
        <f>IF(D158="",TRUE,IF(AV151=D158,TRUE,FALSE))</f>
        <v>1</v>
      </c>
      <c r="AG151" t="b">
        <f>IF(D159="",TRUE,IF(AW151=D159,TRUE,FALSE))</f>
        <v>1</v>
      </c>
      <c r="AH151" t="b">
        <f>IF(D155="",TRUE,IF(AX151=D155,TRUE,FALSE))</f>
        <v>1</v>
      </c>
      <c r="AI151" t="b">
        <f>IF(D160="",TRUE,IF(AY151=D160,TRUE,FALSE))</f>
        <v>1</v>
      </c>
      <c r="AJ151" t="b">
        <f>IF(D161="",TRUE,IF(AZ151=D161,TRUE,FALSE))</f>
        <v>1</v>
      </c>
      <c r="AK151" t="b">
        <f>IF(D162="",TRUE,IF(BA151=D162,TRUE,FALSE))</f>
        <v>1</v>
      </c>
      <c r="AP151" t="s">
        <v>126</v>
      </c>
      <c r="AR151" s="58" t="str">
        <f t="shared" ref="AR151:BW151" ca="1" si="119">IFERROR(INDEX(INDIRECT(AR$148&amp;"!$A$10:CC100000"),MATCH($AP151,INDIRECT(AR$148&amp;"!BH$10:BH100000"),0),MATCH(AR$150,INDIRECT(AR$148&amp;"!a10:CC10"),0)),"False")</f>
        <v>False</v>
      </c>
      <c r="AS151" s="58" t="str">
        <f t="shared" ca="1" si="119"/>
        <v>False</v>
      </c>
      <c r="AT151" s="58" t="str">
        <f t="shared" ca="1" si="119"/>
        <v>False</v>
      </c>
      <c r="AU151" s="58" t="str">
        <f t="shared" ca="1" si="119"/>
        <v>False</v>
      </c>
      <c r="AV151" s="58" t="str">
        <f t="shared" ca="1" si="119"/>
        <v>False</v>
      </c>
      <c r="AW151" s="58" t="str">
        <f t="shared" ca="1" si="119"/>
        <v>False</v>
      </c>
      <c r="AX151" s="58" t="str">
        <f t="shared" ca="1" si="119"/>
        <v>False</v>
      </c>
      <c r="AY151" s="58" t="str">
        <f t="shared" ca="1" si="119"/>
        <v>False</v>
      </c>
      <c r="AZ151" s="58" t="str">
        <f t="shared" ca="1" si="119"/>
        <v>False</v>
      </c>
      <c r="BA151" s="58" t="str">
        <f t="shared" ca="1" si="119"/>
        <v>False</v>
      </c>
      <c r="BB151" s="58" t="str">
        <f t="shared" ca="1" si="119"/>
        <v>False</v>
      </c>
      <c r="BC151" s="58" t="str">
        <f t="shared" ca="1" si="119"/>
        <v>False</v>
      </c>
      <c r="BD151" s="58" t="str">
        <f t="shared" ca="1" si="119"/>
        <v>False</v>
      </c>
      <c r="BE151" s="58" t="str">
        <f t="shared" ca="1" si="119"/>
        <v>False</v>
      </c>
      <c r="BF151" s="58" t="str">
        <f t="shared" ca="1" si="119"/>
        <v>False</v>
      </c>
      <c r="BG151" s="58" t="str">
        <f t="shared" ca="1" si="119"/>
        <v>False</v>
      </c>
      <c r="BH151" s="58" t="str">
        <f t="shared" ca="1" si="119"/>
        <v>False</v>
      </c>
      <c r="BI151" s="58" t="str">
        <f t="shared" ca="1" si="119"/>
        <v>False</v>
      </c>
      <c r="BJ151" s="58" t="str">
        <f t="shared" ca="1" si="119"/>
        <v>False</v>
      </c>
      <c r="BK151" s="58" t="str">
        <f t="shared" ca="1" si="119"/>
        <v>False</v>
      </c>
      <c r="BL151" s="58" t="str">
        <f t="shared" ca="1" si="119"/>
        <v>False</v>
      </c>
      <c r="BM151" s="58" t="str">
        <f t="shared" ca="1" si="119"/>
        <v>False</v>
      </c>
      <c r="BN151" s="58" t="str">
        <f t="shared" ca="1" si="119"/>
        <v>False</v>
      </c>
      <c r="BO151" s="58" t="str">
        <f t="shared" ca="1" si="119"/>
        <v>False</v>
      </c>
      <c r="BP151" s="58" t="str">
        <f t="shared" ca="1" si="119"/>
        <v>False</v>
      </c>
      <c r="BQ151" s="58" t="str">
        <f t="shared" ca="1" si="119"/>
        <v>False</v>
      </c>
      <c r="BR151" s="58" t="str">
        <f t="shared" ca="1" si="119"/>
        <v>False</v>
      </c>
      <c r="BS151" s="58" t="str">
        <f t="shared" ca="1" si="119"/>
        <v>False</v>
      </c>
      <c r="BT151" s="58" t="str">
        <f t="shared" ca="1" si="119"/>
        <v>False</v>
      </c>
      <c r="BU151" s="58" t="str">
        <f t="shared" ca="1" si="119"/>
        <v>False</v>
      </c>
      <c r="BV151" s="58" t="str">
        <f t="shared" ca="1" si="119"/>
        <v>False</v>
      </c>
      <c r="BW151" s="58" t="str">
        <f t="shared" ca="1" si="119"/>
        <v>False</v>
      </c>
      <c r="BX151" s="58"/>
      <c r="BY151" s="58" t="str">
        <f ca="1">IFERROR(INDEX(INDIRECT(BY$148&amp;"!$A$10:CC100000"),MATCH($AP151,INDIRECT(BY$148&amp;"!BH$10:BH100000"),0),MATCH(BY$150,INDIRECT(BY$148&amp;"!a10:CC10"),0)),"False")</f>
        <v>False</v>
      </c>
      <c r="BZ151" s="58" t="str">
        <f ca="1">IFERROR(INDEX(INDIRECT(BZ$148&amp;"!$A$10:CC100000"),MATCH($AP151,INDIRECT(BZ$148&amp;"!BH$10:BH100000"),0),MATCH(BZ$150,INDIRECT(BZ$148&amp;"!a10:CC10"),0)),"False")</f>
        <v>False</v>
      </c>
      <c r="CA151" s="58"/>
      <c r="CB151" s="58"/>
      <c r="CC151" s="58"/>
      <c r="CD151" s="58"/>
      <c r="CE151" s="58"/>
      <c r="CF151" s="58"/>
      <c r="CG151" s="58"/>
      <c r="CH151" s="58"/>
      <c r="CI151" s="58"/>
      <c r="CJ151" s="58"/>
      <c r="CK151" s="58"/>
      <c r="CL151" s="58"/>
      <c r="CM151" s="58"/>
      <c r="CN151" s="58"/>
    </row>
    <row r="152" spans="2:92" ht="22.5" customHeight="1" x14ac:dyDescent="0.35">
      <c r="C152" s="210" t="str">
        <f ca="1" xml:space="preserve"> "Bärbar dator (A) "  &amp; RIGHT("00" &amp; B151,2)</f>
        <v>Bärbar dator (A) 04</v>
      </c>
      <c r="D152" s="211"/>
      <c r="F152" s="59" t="str">
        <f>IF(F$151="Inget antal angivet","",IFERROR(INDEX($AR$152:$BZ$179,MATCH(F$148,$AP$152:$AP$179,0),MATCH("Modellbenämning",$AR$152:$BZ$152,0)),""))</f>
        <v/>
      </c>
      <c r="G152" s="59" t="str">
        <f ca="1">IFERROR(INDEX($AR$152:$BZ$179,MATCH(G$148,$AP$152:$AP$179,0),MATCH("Modellbenämning",$AR$152:$BZ$152,0)),"")</f>
        <v>ProBook 445 G8</v>
      </c>
      <c r="H152" s="59" t="str">
        <f ca="1">IFERROR(INDEX($AR$152:$BZ$179,MATCH(H$148,$AP$152:$AP$179,0),MATCH("Modellbenämning",$AR$152:$BZ$152,0)),"")</f>
        <v>ProBook 445 G10</v>
      </c>
      <c r="I152" s="59" t="str">
        <f ca="1">IFERROR(INDEX($AR$152:$BZ$179,MATCH(I$148,$AP$152:$AP$179,0),MATCH("Modellbenämning",$AR$152:$BZ$152,0)),"")</f>
        <v>ProBook 445 G8</v>
      </c>
      <c r="J152" s="60"/>
      <c r="K152" s="195"/>
      <c r="L152" s="195"/>
      <c r="M152" s="195"/>
      <c r="N152" s="195" t="e">
        <f ca="1">INDEX($N$153:$N$158,MATCH(Överblick!$L$2,$M$153:$M$158,0))</f>
        <v>#N/A</v>
      </c>
      <c r="O152" s="195"/>
      <c r="P152" s="195"/>
      <c r="Q152" s="195"/>
      <c r="R152" s="195">
        <v>1</v>
      </c>
      <c r="S152" s="195">
        <v>2</v>
      </c>
      <c r="T152" s="195">
        <v>3</v>
      </c>
      <c r="U152" s="195">
        <v>4</v>
      </c>
      <c r="V152" s="195">
        <v>5</v>
      </c>
      <c r="W152" s="195">
        <v>6</v>
      </c>
      <c r="X152" s="195">
        <v>7</v>
      </c>
      <c r="Y152" s="195">
        <v>8</v>
      </c>
      <c r="Z152" s="195"/>
      <c r="AA152" s="195" t="s">
        <v>122</v>
      </c>
      <c r="AB152" s="195" t="s">
        <v>2</v>
      </c>
      <c r="AC152" s="195" t="s">
        <v>4</v>
      </c>
      <c r="AD152" s="195" t="s">
        <v>119</v>
      </c>
      <c r="AE152" s="195" t="s">
        <v>16</v>
      </c>
      <c r="AF152" s="195" t="s">
        <v>7</v>
      </c>
      <c r="AG152" s="195" t="s">
        <v>67</v>
      </c>
      <c r="AH152" s="195" t="s">
        <v>74</v>
      </c>
      <c r="AI152" s="195" t="s">
        <v>97</v>
      </c>
      <c r="AJ152" s="195" t="s">
        <v>103</v>
      </c>
      <c r="AK152" s="195" t="s">
        <v>75</v>
      </c>
      <c r="AL152" s="195" t="s">
        <v>38</v>
      </c>
      <c r="AM152" s="195" t="s">
        <v>120</v>
      </c>
      <c r="AN152" s="195"/>
      <c r="AO152" s="195"/>
      <c r="AP152" s="195" t="s">
        <v>222</v>
      </c>
      <c r="AQ152" s="195">
        <v>1</v>
      </c>
      <c r="AR152" s="195" t="s">
        <v>2</v>
      </c>
      <c r="AS152" s="195" t="s">
        <v>4</v>
      </c>
      <c r="AT152" s="195" t="s">
        <v>119</v>
      </c>
      <c r="AU152" s="195" t="s">
        <v>16</v>
      </c>
      <c r="AV152" s="195" t="s">
        <v>7</v>
      </c>
      <c r="AW152" s="195" t="s">
        <v>67</v>
      </c>
      <c r="AX152" s="195" t="s">
        <v>74</v>
      </c>
      <c r="AY152" s="195" t="s">
        <v>97</v>
      </c>
      <c r="AZ152" s="195" t="s">
        <v>103</v>
      </c>
      <c r="BA152" s="195" t="s">
        <v>75</v>
      </c>
      <c r="BB152" s="195" t="s">
        <v>120</v>
      </c>
      <c r="BC152" s="195" t="s">
        <v>38</v>
      </c>
      <c r="BD152" s="195" t="s">
        <v>37</v>
      </c>
      <c r="BE152" s="195" t="s">
        <v>3</v>
      </c>
      <c r="BF152" s="195" t="s">
        <v>52</v>
      </c>
      <c r="BG152" s="195" t="s">
        <v>25</v>
      </c>
      <c r="BH152" s="195" t="s">
        <v>53</v>
      </c>
      <c r="BI152" s="195" t="s">
        <v>54</v>
      </c>
      <c r="BJ152" s="195" t="s">
        <v>55</v>
      </c>
      <c r="BK152" s="195" t="s">
        <v>59</v>
      </c>
      <c r="BL152" s="195" t="s">
        <v>228</v>
      </c>
      <c r="BM152" s="195" t="s">
        <v>229</v>
      </c>
      <c r="BN152" s="195" t="s">
        <v>230</v>
      </c>
      <c r="BO152" s="195" t="s">
        <v>231</v>
      </c>
      <c r="BP152" s="195" t="s">
        <v>340</v>
      </c>
      <c r="BQ152" s="195" t="s">
        <v>341</v>
      </c>
      <c r="BR152" s="195" t="s">
        <v>342</v>
      </c>
      <c r="BS152" s="195" t="s">
        <v>343</v>
      </c>
      <c r="BT152" s="195" t="s">
        <v>345</v>
      </c>
      <c r="BU152" s="195" t="s">
        <v>346</v>
      </c>
      <c r="BV152" s="195" t="s">
        <v>347</v>
      </c>
      <c r="BW152" s="195" t="s">
        <v>348</v>
      </c>
      <c r="BX152" s="195"/>
      <c r="BY152" s="195" t="s">
        <v>6</v>
      </c>
      <c r="BZ152" s="195" t="s">
        <v>51</v>
      </c>
      <c r="CA152" s="184" t="s">
        <v>2</v>
      </c>
      <c r="CB152" s="184" t="s">
        <v>4</v>
      </c>
      <c r="CC152" s="184" t="s">
        <v>119</v>
      </c>
      <c r="CD152" s="184" t="s">
        <v>16</v>
      </c>
      <c r="CE152" s="184" t="s">
        <v>7</v>
      </c>
      <c r="CF152" s="184" t="s">
        <v>67</v>
      </c>
      <c r="CG152" s="184" t="s">
        <v>74</v>
      </c>
      <c r="CH152" s="184" t="s">
        <v>97</v>
      </c>
      <c r="CI152" s="184" t="s">
        <v>103</v>
      </c>
      <c r="CJ152" s="184" t="s">
        <v>75</v>
      </c>
      <c r="CK152" s="184" t="s">
        <v>120</v>
      </c>
      <c r="CL152" s="184" t="s">
        <v>38</v>
      </c>
      <c r="CM152" s="184" t="s">
        <v>37</v>
      </c>
      <c r="CN152" s="184" t="s">
        <v>3</v>
      </c>
    </row>
    <row r="153" spans="2:92" ht="22.5" customHeight="1" outlineLevel="1" x14ac:dyDescent="0.35">
      <c r="C153" s="210" t="s">
        <v>261</v>
      </c>
      <c r="D153" s="211"/>
      <c r="F153" s="82" t="str">
        <f>IF(F$151="Inget antal angivet","",IFERROR(INDEX($AR$152:$BZ$179,MATCH(F$148,$AP$152:$AP$179,0),MATCH("Varumärke",$AR$152:$BZ$152,0)),""))</f>
        <v/>
      </c>
      <c r="G153" s="83" t="str">
        <f ca="1">IFERROR(INDEX($AR$152:$BZ$179,MATCH(G$148,$AP$152:$AP$179,0),MATCH("Varumärke",$AR$152:$BZ$152,0)),"")</f>
        <v>HP</v>
      </c>
      <c r="H153" s="83" t="str">
        <f ca="1">IFERROR(INDEX($AR$152:$BZ$179,MATCH(H$148,$AP$152:$AP$179,0),MATCH("Varumärke",$AR$152:$BZ$152,0)),"")</f>
        <v>HP</v>
      </c>
      <c r="I153" s="119" t="str">
        <f ca="1">IFERROR(INDEX($AR$152:$BZ$179,MATCH(I$148,$AP$152:$AP$179,0),MATCH("Varumärke",$AR$152:$BZ$152,0)),"")</f>
        <v>HP</v>
      </c>
      <c r="J153" s="62"/>
      <c r="K153" s="196">
        <f t="shared" ref="K153:K158" ca="1" si="120">O153*$D$190</f>
        <v>0</v>
      </c>
      <c r="L153" s="185" t="b">
        <f t="shared" ref="L153:L158" si="121">IF($D$190=0,TRUE,IF(K153=0,FALSE,TRUE))</f>
        <v>1</v>
      </c>
      <c r="M153" s="185" t="s">
        <v>162</v>
      </c>
      <c r="N153" s="185" t="str">
        <f t="shared" ref="N153:N158" ca="1" si="122">INDEX($AA$153:$AA$179,MATCH(O153,$Z$153:$Z$179,0))</f>
        <v>Offererad produktnr. 01Advania Sverige AB</v>
      </c>
      <c r="O153" s="196" cm="1">
        <f t="array" aca="1" ref="O153" ca="1">MIN(IF(($BY$153:$BY$176=M153)*($AQ$153:$AQ$176=$O$150),$Z$153:$Z$176))</f>
        <v>8880</v>
      </c>
      <c r="P153" s="197">
        <f ca="1">SMALL($Z$153:$Z$179,1)</f>
        <v>6420</v>
      </c>
      <c r="Q153" s="185">
        <f t="shared" ref="Q153:Q172" si="123">SUM(R153:Y153)</f>
        <v>0</v>
      </c>
      <c r="R153" s="185">
        <f t="shared" ref="R153:R172" si="124">IF($D$170="",0,BH153)</f>
        <v>0</v>
      </c>
      <c r="S153" s="185">
        <f t="shared" ref="S153:S172" si="125">IF($D$173="",0,BI153)</f>
        <v>0</v>
      </c>
      <c r="T153" s="185">
        <f t="shared" ref="T153:T172" si="126">IF($D$176="",0,BJ153)</f>
        <v>0</v>
      </c>
      <c r="U153" s="185">
        <f t="shared" ref="U153:U172" si="127">IF($D$179="",0,BK153)</f>
        <v>0</v>
      </c>
      <c r="V153" s="185">
        <f t="shared" ref="V153:V172" si="128">IF($D$183="",0,BL153)</f>
        <v>0</v>
      </c>
      <c r="W153" s="185">
        <f t="shared" ref="W153:W172" si="129">IF($D$184="",0,BM153)</f>
        <v>0</v>
      </c>
      <c r="X153" s="185">
        <f t="shared" ref="X153:X172" si="130">IF($D$185="",0,BN153)</f>
        <v>0</v>
      </c>
      <c r="Y153" s="185">
        <f t="shared" ref="Y153:Y172" si="131">IF($D$186="",0,BO153)</f>
        <v>0</v>
      </c>
      <c r="Z153" s="196">
        <f t="shared" ref="Z153:Z172" ca="1" si="132">IF(AA153="","",SUM(BG153,R153:Y153))</f>
        <v>8880</v>
      </c>
      <c r="AA153" s="185" t="str">
        <f t="shared" ref="AA153:AA172" ca="1" si="133">IF(COUNTIF(AB153:AO153,FALSE)&gt;0,"",AP153)</f>
        <v>Offererad produktnr. 01Advania Sverige AB</v>
      </c>
      <c r="AB153" s="185"/>
      <c r="AC153" s="185" t="b">
        <f ca="1">IFERROR(IF(D157="",TRUE,
IF(OR(D157=$CB$12,D157=$CB$13),IF(LEFT(AS153,FIND(" ",AS153)-1)=D157,TRUE,FALSE),
IF(OFFSET(Processor!$AB$1,MATCH($AS153,Processor!$AA$2:$AA$23,0),MATCH(LEFT(D157,FIND(" ",D157)-1),Processor!$AC$1:$AG$1,0))&gt;=
OFFSET(Processor!$AB$1,MATCH(D157,Processor!$AA$2:$AA$23,0),MATCH(LEFT(D157,FIND(" ",D157)-1),Processor!$AC$1:$AG$1,0)),TRUE,FALSE))),FALSE)</f>
        <v>1</v>
      </c>
      <c r="AD153" s="185" t="b">
        <f t="shared" ref="AD153:AD172" si="134">IF($D$158="",TRUE,IF(AT153&gt;=$D$158,TRUE,FALSE))</f>
        <v>1</v>
      </c>
      <c r="AE153" s="185" t="b">
        <f t="shared" ref="AE153:AE172" si="135">IF($D$159="",TRUE,IF(AU153&gt;=$D$159,TRUE,FALSE))</f>
        <v>1</v>
      </c>
      <c r="AF153" s="185" t="b">
        <f>IF($D$155="",TRUE,IF(COUNTIF(Processor!$I$2:$I$9,$D$155)&gt;0,AND(AV153&gt;INDEX(Processor!$J$2:$J$9,MATCH($D$155,Processor!$I$2:$I$9,0)),AV153&lt;INDEX(Processor!$K$2:$K$9,MATCH($D$155,Processor!$I$2:$I$9,0))),IF(AV153=$D$155,TRUE,FALSE)))</f>
        <v>1</v>
      </c>
      <c r="AG153" s="185" t="b">
        <f t="shared" ref="AG153:AG172" si="136">IF($D$160="",TRUE,IF(AW153&gt;=$D$160,TRUE,FALSE))</f>
        <v>1</v>
      </c>
      <c r="AH153" s="185" t="b">
        <f t="shared" ref="AH153:AH172" si="137">IF($D$161="",TRUE,IF(AX153&gt;=$D$161,TRUE,FALSE))</f>
        <v>1</v>
      </c>
      <c r="AI153" s="185" t="b">
        <f t="shared" ref="AI153:AI172" si="138">IF($D$162="",TRUE,IF(AY153=$D$162,TRUE,FALSE))</f>
        <v>1</v>
      </c>
      <c r="AJ153" s="185" t="b">
        <f t="shared" ref="AJ153:AJ172" si="139">IF($D$163="",TRUE,IF($D$163="802.11a/b/g/n/ac",TRUE,IF(AZ153&gt;=$D$163,TRUE,FALSE)))</f>
        <v>1</v>
      </c>
      <c r="AK153" s="185" t="b">
        <f t="shared" ref="AK153:AK172" si="140">IF($D$164="",TRUE,IF(BA153&gt;=$D$164,TRUE,FALSE))</f>
        <v>1</v>
      </c>
      <c r="AL153" s="185" t="b">
        <f>IFERROR(IF($D166="",TRUE,IF(MID(BC153,LEN(BC153)-2,1)*1&gt;=MID($D166,LEN($D166)-2,1)*1,TRUE,FALSE)),FALSE)</f>
        <v>1</v>
      </c>
      <c r="AM153" s="185" t="b">
        <f>IF(D165="",TRUE,IF(BB153&gt;=D165,TRUE,FALSE))</f>
        <v>1</v>
      </c>
      <c r="AN153" s="185"/>
      <c r="AO153" s="185"/>
      <c r="AP153" s="185" t="s">
        <v>198</v>
      </c>
      <c r="AQ153" s="185">
        <v>1</v>
      </c>
      <c r="AR153" s="185" t="str">
        <f t="shared" ref="AR153:BA162" ca="1" si="141">IFERROR(INDEX(INDIRECT(AR$148&amp;"!$A$10:CC100000"),MATCH($AP153,INDIRECT(AR$148&amp;"!BH$10:BH100000"),0),MATCH(AR$150,INDIRECT(AR$148&amp;"!a10:CC10"),0)),"False")</f>
        <v>1920x1080</v>
      </c>
      <c r="AS153" s="185" t="str">
        <f t="shared" ca="1" si="141"/>
        <v>AMD Ryzen 5</v>
      </c>
      <c r="AT153" s="185">
        <f t="shared" ca="1" si="141"/>
        <v>16</v>
      </c>
      <c r="AU153" s="185">
        <f t="shared" ca="1" si="141"/>
        <v>256</v>
      </c>
      <c r="AV153" s="185">
        <f t="shared" ca="1" si="141"/>
        <v>14</v>
      </c>
      <c r="AW153" s="185">
        <f t="shared" ca="1" si="141"/>
        <v>4</v>
      </c>
      <c r="AX153" s="185">
        <f t="shared" ca="1" si="141"/>
        <v>1</v>
      </c>
      <c r="AY153" s="185" t="str">
        <f t="shared" ca="1" si="141"/>
        <v>Ja, HDMI-port finns</v>
      </c>
      <c r="AZ153" s="185" t="str">
        <f t="shared" ca="1" si="141"/>
        <v>802.11a/b/g/n/ac/ax</v>
      </c>
      <c r="BA153" s="185">
        <f t="shared" ca="1" si="141"/>
        <v>5.3</v>
      </c>
      <c r="BB153" s="185">
        <f t="shared" ref="BB153:BK162" ca="1" si="142">IFERROR(INDEX(INDIRECT(BB$148&amp;"!$A$10:CC100000"),MATCH($AP153,INDIRECT(BB$148&amp;"!BH$10:BH100000"),0),MATCH(BB$150,INDIRECT(BB$148&amp;"!a10:CC10"),0)),"False")</f>
        <v>11</v>
      </c>
      <c r="BC153" s="185" t="str">
        <f t="shared" ca="1" si="142"/>
        <v>Version 8.0</v>
      </c>
      <c r="BD153" s="185" t="str">
        <f t="shared" ca="1" si="142"/>
        <v>Ja</v>
      </c>
      <c r="BE153" s="185" t="str">
        <f t="shared" ca="1" si="142"/>
        <v>Windows 11 Pro</v>
      </c>
      <c r="BF153" s="185" t="str">
        <f t="shared" ca="1" si="142"/>
        <v>ProBook 445 G10</v>
      </c>
      <c r="BG153" s="185">
        <f t="shared" ca="1" si="142"/>
        <v>8880</v>
      </c>
      <c r="BH153" s="192">
        <f t="shared" ca="1" si="142"/>
        <v>60</v>
      </c>
      <c r="BI153" s="192">
        <f t="shared" ca="1" si="142"/>
        <v>218</v>
      </c>
      <c r="BJ153" s="192">
        <f t="shared" ca="1" si="142"/>
        <v>251</v>
      </c>
      <c r="BK153" s="192">
        <f t="shared" ca="1" si="142"/>
        <v>1462</v>
      </c>
      <c r="BL153" s="192">
        <f t="shared" ref="BL153:BW162" ca="1" si="143">IFERROR(INDEX(INDIRECT(BL$148&amp;"!$A$10:CC100000"),MATCH($AP153,INDIRECT(BL$148&amp;"!BH$10:BH100000"),0),MATCH(BL$150,INDIRECT(BL$148&amp;"!a10:CC10"),0)),"False")</f>
        <v>226</v>
      </c>
      <c r="BM153" s="192">
        <f t="shared" ca="1" si="143"/>
        <v>112</v>
      </c>
      <c r="BN153" s="192">
        <f t="shared" ca="1" si="143"/>
        <v>50</v>
      </c>
      <c r="BO153" s="192">
        <f t="shared" ca="1" si="143"/>
        <v>50</v>
      </c>
      <c r="BP153" s="192" t="str">
        <f t="shared" ca="1" si="143"/>
        <v>V7</v>
      </c>
      <c r="BQ153" s="192" t="str">
        <f t="shared" ca="1" si="143"/>
        <v>PORT Designs</v>
      </c>
      <c r="BR153" s="192" t="str">
        <f t="shared" ca="1" si="143"/>
        <v>CoreParts</v>
      </c>
      <c r="BS153" s="192" t="str">
        <f t="shared" ca="1" si="143"/>
        <v>HP</v>
      </c>
      <c r="BT153" s="192" t="str">
        <f t="shared" ca="1" si="143"/>
        <v xml:space="preserve"> CSE14-BLK-3E  -Fodral för bärbar dator - 14" - svart</v>
      </c>
      <c r="BU153" s="192" t="str">
        <f t="shared" ca="1" si="143"/>
        <v>900003 - Professional - filter för personlig integritet - 14"</v>
      </c>
      <c r="BV153" s="192" t="str">
        <f t="shared" ca="1" si="143"/>
        <v>MBXUSBC-AC0005 - USB-C - strömadapter 45 Watt</v>
      </c>
      <c r="BW153" s="192" t="str">
        <f t="shared" ca="1" si="143"/>
        <v>72C71AA#ABB - Essential - dockningsstation</v>
      </c>
      <c r="BX153" s="192"/>
      <c r="BY153" s="192" t="str">
        <f t="shared" ref="BY153:BZ172" ca="1" si="144">IFERROR(INDEX(INDIRECT(BY$148&amp;"!$A$10:CC100000"),MATCH($AP153,INDIRECT(BY$148&amp;"!BH$10:BH100000"),0),MATCH(BY$150,INDIRECT(BY$148&amp;"!a10:CC10"),0)),"False")</f>
        <v>Advania Sverige AB</v>
      </c>
      <c r="BZ153" s="192" t="str">
        <f t="shared" ca="1" si="144"/>
        <v>HP</v>
      </c>
      <c r="CA153" s="185" t="s">
        <v>71</v>
      </c>
      <c r="CB153" s="185" t="s">
        <v>687</v>
      </c>
      <c r="CC153" s="185">
        <v>8</v>
      </c>
      <c r="CD153" s="185">
        <v>256</v>
      </c>
      <c r="CE153" s="185">
        <v>14</v>
      </c>
      <c r="CF153" s="185">
        <v>3</v>
      </c>
      <c r="CG153" s="185">
        <v>1</v>
      </c>
      <c r="CH153" s="185" t="s">
        <v>84</v>
      </c>
      <c r="CI153" s="185" t="s">
        <v>86</v>
      </c>
      <c r="CJ153" s="186">
        <v>5.3</v>
      </c>
      <c r="CK153" s="185">
        <v>11</v>
      </c>
      <c r="CL153" s="185" t="s">
        <v>686</v>
      </c>
      <c r="CM153" s="185" t="s">
        <v>69</v>
      </c>
      <c r="CN153" s="185" t="s">
        <v>567</v>
      </c>
    </row>
    <row r="154" spans="2:92" ht="22.5" customHeight="1" outlineLevel="1" x14ac:dyDescent="0.35">
      <c r="C154" s="61" t="s">
        <v>3</v>
      </c>
      <c r="D154" s="64"/>
      <c r="F154" s="80" t="str">
        <f t="shared" ref="F154:F167" si="145">IF(F$151="Inget antal angivet","",IFERROR(INDEX($AR$152:$BZ$179,MATCH(F$148,$AP$152:$AP$179,0),MATCH($C154,$AR$152:$BZ$152,0)),""))</f>
        <v/>
      </c>
      <c r="G154" s="81" t="str">
        <f t="shared" ref="G154:I167" ca="1" si="146">IFERROR(INDEX($AR$152:$BZ$179,MATCH(G$148,$AP$152:$AP$179,0),MATCH($C154,$AR$152:$BZ$152,0)),"")</f>
        <v>Windows 10 Pro</v>
      </c>
      <c r="H154" s="81" t="str">
        <f t="shared" ca="1" si="146"/>
        <v>Windows 11 Pro</v>
      </c>
      <c r="I154" s="120" t="str">
        <f t="shared" ca="1" si="146"/>
        <v>Windows 10 Pro</v>
      </c>
      <c r="J154" s="62"/>
      <c r="K154" s="196">
        <f t="shared" ca="1" si="120"/>
        <v>0</v>
      </c>
      <c r="L154" s="185" t="b">
        <f t="shared" si="121"/>
        <v>1</v>
      </c>
      <c r="M154" s="185" t="s">
        <v>150</v>
      </c>
      <c r="N154" s="185" t="str">
        <f t="shared" ca="1" si="122"/>
        <v>Offererad produktnr. 01Atea Sverige AB</v>
      </c>
      <c r="O154" s="196" cm="1">
        <f t="array" aca="1" ref="O154" ca="1">MIN(IF(($BY$153:$BY$176=M154)*($AQ$153:$AQ$176=$O$150),$Z$153:$Z$176))</f>
        <v>11724</v>
      </c>
      <c r="P154" s="197">
        <f ca="1">SMALL($Z$153:$Z$179,2)</f>
        <v>7599</v>
      </c>
      <c r="Q154" s="185">
        <f t="shared" si="123"/>
        <v>0</v>
      </c>
      <c r="R154" s="185">
        <f t="shared" si="124"/>
        <v>0</v>
      </c>
      <c r="S154" s="185">
        <f t="shared" si="125"/>
        <v>0</v>
      </c>
      <c r="T154" s="185">
        <f t="shared" si="126"/>
        <v>0</v>
      </c>
      <c r="U154" s="185">
        <f t="shared" si="127"/>
        <v>0</v>
      </c>
      <c r="V154" s="185">
        <f t="shared" si="128"/>
        <v>0</v>
      </c>
      <c r="W154" s="185">
        <f t="shared" si="129"/>
        <v>0</v>
      </c>
      <c r="X154" s="185">
        <f t="shared" si="130"/>
        <v>0</v>
      </c>
      <c r="Y154" s="185">
        <f t="shared" si="131"/>
        <v>0</v>
      </c>
      <c r="Z154" s="196">
        <f t="shared" ca="1" si="132"/>
        <v>9324</v>
      </c>
      <c r="AA154" s="185" t="str">
        <f t="shared" ca="1" si="133"/>
        <v>Offererad produktnr. 02Advania Sverige AB</v>
      </c>
      <c r="AB154" s="185"/>
      <c r="AC154" s="185" t="b">
        <f ca="1">IFERROR(IF(D157="",TRUE,
IF(OR(D157=$CB$12,D157=$CB$13),IF(LEFT(AS154,FIND(" ",AS154)-1)=D157,TRUE,FALSE),
IF(OFFSET(Processor!$AB$1,MATCH($AS154,Processor!$AA$2:$AA$23,0),MATCH(LEFT(D157,FIND(" ",D157)-1),Processor!$AC$1:$AG$1,0))&gt;=
OFFSET(Processor!$AB$1,MATCH(D157,Processor!$AA$2:$AA$23,0),MATCH(LEFT(D157,FIND(" ",D157)-1),Processor!$AC$1:$AG$1,0)),TRUE,FALSE))),FALSE)</f>
        <v>1</v>
      </c>
      <c r="AD154" s="185" t="b">
        <f t="shared" si="134"/>
        <v>1</v>
      </c>
      <c r="AE154" s="185" t="b">
        <f t="shared" si="135"/>
        <v>1</v>
      </c>
      <c r="AF154" s="185" t="b">
        <f>IF($D$155="",TRUE,IF(COUNTIF(Processor!$I$2:$I$9,$D$155)&gt;0,AND(AV154&gt;INDEX(Processor!$J$2:$J$9,MATCH($D$155,Processor!$I$2:$I$9,0)),AV154&lt;INDEX(Processor!$K$2:$K$9,MATCH($D$155,Processor!$I$2:$I$9,0))),IF(AV154=$D$155,TRUE,FALSE)))</f>
        <v>1</v>
      </c>
      <c r="AG154" s="185" t="b">
        <f t="shared" si="136"/>
        <v>1</v>
      </c>
      <c r="AH154" s="185" t="b">
        <f t="shared" si="137"/>
        <v>1</v>
      </c>
      <c r="AI154" s="185" t="b">
        <f t="shared" si="138"/>
        <v>1</v>
      </c>
      <c r="AJ154" s="185" t="b">
        <f t="shared" si="139"/>
        <v>1</v>
      </c>
      <c r="AK154" s="185" t="b">
        <f t="shared" si="140"/>
        <v>1</v>
      </c>
      <c r="AL154" s="185" t="b">
        <f>IFERROR(IF($D166="",TRUE,IF(MID(BC154,LEN(BC154)-2,1)*1&gt;=MID($D166,LEN($D166)-2,1)*1,TRUE,FALSE)),FALSE)</f>
        <v>1</v>
      </c>
      <c r="AM154" s="185" t="b">
        <f>IF(D165="",TRUE,IF(BB154&gt;=D165,TRUE,FALSE))</f>
        <v>1</v>
      </c>
      <c r="AN154" s="185"/>
      <c r="AO154" s="185"/>
      <c r="AP154" s="185" t="s">
        <v>199</v>
      </c>
      <c r="AQ154" s="185">
        <v>1</v>
      </c>
      <c r="AR154" s="185" t="str">
        <f t="shared" ca="1" si="141"/>
        <v>1920x1080</v>
      </c>
      <c r="AS154" s="185" t="str">
        <f t="shared" ca="1" si="141"/>
        <v>Intel i5 Gen 12</v>
      </c>
      <c r="AT154" s="185">
        <f t="shared" ca="1" si="141"/>
        <v>16</v>
      </c>
      <c r="AU154" s="185">
        <f t="shared" ca="1" si="141"/>
        <v>256</v>
      </c>
      <c r="AV154" s="185">
        <f t="shared" ca="1" si="141"/>
        <v>14</v>
      </c>
      <c r="AW154" s="185">
        <f t="shared" ca="1" si="141"/>
        <v>4</v>
      </c>
      <c r="AX154" s="185">
        <f t="shared" ca="1" si="141"/>
        <v>1</v>
      </c>
      <c r="AY154" s="185" t="str">
        <f t="shared" ca="1" si="141"/>
        <v>Ja, HDMI-port finns</v>
      </c>
      <c r="AZ154" s="185" t="str">
        <f t="shared" ca="1" si="141"/>
        <v>802.11a/b/g/n/ac</v>
      </c>
      <c r="BA154" s="185">
        <f t="shared" ca="1" si="141"/>
        <v>5.2</v>
      </c>
      <c r="BB154" s="185">
        <f t="shared" ca="1" si="142"/>
        <v>11</v>
      </c>
      <c r="BC154" s="185" t="str">
        <f t="shared" ca="1" si="142"/>
        <v>Version 8.0</v>
      </c>
      <c r="BD154" s="185" t="str">
        <f t="shared" ca="1" si="142"/>
        <v>Ja</v>
      </c>
      <c r="BE154" s="185" t="str">
        <f t="shared" ca="1" si="142"/>
        <v>Windows 11 Pro</v>
      </c>
      <c r="BF154" s="185" t="str">
        <f t="shared" ca="1" si="142"/>
        <v>ProBook 440 G10</v>
      </c>
      <c r="BG154" s="185">
        <f t="shared" ca="1" si="142"/>
        <v>9324</v>
      </c>
      <c r="BH154" s="192">
        <f t="shared" ca="1" si="142"/>
        <v>60</v>
      </c>
      <c r="BI154" s="192">
        <f t="shared" ca="1" si="142"/>
        <v>218</v>
      </c>
      <c r="BJ154" s="192">
        <f t="shared" ca="1" si="142"/>
        <v>251</v>
      </c>
      <c r="BK154" s="192">
        <f t="shared" ca="1" si="142"/>
        <v>1462</v>
      </c>
      <c r="BL154" s="192">
        <f t="shared" ca="1" si="143"/>
        <v>226</v>
      </c>
      <c r="BM154" s="192">
        <f t="shared" ca="1" si="143"/>
        <v>112</v>
      </c>
      <c r="BN154" s="192">
        <f t="shared" ca="1" si="143"/>
        <v>50</v>
      </c>
      <c r="BO154" s="192">
        <f t="shared" ca="1" si="143"/>
        <v>50</v>
      </c>
      <c r="BP154" s="192" t="str">
        <f t="shared" ca="1" si="143"/>
        <v>V7</v>
      </c>
      <c r="BQ154" s="192" t="str">
        <f t="shared" ca="1" si="143"/>
        <v>PORT Designs</v>
      </c>
      <c r="BR154" s="192" t="str">
        <f t="shared" ca="1" si="143"/>
        <v>CoreParts</v>
      </c>
      <c r="BS154" s="192" t="str">
        <f t="shared" ca="1" si="143"/>
        <v>HP</v>
      </c>
      <c r="BT154" s="192" t="str">
        <f t="shared" ca="1" si="143"/>
        <v xml:space="preserve"> CSE14-BLK-3E  -Fodral för bärbar dator - 14" - svart</v>
      </c>
      <c r="BU154" s="192" t="str">
        <f t="shared" ca="1" si="143"/>
        <v>900003 - Professional - filter för personlig integritet - 14"</v>
      </c>
      <c r="BV154" s="192" t="str">
        <f t="shared" ca="1" si="143"/>
        <v>MBXUSBC-AC0005 - USB-C - strömadapter 45 Watt</v>
      </c>
      <c r="BW154" s="192" t="str">
        <f t="shared" ca="1" si="143"/>
        <v>72C71AA#ABB - Essential - dockningsstation</v>
      </c>
      <c r="BX154" s="192"/>
      <c r="BY154" s="192" t="str">
        <f t="shared" ca="1" si="144"/>
        <v>Advania Sverige AB</v>
      </c>
      <c r="BZ154" s="192" t="str">
        <f t="shared" ca="1" si="144"/>
        <v>HP</v>
      </c>
      <c r="CA154" s="185" t="s">
        <v>163</v>
      </c>
      <c r="CB154" s="185" t="s">
        <v>688</v>
      </c>
      <c r="CC154" s="185">
        <v>16</v>
      </c>
      <c r="CD154" s="185">
        <v>512</v>
      </c>
      <c r="CE154" s="185">
        <v>0</v>
      </c>
      <c r="CF154" s="185">
        <v>4</v>
      </c>
      <c r="CG154" s="185">
        <v>2</v>
      </c>
      <c r="CH154" s="185">
        <v>0</v>
      </c>
      <c r="CI154" s="185" t="s">
        <v>79</v>
      </c>
      <c r="CJ154" s="186">
        <v>5.2</v>
      </c>
      <c r="CK154" s="185">
        <v>8</v>
      </c>
      <c r="CL154" s="185" t="s">
        <v>527</v>
      </c>
      <c r="CM154" s="185">
        <v>0</v>
      </c>
      <c r="CN154" s="185" t="s">
        <v>80</v>
      </c>
    </row>
    <row r="155" spans="2:92" ht="22.5" customHeight="1" outlineLevel="1" x14ac:dyDescent="0.35">
      <c r="C155" s="61" t="s">
        <v>7</v>
      </c>
      <c r="D155" s="64"/>
      <c r="F155" s="80" t="str">
        <f t="shared" si="145"/>
        <v/>
      </c>
      <c r="G155" s="81">
        <f t="shared" ca="1" si="146"/>
        <v>14</v>
      </c>
      <c r="H155" s="81">
        <f t="shared" ca="1" si="146"/>
        <v>14</v>
      </c>
      <c r="I155" s="120">
        <f t="shared" ca="1" si="146"/>
        <v>14</v>
      </c>
      <c r="J155" s="62"/>
      <c r="K155" s="196">
        <f t="shared" ca="1" si="120"/>
        <v>0</v>
      </c>
      <c r="L155" s="185" t="b">
        <f t="shared" si="121"/>
        <v>1</v>
      </c>
      <c r="M155" s="185" t="s">
        <v>128</v>
      </c>
      <c r="N155" s="185" t="str">
        <f t="shared" ca="1" si="122"/>
        <v>Offererad produktnr. 01Dustin Sverige AB</v>
      </c>
      <c r="O155" s="196" cm="1">
        <f t="array" aca="1" ref="O155" ca="1">MIN(IF(($BY$153:$BY$176=M155)*($AQ$153:$AQ$176=$O$150),$Z$153:$Z$176))</f>
        <v>7599</v>
      </c>
      <c r="P155" s="197">
        <f ca="1">SMALL($Z$153:$Z$179,3)</f>
        <v>7640</v>
      </c>
      <c r="Q155" s="185">
        <f t="shared" si="123"/>
        <v>0</v>
      </c>
      <c r="R155" s="185">
        <f t="shared" si="124"/>
        <v>0</v>
      </c>
      <c r="S155" s="185">
        <f t="shared" si="125"/>
        <v>0</v>
      </c>
      <c r="T155" s="185">
        <f t="shared" si="126"/>
        <v>0</v>
      </c>
      <c r="U155" s="185">
        <f t="shared" si="127"/>
        <v>0</v>
      </c>
      <c r="V155" s="185">
        <f t="shared" si="128"/>
        <v>0</v>
      </c>
      <c r="W155" s="185">
        <f t="shared" si="129"/>
        <v>0</v>
      </c>
      <c r="X155" s="185">
        <f t="shared" si="130"/>
        <v>0</v>
      </c>
      <c r="Y155" s="185">
        <f t="shared" si="131"/>
        <v>0</v>
      </c>
      <c r="Z155" s="196">
        <f t="shared" ca="1" si="132"/>
        <v>10608</v>
      </c>
      <c r="AA155" s="185" t="str">
        <f t="shared" ca="1" si="133"/>
        <v>Offererad produktnr. 03Advania Sverige AB</v>
      </c>
      <c r="AB155" s="185"/>
      <c r="AC155" s="185" t="b">
        <f ca="1">IFERROR(IF(D157="",TRUE,
IF(OR(D157=$CB$12,D157=$CB$13),IF(LEFT(AS155,FIND(" ",AS155)-1)=D157,TRUE,FALSE),
IF(OFFSET(Processor!$AB$1,MATCH($AS155,Processor!$AA$2:$AA$23,0),MATCH(LEFT(D157,FIND(" ",D157)-1),Processor!$AC$1:$AG$1,0))&gt;=
OFFSET(Processor!$AB$1,MATCH(D157,Processor!$AA$2:$AA$23,0),MATCH(LEFT(D157,FIND(" ",D157)-1),Processor!$AC$1:$AG$1,0)),TRUE,FALSE))),FALSE)</f>
        <v>1</v>
      </c>
      <c r="AD155" s="185" t="b">
        <f t="shared" si="134"/>
        <v>1</v>
      </c>
      <c r="AE155" s="185" t="b">
        <f t="shared" si="135"/>
        <v>1</v>
      </c>
      <c r="AF155" s="185" t="b">
        <f>IF($D$155="",TRUE,IF(COUNTIF(Processor!$I$2:$I$9,$D$155)&gt;0,AND(AV155&gt;INDEX(Processor!$J$2:$J$9,MATCH($D$155,Processor!$I$2:$I$9,0)),AV155&lt;INDEX(Processor!$K$2:$K$9,MATCH($D$155,Processor!$I$2:$I$9,0))),IF(AV155=$D$155,TRUE,FALSE)))</f>
        <v>1</v>
      </c>
      <c r="AG155" s="185" t="b">
        <f t="shared" si="136"/>
        <v>1</v>
      </c>
      <c r="AH155" s="185" t="b">
        <f t="shared" si="137"/>
        <v>1</v>
      </c>
      <c r="AI155" s="185" t="b">
        <f t="shared" si="138"/>
        <v>1</v>
      </c>
      <c r="AJ155" s="185" t="b">
        <f t="shared" si="139"/>
        <v>1</v>
      </c>
      <c r="AK155" s="185" t="b">
        <f t="shared" si="140"/>
        <v>1</v>
      </c>
      <c r="AL155" s="185" t="b">
        <f>IFERROR(IF($D166="",TRUE,IF(MID(BC155,LEN(BC155)-2,1)*1&gt;=MID($D166,LEN($D166)-2,1)*1,TRUE,FALSE)),FALSE)</f>
        <v>1</v>
      </c>
      <c r="AM155" s="185" t="b">
        <f>IF(D165="",TRUE,IF(BB155&gt;=D165,TRUE,FALSE))</f>
        <v>1</v>
      </c>
      <c r="AN155" s="185"/>
      <c r="AO155" s="185"/>
      <c r="AP155" s="185" t="s">
        <v>200</v>
      </c>
      <c r="AQ155" s="185">
        <v>1</v>
      </c>
      <c r="AR155" s="185" t="str">
        <f t="shared" ca="1" si="141"/>
        <v>1920x1080</v>
      </c>
      <c r="AS155" s="185" t="str">
        <f t="shared" ca="1" si="141"/>
        <v>AMD Ryzen 7</v>
      </c>
      <c r="AT155" s="185">
        <f t="shared" ca="1" si="141"/>
        <v>16</v>
      </c>
      <c r="AU155" s="185">
        <f t="shared" ca="1" si="141"/>
        <v>512</v>
      </c>
      <c r="AV155" s="185">
        <f t="shared" ca="1" si="141"/>
        <v>14</v>
      </c>
      <c r="AW155" s="185">
        <f t="shared" ca="1" si="141"/>
        <v>4</v>
      </c>
      <c r="AX155" s="185">
        <f t="shared" ca="1" si="141"/>
        <v>1</v>
      </c>
      <c r="AY155" s="185" t="str">
        <f t="shared" ca="1" si="141"/>
        <v>Ja, HDMI-port finns</v>
      </c>
      <c r="AZ155" s="185" t="str">
        <f t="shared" ca="1" si="141"/>
        <v>802.11a/b/g/n/ac/ax</v>
      </c>
      <c r="BA155" s="185">
        <f t="shared" ca="1" si="141"/>
        <v>5.2</v>
      </c>
      <c r="BB155" s="185">
        <f t="shared" ca="1" si="142"/>
        <v>11</v>
      </c>
      <c r="BC155" s="185" t="str">
        <f t="shared" ca="1" si="142"/>
        <v>Version 8.0</v>
      </c>
      <c r="BD155" s="185" t="str">
        <f t="shared" ca="1" si="142"/>
        <v>Ja</v>
      </c>
      <c r="BE155" s="185" t="str">
        <f t="shared" ca="1" si="142"/>
        <v>Windows 11 Pro</v>
      </c>
      <c r="BF155" s="185" t="str">
        <f t="shared" ca="1" si="142"/>
        <v>HP ProBook 445 G10</v>
      </c>
      <c r="BG155" s="185">
        <f t="shared" ca="1" si="142"/>
        <v>10608</v>
      </c>
      <c r="BH155" s="192">
        <f t="shared" ca="1" si="142"/>
        <v>60</v>
      </c>
      <c r="BI155" s="192">
        <f t="shared" ca="1" si="142"/>
        <v>218</v>
      </c>
      <c r="BJ155" s="192">
        <f t="shared" ca="1" si="142"/>
        <v>251</v>
      </c>
      <c r="BK155" s="192">
        <f t="shared" ca="1" si="142"/>
        <v>1462</v>
      </c>
      <c r="BL155" s="192">
        <f t="shared" ca="1" si="143"/>
        <v>226</v>
      </c>
      <c r="BM155" s="192">
        <f t="shared" ca="1" si="143"/>
        <v>112</v>
      </c>
      <c r="BN155" s="192">
        <f t="shared" ca="1" si="143"/>
        <v>50</v>
      </c>
      <c r="BO155" s="192">
        <f t="shared" ca="1" si="143"/>
        <v>50</v>
      </c>
      <c r="BP155" s="192" t="str">
        <f t="shared" ca="1" si="143"/>
        <v>V7</v>
      </c>
      <c r="BQ155" s="192" t="str">
        <f t="shared" ca="1" si="143"/>
        <v>PORT Designs</v>
      </c>
      <c r="BR155" s="192" t="str">
        <f t="shared" ca="1" si="143"/>
        <v>CoreParts</v>
      </c>
      <c r="BS155" s="192" t="str">
        <f t="shared" ca="1" si="143"/>
        <v>HP</v>
      </c>
      <c r="BT155" s="192" t="str">
        <f t="shared" ca="1" si="143"/>
        <v xml:space="preserve"> CSE14-BLK-3E  -Fodral för bärbar dator - 14" - svart</v>
      </c>
      <c r="BU155" s="192" t="str">
        <f t="shared" ca="1" si="143"/>
        <v>900003 - Professional - filter för personlig integritet - 14"</v>
      </c>
      <c r="BV155" s="192" t="str">
        <f t="shared" ca="1" si="143"/>
        <v>MBXUSBC-AC0005 - USB-C - strömadapter 45 Watt</v>
      </c>
      <c r="BW155" s="192" t="str">
        <f t="shared" ca="1" si="143"/>
        <v>72C71AA#ABB - Essential - dockningsstation</v>
      </c>
      <c r="BX155" s="192"/>
      <c r="BY155" s="192" t="str">
        <f t="shared" ca="1" si="144"/>
        <v>Advania Sverige AB</v>
      </c>
      <c r="BZ155" s="192" t="str">
        <f t="shared" ca="1" si="144"/>
        <v>HP</v>
      </c>
      <c r="CA155" s="185">
        <v>0</v>
      </c>
      <c r="CB155" s="185"/>
      <c r="CC155" s="185">
        <v>32</v>
      </c>
      <c r="CD155" s="185">
        <v>0</v>
      </c>
      <c r="CE155" s="185"/>
      <c r="CF155" s="185">
        <v>2</v>
      </c>
      <c r="CG155" s="185">
        <v>0</v>
      </c>
      <c r="CH155" s="185"/>
      <c r="CI155" s="185">
        <v>0</v>
      </c>
      <c r="CJ155" s="186">
        <v>5</v>
      </c>
      <c r="CK155" s="185">
        <v>0</v>
      </c>
      <c r="CL155" s="185">
        <v>0</v>
      </c>
      <c r="CM155" s="185"/>
      <c r="CN155" s="185">
        <v>0</v>
      </c>
    </row>
    <row r="156" spans="2:92" ht="22.5" customHeight="1" outlineLevel="1" x14ac:dyDescent="0.35">
      <c r="C156" s="61" t="s">
        <v>2</v>
      </c>
      <c r="D156" s="64"/>
      <c r="F156" s="80" t="str">
        <f t="shared" si="145"/>
        <v/>
      </c>
      <c r="G156" s="81" t="str">
        <f t="shared" ca="1" si="146"/>
        <v>1920x1080</v>
      </c>
      <c r="H156" s="81" t="str">
        <f t="shared" ca="1" si="146"/>
        <v>1920x1080</v>
      </c>
      <c r="I156" s="120" t="str">
        <f t="shared" ca="1" si="146"/>
        <v>1920x1080</v>
      </c>
      <c r="J156" s="62"/>
      <c r="K156" s="196">
        <f t="shared" ca="1" si="120"/>
        <v>0</v>
      </c>
      <c r="L156" s="185" t="b">
        <f t="shared" si="121"/>
        <v>1</v>
      </c>
      <c r="M156" s="185" t="s">
        <v>169</v>
      </c>
      <c r="N156" s="185" t="str">
        <f t="shared" ca="1" si="122"/>
        <v>Offererad produktnr. 01Foxway Education AB</v>
      </c>
      <c r="O156" s="196" cm="1">
        <f t="array" aca="1" ref="O156" ca="1">MIN(IF(($BY$153:$BY$176=M156)*($AQ$153:$AQ$176=$O$150),$Z$153:$Z$176))</f>
        <v>8848</v>
      </c>
      <c r="P156" s="197"/>
      <c r="Q156" s="185">
        <f t="shared" si="123"/>
        <v>0</v>
      </c>
      <c r="R156" s="185">
        <f t="shared" si="124"/>
        <v>0</v>
      </c>
      <c r="S156" s="185">
        <f t="shared" si="125"/>
        <v>0</v>
      </c>
      <c r="T156" s="185">
        <f t="shared" si="126"/>
        <v>0</v>
      </c>
      <c r="U156" s="185">
        <f t="shared" si="127"/>
        <v>0</v>
      </c>
      <c r="V156" s="185">
        <f t="shared" si="128"/>
        <v>0</v>
      </c>
      <c r="W156" s="185">
        <f t="shared" si="129"/>
        <v>0</v>
      </c>
      <c r="X156" s="185">
        <f t="shared" si="130"/>
        <v>0</v>
      </c>
      <c r="Y156" s="185">
        <f t="shared" si="131"/>
        <v>0</v>
      </c>
      <c r="Z156" s="196">
        <f t="shared" ca="1" si="132"/>
        <v>11474</v>
      </c>
      <c r="AA156" s="185" t="str">
        <f t="shared" ca="1" si="133"/>
        <v>Offererad produktnr. 04Advania Sverige AB</v>
      </c>
      <c r="AB156" s="185"/>
      <c r="AC156" s="185" t="b">
        <f ca="1">IFERROR(IF(D157="",TRUE,
IF(OR(D157=$CB$12,D157=$CB$13),IF(LEFT(AS156,FIND(" ",AS156)-1)=D157,TRUE,FALSE),
IF(OFFSET(Processor!$AB$1,MATCH($AS156,Processor!$AA$2:$AA$23,0),MATCH(LEFT(D157,FIND(" ",D157)-1),Processor!$AC$1:$AG$1,0))&gt;=
OFFSET(Processor!$AB$1,MATCH(D157,Processor!$AA$2:$AA$23,0),MATCH(LEFT(D157,FIND(" ",D157)-1),Processor!$AC$1:$AG$1,0)),TRUE,FALSE))),FALSE)</f>
        <v>1</v>
      </c>
      <c r="AD156" s="185" t="b">
        <f t="shared" si="134"/>
        <v>1</v>
      </c>
      <c r="AE156" s="185" t="b">
        <f t="shared" si="135"/>
        <v>1</v>
      </c>
      <c r="AF156" s="185" t="b">
        <f>IF($D$155="",TRUE,IF(COUNTIF(Processor!$I$2:$I$9,$D$155)&gt;0,AND(AV156&gt;INDEX(Processor!$J$2:$J$9,MATCH($D$155,Processor!$I$2:$I$9,0)),AV156&lt;INDEX(Processor!$K$2:$K$9,MATCH($D$155,Processor!$I$2:$I$9,0))),IF(AV156=$D$155,TRUE,FALSE)))</f>
        <v>1</v>
      </c>
      <c r="AG156" s="185" t="b">
        <f t="shared" si="136"/>
        <v>1</v>
      </c>
      <c r="AH156" s="185" t="b">
        <f t="shared" si="137"/>
        <v>1</v>
      </c>
      <c r="AI156" s="185" t="b">
        <f t="shared" si="138"/>
        <v>1</v>
      </c>
      <c r="AJ156" s="185" t="b">
        <f t="shared" si="139"/>
        <v>1</v>
      </c>
      <c r="AK156" s="185" t="b">
        <f t="shared" si="140"/>
        <v>1</v>
      </c>
      <c r="AL156" s="185" t="b">
        <f>IFERROR(IF($D166="",TRUE,IF(MID(BC156,LEN(BC156)-2,1)*1&gt;=MID($D166,LEN($D166)-2,1)*1,TRUE,FALSE)),FALSE)</f>
        <v>1</v>
      </c>
      <c r="AM156" s="185" t="b">
        <f>IF(D165="",TRUE,IF(BB156&gt;=D165,TRUE,FALSE))</f>
        <v>1</v>
      </c>
      <c r="AN156" s="185"/>
      <c r="AO156" s="185"/>
      <c r="AP156" s="185" t="s">
        <v>201</v>
      </c>
      <c r="AQ156" s="185">
        <v>1</v>
      </c>
      <c r="AR156" s="185" t="str">
        <f t="shared" ca="1" si="141"/>
        <v>1920x1080</v>
      </c>
      <c r="AS156" s="185" t="str">
        <f t="shared" ca="1" si="141"/>
        <v>Intel i7 Gen 12</v>
      </c>
      <c r="AT156" s="185">
        <f t="shared" ca="1" si="141"/>
        <v>16</v>
      </c>
      <c r="AU156" s="185">
        <f t="shared" ca="1" si="141"/>
        <v>512</v>
      </c>
      <c r="AV156" s="185">
        <f t="shared" ca="1" si="141"/>
        <v>14</v>
      </c>
      <c r="AW156" s="185">
        <f t="shared" ca="1" si="141"/>
        <v>4</v>
      </c>
      <c r="AX156" s="185">
        <f t="shared" ca="1" si="141"/>
        <v>2</v>
      </c>
      <c r="AY156" s="185" t="str">
        <f t="shared" ca="1" si="141"/>
        <v>Ja, HDMI-port finns</v>
      </c>
      <c r="AZ156" s="185" t="str">
        <f t="shared" ca="1" si="141"/>
        <v>802.11a/b/g/n/ac/ax</v>
      </c>
      <c r="BA156" s="185">
        <f t="shared" ca="1" si="141"/>
        <v>5.2</v>
      </c>
      <c r="BB156" s="185">
        <f t="shared" ca="1" si="142"/>
        <v>11</v>
      </c>
      <c r="BC156" s="185" t="str">
        <f t="shared" ca="1" si="142"/>
        <v>Version 8.0</v>
      </c>
      <c r="BD156" s="185" t="str">
        <f t="shared" ca="1" si="142"/>
        <v>Ja</v>
      </c>
      <c r="BE156" s="185" t="str">
        <f t="shared" ca="1" si="142"/>
        <v>Windows 11 Pro</v>
      </c>
      <c r="BF156" s="185" t="str">
        <f t="shared" ca="1" si="142"/>
        <v>ProBook 440 G11</v>
      </c>
      <c r="BG156" s="185">
        <f t="shared" ca="1" si="142"/>
        <v>11474</v>
      </c>
      <c r="BH156" s="192">
        <f t="shared" ca="1" si="142"/>
        <v>60</v>
      </c>
      <c r="BI156" s="192">
        <f t="shared" ca="1" si="142"/>
        <v>218</v>
      </c>
      <c r="BJ156" s="192">
        <f t="shared" ca="1" si="142"/>
        <v>251</v>
      </c>
      <c r="BK156" s="192">
        <f t="shared" ca="1" si="142"/>
        <v>1462</v>
      </c>
      <c r="BL156" s="192">
        <f t="shared" ca="1" si="143"/>
        <v>226</v>
      </c>
      <c r="BM156" s="192">
        <f t="shared" ca="1" si="143"/>
        <v>112</v>
      </c>
      <c r="BN156" s="192">
        <f t="shared" ca="1" si="143"/>
        <v>50</v>
      </c>
      <c r="BO156" s="192">
        <f t="shared" ca="1" si="143"/>
        <v>50</v>
      </c>
      <c r="BP156" s="192" t="str">
        <f t="shared" ca="1" si="143"/>
        <v>V7</v>
      </c>
      <c r="BQ156" s="192" t="str">
        <f t="shared" ca="1" si="143"/>
        <v>DICOTA</v>
      </c>
      <c r="BR156" s="192" t="str">
        <f t="shared" ca="1" si="143"/>
        <v>CoreParts</v>
      </c>
      <c r="BS156" s="192" t="str">
        <f t="shared" ca="1" si="143"/>
        <v>HP</v>
      </c>
      <c r="BT156" s="192" t="str">
        <f t="shared" ca="1" si="143"/>
        <v xml:space="preserve"> CSE14-BLK-3E  -Fodral för bärbar dator - 14" - svart</v>
      </c>
      <c r="BU156" s="192" t="str">
        <f t="shared" ca="1" si="143"/>
        <v>D70513 - Sekretessfilter till bärbar dator - 2-vägs - borttagbar - lim - 14 tum bred - svart</v>
      </c>
      <c r="BV156" s="192" t="str">
        <f t="shared" ca="1" si="143"/>
        <v>MBXUSBC-AC0005 - USB-C - strömadapter 45 Watt</v>
      </c>
      <c r="BW156" s="192" t="str">
        <f t="shared" ca="1" si="143"/>
        <v>72C71AA#ABB - Essential - dockningsstation</v>
      </c>
      <c r="BX156" s="192"/>
      <c r="BY156" s="192" t="str">
        <f t="shared" ca="1" si="144"/>
        <v>Advania Sverige AB</v>
      </c>
      <c r="BZ156" s="192" t="str">
        <f t="shared" ca="1" si="144"/>
        <v>HP</v>
      </c>
      <c r="CA156" s="185"/>
      <c r="CB156" s="185" t="s">
        <v>65</v>
      </c>
      <c r="CC156" s="185">
        <v>0</v>
      </c>
      <c r="CD156" s="185"/>
      <c r="CE156" s="185"/>
      <c r="CF156" s="185">
        <v>0</v>
      </c>
      <c r="CG156" s="185"/>
      <c r="CH156" s="185"/>
      <c r="CI156" s="185"/>
      <c r="CJ156" s="186">
        <v>0</v>
      </c>
      <c r="CK156" s="185"/>
      <c r="CL156" s="185"/>
      <c r="CM156" s="185"/>
      <c r="CN156" s="185"/>
    </row>
    <row r="157" spans="2:92" ht="22.5" customHeight="1" outlineLevel="1" x14ac:dyDescent="0.35">
      <c r="C157" s="61" t="s">
        <v>4</v>
      </c>
      <c r="D157" s="64"/>
      <c r="F157" s="80" t="str">
        <f t="shared" si="145"/>
        <v/>
      </c>
      <c r="G157" s="81" t="str">
        <f t="shared" ca="1" si="146"/>
        <v>AMD Ryzen 5</v>
      </c>
      <c r="H157" s="81" t="str">
        <f t="shared" ca="1" si="146"/>
        <v>AMD Ryzen 5</v>
      </c>
      <c r="I157" s="120" t="str">
        <f t="shared" ca="1" si="146"/>
        <v>AMD Ryzen 7</v>
      </c>
      <c r="J157" s="62"/>
      <c r="K157" s="196">
        <f t="shared" ca="1" si="120"/>
        <v>0</v>
      </c>
      <c r="L157" s="185" t="b">
        <f t="shared" si="121"/>
        <v>1</v>
      </c>
      <c r="M157" s="185" t="s">
        <v>167</v>
      </c>
      <c r="N157" s="185" t="e">
        <f t="shared" ca="1" si="122"/>
        <v>#N/A</v>
      </c>
      <c r="O157" s="196" cm="1">
        <f t="array" aca="1" ref="O157" ca="1">MIN(IF(($BY$153:$BY$176=M157)*($AQ$153:$AQ$176=$O$150),$Z$153:$Z$176))</f>
        <v>0</v>
      </c>
      <c r="P157" s="197"/>
      <c r="Q157" s="185">
        <f t="shared" si="123"/>
        <v>0</v>
      </c>
      <c r="R157" s="185">
        <f t="shared" si="124"/>
        <v>0</v>
      </c>
      <c r="S157" s="185">
        <f t="shared" si="125"/>
        <v>0</v>
      </c>
      <c r="T157" s="185">
        <f t="shared" si="126"/>
        <v>0</v>
      </c>
      <c r="U157" s="185">
        <f t="shared" si="127"/>
        <v>0</v>
      </c>
      <c r="V157" s="185">
        <f t="shared" si="128"/>
        <v>0</v>
      </c>
      <c r="W157" s="185">
        <f t="shared" si="129"/>
        <v>0</v>
      </c>
      <c r="X157" s="185">
        <f t="shared" si="130"/>
        <v>0</v>
      </c>
      <c r="Y157" s="185">
        <f t="shared" si="131"/>
        <v>0</v>
      </c>
      <c r="Z157" s="196">
        <f t="shared" ca="1" si="132"/>
        <v>11724</v>
      </c>
      <c r="AA157" s="185" t="str">
        <f t="shared" ca="1" si="133"/>
        <v>Offererad produktnr. 01Atea Sverige AB</v>
      </c>
      <c r="AB157" s="185"/>
      <c r="AC157" s="185" t="b">
        <f ca="1">IFERROR(IF(D157="",TRUE,
IF(OR(D157=$CB$12,D157=$CB$13),IF(LEFT(AS157,FIND(" ",AS157)-1)=D157,TRUE,FALSE),
IF(OFFSET(Processor!$AB$1,MATCH($AS157,Processor!$AA$2:$AA$23,0),MATCH(LEFT(D157,FIND(" ",D157)-1),Processor!$AC$1:$AG$1,0))&gt;=
OFFSET(Processor!$AB$1,MATCH(D157,Processor!$AA$2:$AA$23,0),MATCH(LEFT(D157,FIND(" ",D157)-1),Processor!$AC$1:$AG$1,0)),TRUE,FALSE))),FALSE)</f>
        <v>1</v>
      </c>
      <c r="AD157" s="185" t="b">
        <f t="shared" si="134"/>
        <v>1</v>
      </c>
      <c r="AE157" s="185" t="b">
        <f t="shared" si="135"/>
        <v>1</v>
      </c>
      <c r="AF157" s="185" t="b">
        <f>IF($D$155="",TRUE,IF(COUNTIF(Processor!$I$2:$I$9,$D$155)&gt;0,AND(AV157&gt;INDEX(Processor!$J$2:$J$9,MATCH($D$155,Processor!$I$2:$I$9,0)),AV157&lt;INDEX(Processor!$K$2:$K$9,MATCH($D$155,Processor!$I$2:$I$9,0))),IF(AV157=$D$155,TRUE,FALSE)))</f>
        <v>1</v>
      </c>
      <c r="AG157" s="185" t="b">
        <f t="shared" si="136"/>
        <v>1</v>
      </c>
      <c r="AH157" s="185" t="b">
        <f t="shared" si="137"/>
        <v>1</v>
      </c>
      <c r="AI157" s="185" t="b">
        <f t="shared" si="138"/>
        <v>1</v>
      </c>
      <c r="AJ157" s="185" t="b">
        <f t="shared" si="139"/>
        <v>1</v>
      </c>
      <c r="AK157" s="185" t="b">
        <f t="shared" si="140"/>
        <v>1</v>
      </c>
      <c r="AL157" s="185" t="b">
        <f>IFERROR(IF($D166="",TRUE,IF(MID(BC157,LEN(BC157)-2,1)*1&gt;=MID($D166,LEN($D166)-2,1)*1,TRUE,FALSE)),FALSE)</f>
        <v>1</v>
      </c>
      <c r="AM157" s="185" t="b">
        <f>IF(D165="",TRUE,IF(BB157&gt;=D165,TRUE,FALSE))</f>
        <v>1</v>
      </c>
      <c r="AN157" s="185"/>
      <c r="AO157" s="185"/>
      <c r="AP157" s="185" t="s">
        <v>186</v>
      </c>
      <c r="AQ157" s="185">
        <v>1</v>
      </c>
      <c r="AR157" s="185" t="str">
        <f t="shared" ca="1" si="141"/>
        <v>1920x1080</v>
      </c>
      <c r="AS157" s="185" t="str">
        <f t="shared" ca="1" si="141"/>
        <v>Intel i5 Gen 13</v>
      </c>
      <c r="AT157" s="185">
        <f t="shared" ca="1" si="141"/>
        <v>16</v>
      </c>
      <c r="AU157" s="185">
        <f t="shared" ca="1" si="141"/>
        <v>256</v>
      </c>
      <c r="AV157" s="185">
        <f t="shared" ca="1" si="141"/>
        <v>14</v>
      </c>
      <c r="AW157" s="185">
        <f t="shared" ca="1" si="141"/>
        <v>4</v>
      </c>
      <c r="AX157" s="185">
        <f t="shared" ca="1" si="141"/>
        <v>2</v>
      </c>
      <c r="AY157" s="185" t="str">
        <f t="shared" ca="1" si="141"/>
        <v>Ja, HDMI-port finns</v>
      </c>
      <c r="AZ157" s="185" t="str">
        <f t="shared" ca="1" si="141"/>
        <v>802.11a/b/g/n/ac/ax</v>
      </c>
      <c r="BA157" s="185">
        <f t="shared" ca="1" si="141"/>
        <v>5.2</v>
      </c>
      <c r="BB157" s="185">
        <f t="shared" ca="1" si="142"/>
        <v>8</v>
      </c>
      <c r="BC157" s="185" t="str">
        <f t="shared" ca="1" si="142"/>
        <v>Version 8.0</v>
      </c>
      <c r="BD157" s="185" t="str">
        <f t="shared" ca="1" si="142"/>
        <v>Ja</v>
      </c>
      <c r="BE157" s="185" t="str">
        <f t="shared" ca="1" si="142"/>
        <v>Windows 11 Pro</v>
      </c>
      <c r="BF157" s="185" t="str">
        <f t="shared" ca="1" si="142"/>
        <v>Elitebook 640 G10</v>
      </c>
      <c r="BG157" s="185">
        <f t="shared" ca="1" si="142"/>
        <v>11724</v>
      </c>
      <c r="BH157" s="192">
        <f t="shared" ca="1" si="142"/>
        <v>134</v>
      </c>
      <c r="BI157" s="192">
        <f t="shared" ca="1" si="142"/>
        <v>449</v>
      </c>
      <c r="BJ157" s="192">
        <f t="shared" ca="1" si="142"/>
        <v>241</v>
      </c>
      <c r="BK157" s="192">
        <f t="shared" ca="1" si="142"/>
        <v>1788</v>
      </c>
      <c r="BL157" s="192">
        <f t="shared" ca="1" si="143"/>
        <v>706</v>
      </c>
      <c r="BM157" s="192">
        <f t="shared" ca="1" si="143"/>
        <v>120</v>
      </c>
      <c r="BN157" s="192">
        <f t="shared" ca="1" si="143"/>
        <v>85</v>
      </c>
      <c r="BO157" s="192">
        <f t="shared" ca="1" si="143"/>
        <v>100</v>
      </c>
      <c r="BP157" s="192" t="str">
        <f t="shared" ca="1" si="143"/>
        <v>DELTACO</v>
      </c>
      <c r="BQ157" s="192" t="str">
        <f t="shared" ca="1" si="143"/>
        <v>Targus</v>
      </c>
      <c r="BR157" s="192" t="str">
        <f t="shared" ca="1" si="143"/>
        <v>HP</v>
      </c>
      <c r="BS157" s="192" t="str">
        <f t="shared" ca="1" si="143"/>
        <v>HP</v>
      </c>
      <c r="BT157" s="192" t="str">
        <f t="shared" ca="1" si="143"/>
        <v>Fodral för bärbar dator</v>
      </c>
      <c r="BU157" s="192" t="str">
        <f t="shared" ca="1" si="143"/>
        <v>Targus Privacy Screen 14" Widescreen</v>
      </c>
      <c r="BV157" s="192" t="str">
        <f t="shared" ca="1" si="143"/>
        <v>HP 65W Smart AC Adapter</v>
      </c>
      <c r="BW157" s="192" t="str">
        <f t="shared" ca="1" si="143"/>
        <v>HP USB-C Dock G5 Essential</v>
      </c>
      <c r="BX157" s="192"/>
      <c r="BY157" s="192" t="str">
        <f t="shared" ca="1" si="144"/>
        <v>Atea Sverige AB</v>
      </c>
      <c r="BZ157" s="192" t="str">
        <f t="shared" ca="1" si="144"/>
        <v>HP</v>
      </c>
      <c r="CA157" s="185"/>
      <c r="CB157" s="185" t="s">
        <v>66</v>
      </c>
      <c r="CC157" s="185"/>
      <c r="CD157" s="185"/>
      <c r="CE157" s="185"/>
      <c r="CF157" s="185"/>
      <c r="CG157" s="185"/>
      <c r="CH157" s="185"/>
      <c r="CI157" s="185"/>
      <c r="CJ157" s="185"/>
      <c r="CK157" s="185"/>
      <c r="CL157" s="185"/>
      <c r="CM157" s="185"/>
      <c r="CN157" s="185"/>
    </row>
    <row r="158" spans="2:92" ht="22.5" customHeight="1" outlineLevel="1" x14ac:dyDescent="0.35">
      <c r="C158" s="61" t="s">
        <v>119</v>
      </c>
      <c r="D158" s="64"/>
      <c r="F158" s="80" t="str">
        <f t="shared" si="145"/>
        <v/>
      </c>
      <c r="G158" s="81">
        <f t="shared" ca="1" si="146"/>
        <v>8</v>
      </c>
      <c r="H158" s="81">
        <f t="shared" ca="1" si="146"/>
        <v>8</v>
      </c>
      <c r="I158" s="120">
        <f t="shared" ca="1" si="146"/>
        <v>16</v>
      </c>
      <c r="J158" s="62"/>
      <c r="K158" s="196">
        <f t="shared" ca="1" si="120"/>
        <v>0</v>
      </c>
      <c r="L158" s="185" t="b">
        <f t="shared" si="121"/>
        <v>1</v>
      </c>
      <c r="M158" s="185" t="s">
        <v>546</v>
      </c>
      <c r="N158" s="185" t="str">
        <f t="shared" ca="1" si="122"/>
        <v>Offererad produktnr. 01Qlosr Göteborg AB</v>
      </c>
      <c r="O158" s="196" cm="1">
        <f t="array" aca="1" ref="O158" ca="1">MIN(IF(($BY$153:$BY$176=M158)*($AQ$153:$AQ$176=$O$150),$Z$153:$Z$176))</f>
        <v>6420</v>
      </c>
      <c r="P158" s="197"/>
      <c r="Q158" s="185">
        <f t="shared" si="123"/>
        <v>0</v>
      </c>
      <c r="R158" s="185">
        <f t="shared" si="124"/>
        <v>0</v>
      </c>
      <c r="S158" s="185">
        <f t="shared" si="125"/>
        <v>0</v>
      </c>
      <c r="T158" s="185">
        <f t="shared" si="126"/>
        <v>0</v>
      </c>
      <c r="U158" s="185">
        <f t="shared" si="127"/>
        <v>0</v>
      </c>
      <c r="V158" s="185">
        <f t="shared" si="128"/>
        <v>0</v>
      </c>
      <c r="W158" s="185">
        <f t="shared" si="129"/>
        <v>0</v>
      </c>
      <c r="X158" s="185">
        <f t="shared" si="130"/>
        <v>0</v>
      </c>
      <c r="Y158" s="185">
        <f t="shared" si="131"/>
        <v>0</v>
      </c>
      <c r="Z158" s="196">
        <f t="shared" ca="1" si="132"/>
        <v>14238</v>
      </c>
      <c r="AA158" s="185" t="str">
        <f t="shared" ca="1" si="133"/>
        <v>Offererad produktnr. 02Atea Sverige AB</v>
      </c>
      <c r="AB158" s="185"/>
      <c r="AC158" s="185" t="b">
        <f ca="1">IFERROR(IF(D157="",TRUE,
IF(OR(D157=$CB$12,D157=$CB$13),IF(LEFT(AS158,FIND(" ",AS158)-1)=D157,TRUE,FALSE),
IF(OFFSET(Processor!$AB$1,MATCH($AS158,Processor!$AA$2:$AA$23,0),MATCH(LEFT(D157,FIND(" ",D157)-1),Processor!$AC$1:$AG$1,0))&gt;=
OFFSET(Processor!$AB$1,MATCH(D157,Processor!$AA$2:$AA$23,0),MATCH(LEFT(D157,FIND(" ",D157)-1),Processor!$AC$1:$AG$1,0)),TRUE,FALSE))),FALSE)</f>
        <v>1</v>
      </c>
      <c r="AD158" s="185" t="b">
        <f t="shared" si="134"/>
        <v>1</v>
      </c>
      <c r="AE158" s="185" t="b">
        <f t="shared" si="135"/>
        <v>1</v>
      </c>
      <c r="AF158" s="185" t="b">
        <f>IF($D$155="",TRUE,IF(COUNTIF(Processor!$I$2:$I$9,$D$155)&gt;0,AND(AV158&gt;INDEX(Processor!$J$2:$J$9,MATCH($D$155,Processor!$I$2:$I$9,0)),AV158&lt;INDEX(Processor!$K$2:$K$9,MATCH($D$155,Processor!$I$2:$I$9,0))),IF(AV158=$D$155,TRUE,FALSE)))</f>
        <v>1</v>
      </c>
      <c r="AG158" s="185" t="b">
        <f t="shared" si="136"/>
        <v>1</v>
      </c>
      <c r="AH158" s="185" t="b">
        <f t="shared" si="137"/>
        <v>1</v>
      </c>
      <c r="AI158" s="185" t="b">
        <f t="shared" si="138"/>
        <v>1</v>
      </c>
      <c r="AJ158" s="185" t="b">
        <f t="shared" si="139"/>
        <v>1</v>
      </c>
      <c r="AK158" s="185" t="b">
        <f t="shared" si="140"/>
        <v>1</v>
      </c>
      <c r="AL158" s="185" t="b">
        <f>IFERROR(IF($D166="",TRUE,IF(MID(BC158,LEN(BC158)-2,1)*1&gt;=MID($D166,LEN($D166)-2,1)*1,TRUE,FALSE)),FALSE)</f>
        <v>1</v>
      </c>
      <c r="AM158" s="185" t="b">
        <f>IF(D165="",TRUE,IF(BB158&gt;=D165,TRUE,FALSE))</f>
        <v>1</v>
      </c>
      <c r="AN158" s="185"/>
      <c r="AO158" s="185"/>
      <c r="AP158" s="185" t="s">
        <v>187</v>
      </c>
      <c r="AQ158" s="185">
        <v>1</v>
      </c>
      <c r="AR158" s="185" t="str">
        <f t="shared" ca="1" si="141"/>
        <v>1920x1200</v>
      </c>
      <c r="AS158" s="185" t="str">
        <f t="shared" ca="1" si="141"/>
        <v>Intel i5 Gen 13</v>
      </c>
      <c r="AT158" s="185">
        <f t="shared" ca="1" si="141"/>
        <v>16</v>
      </c>
      <c r="AU158" s="185">
        <f t="shared" ca="1" si="141"/>
        <v>256</v>
      </c>
      <c r="AV158" s="185">
        <f t="shared" ca="1" si="141"/>
        <v>14</v>
      </c>
      <c r="AW158" s="185">
        <f t="shared" ca="1" si="141"/>
        <v>4</v>
      </c>
      <c r="AX158" s="185">
        <f t="shared" ca="1" si="141"/>
        <v>2</v>
      </c>
      <c r="AY158" s="185" t="str">
        <f t="shared" ca="1" si="141"/>
        <v>Ja, HDMI-port finns</v>
      </c>
      <c r="AZ158" s="185" t="str">
        <f t="shared" ca="1" si="141"/>
        <v>802.11a/b/g/n/ac/ax</v>
      </c>
      <c r="BA158" s="185">
        <f t="shared" ca="1" si="141"/>
        <v>5.3</v>
      </c>
      <c r="BB158" s="185">
        <f t="shared" ca="1" si="142"/>
        <v>8</v>
      </c>
      <c r="BC158" s="185" t="str">
        <f t="shared" ca="1" si="142"/>
        <v>Version 8.0</v>
      </c>
      <c r="BD158" s="185" t="str">
        <f t="shared" ca="1" si="142"/>
        <v>Ja</v>
      </c>
      <c r="BE158" s="185" t="str">
        <f t="shared" ca="1" si="142"/>
        <v>Windows 11 Pro</v>
      </c>
      <c r="BF158" s="185" t="str">
        <f t="shared" ca="1" si="142"/>
        <v>Elitebook 840 G10</v>
      </c>
      <c r="BG158" s="185">
        <f t="shared" ca="1" si="142"/>
        <v>14238</v>
      </c>
      <c r="BH158" s="192">
        <f t="shared" ca="1" si="142"/>
        <v>134</v>
      </c>
      <c r="BI158" s="192">
        <f t="shared" ca="1" si="142"/>
        <v>449</v>
      </c>
      <c r="BJ158" s="192">
        <f t="shared" ca="1" si="142"/>
        <v>241</v>
      </c>
      <c r="BK158" s="192">
        <f t="shared" ca="1" si="142"/>
        <v>1788</v>
      </c>
      <c r="BL158" s="192">
        <f t="shared" ca="1" si="143"/>
        <v>2039</v>
      </c>
      <c r="BM158" s="192">
        <f t="shared" ca="1" si="143"/>
        <v>120</v>
      </c>
      <c r="BN158" s="192">
        <f t="shared" ca="1" si="143"/>
        <v>85</v>
      </c>
      <c r="BO158" s="192">
        <f t="shared" ca="1" si="143"/>
        <v>100</v>
      </c>
      <c r="BP158" s="192" t="str">
        <f t="shared" ca="1" si="143"/>
        <v>DELTACO</v>
      </c>
      <c r="BQ158" s="192" t="str">
        <f t="shared" ca="1" si="143"/>
        <v>Targus</v>
      </c>
      <c r="BR158" s="192" t="str">
        <f t="shared" ca="1" si="143"/>
        <v>HP</v>
      </c>
      <c r="BS158" s="192" t="str">
        <f t="shared" ca="1" si="143"/>
        <v>HP</v>
      </c>
      <c r="BT158" s="192" t="str">
        <f t="shared" ca="1" si="143"/>
        <v>Fodral för bärbar dator</v>
      </c>
      <c r="BU158" s="192" t="str">
        <f t="shared" ca="1" si="143"/>
        <v>Targus Privacy Screen 14" Widescreen</v>
      </c>
      <c r="BV158" s="192" t="str">
        <f t="shared" ca="1" si="143"/>
        <v>HP 65W Smart AC Adapter</v>
      </c>
      <c r="BW158" s="192" t="str">
        <f t="shared" ca="1" si="143"/>
        <v>HP USB-C Dock G5 Essential</v>
      </c>
      <c r="BX158" s="192"/>
      <c r="BY158" s="192" t="str">
        <f t="shared" ca="1" si="144"/>
        <v>Atea Sverige AB</v>
      </c>
      <c r="BZ158" s="192" t="str">
        <f t="shared" ca="1" si="144"/>
        <v>HP</v>
      </c>
      <c r="CA158" s="185"/>
      <c r="CB158" s="185" t="s">
        <v>63</v>
      </c>
      <c r="CC158" s="185"/>
      <c r="CD158" s="185"/>
      <c r="CE158" s="185"/>
      <c r="CF158" s="185"/>
      <c r="CG158" s="185"/>
      <c r="CH158" s="185"/>
      <c r="CI158" s="185"/>
      <c r="CJ158" s="186"/>
      <c r="CK158" s="185"/>
      <c r="CL158" s="185"/>
      <c r="CM158" s="185"/>
      <c r="CN158" s="185"/>
    </row>
    <row r="159" spans="2:92" ht="22.5" customHeight="1" outlineLevel="1" x14ac:dyDescent="0.35">
      <c r="C159" s="61" t="s">
        <v>16</v>
      </c>
      <c r="D159" s="64"/>
      <c r="F159" s="80" t="str">
        <f t="shared" si="145"/>
        <v/>
      </c>
      <c r="G159" s="81">
        <f t="shared" ca="1" si="146"/>
        <v>256</v>
      </c>
      <c r="H159" s="81">
        <f t="shared" ca="1" si="146"/>
        <v>256</v>
      </c>
      <c r="I159" s="120">
        <f t="shared" ca="1" si="146"/>
        <v>512</v>
      </c>
      <c r="J159" s="62"/>
      <c r="Q159" s="185">
        <f t="shared" si="123"/>
        <v>0</v>
      </c>
      <c r="R159" s="185">
        <f t="shared" si="124"/>
        <v>0</v>
      </c>
      <c r="S159" s="185">
        <f t="shared" si="125"/>
        <v>0</v>
      </c>
      <c r="T159" s="185">
        <f t="shared" si="126"/>
        <v>0</v>
      </c>
      <c r="U159" s="185">
        <f t="shared" si="127"/>
        <v>0</v>
      </c>
      <c r="V159" s="185">
        <f t="shared" si="128"/>
        <v>0</v>
      </c>
      <c r="W159" s="185">
        <f t="shared" si="129"/>
        <v>0</v>
      </c>
      <c r="X159" s="185">
        <f t="shared" si="130"/>
        <v>0</v>
      </c>
      <c r="Y159" s="185">
        <f t="shared" si="131"/>
        <v>0</v>
      </c>
      <c r="Z159" s="196">
        <f t="shared" ca="1" si="132"/>
        <v>13908</v>
      </c>
      <c r="AA159" s="185" t="str">
        <f t="shared" ca="1" si="133"/>
        <v>Offererad produktnr. 03Atea Sverige AB</v>
      </c>
      <c r="AB159" s="185"/>
      <c r="AC159" s="185" t="b">
        <f ca="1">IFERROR(IF(D157="",TRUE,
IF(OR(D157=$CB$12,D157=$CB$13),IF(LEFT(AS159,FIND(" ",AS159)-1)=D157,TRUE,FALSE),
IF(OFFSET(Processor!$AB$1,MATCH($AS159,Processor!$AA$2:$AA$23,0),MATCH(LEFT(D157,FIND(" ",D157)-1),Processor!$AC$1:$AG$1,0))&gt;=
OFFSET(Processor!$AB$1,MATCH(D157,Processor!$AA$2:$AA$23,0),MATCH(LEFT(D157,FIND(" ",D157)-1),Processor!$AC$1:$AG$1,0)),TRUE,FALSE))),FALSE)</f>
        <v>1</v>
      </c>
      <c r="AD159" s="185" t="b">
        <f t="shared" si="134"/>
        <v>1</v>
      </c>
      <c r="AE159" s="185" t="b">
        <f t="shared" si="135"/>
        <v>1</v>
      </c>
      <c r="AF159" s="185" t="b">
        <f>IF($D$155="",TRUE,IF(COUNTIF(Processor!$I$2:$I$9,$D$155)&gt;0,AND(AV159&gt;INDEX(Processor!$J$2:$J$9,MATCH($D$155,Processor!$I$2:$I$9,0)),AV159&lt;INDEX(Processor!$K$2:$K$9,MATCH($D$155,Processor!$I$2:$I$9,0))),IF(AV159=$D$155,TRUE,FALSE)))</f>
        <v>1</v>
      </c>
      <c r="AG159" s="185" t="b">
        <f t="shared" si="136"/>
        <v>1</v>
      </c>
      <c r="AH159" s="185" t="b">
        <f t="shared" si="137"/>
        <v>1</v>
      </c>
      <c r="AI159" s="185" t="b">
        <f t="shared" si="138"/>
        <v>1</v>
      </c>
      <c r="AJ159" s="185" t="b">
        <f t="shared" si="139"/>
        <v>1</v>
      </c>
      <c r="AK159" s="185" t="b">
        <f t="shared" si="140"/>
        <v>1</v>
      </c>
      <c r="AL159" s="185" t="b">
        <f>IFERROR(IF($D166="",TRUE,IF(MID(BC159,LEN(BC159)-2,1)*1&gt;=MID($D166,LEN($D166)-2,1)*1,TRUE,FALSE)),FALSE)</f>
        <v>1</v>
      </c>
      <c r="AM159" s="185" t="b">
        <f>IF(D165="",TRUE,IF(BB159&gt;=D165,TRUE,FALSE))</f>
        <v>1</v>
      </c>
      <c r="AN159" s="185"/>
      <c r="AO159" s="185"/>
      <c r="AP159" s="185" t="s">
        <v>188</v>
      </c>
      <c r="AQ159" s="185">
        <v>1</v>
      </c>
      <c r="AR159" s="185" t="str">
        <f t="shared" ca="1" si="141"/>
        <v>1920x1080</v>
      </c>
      <c r="AS159" s="185" t="str">
        <f t="shared" ca="1" si="141"/>
        <v>Intel i7 Gen 13</v>
      </c>
      <c r="AT159" s="185">
        <f t="shared" ca="1" si="141"/>
        <v>16</v>
      </c>
      <c r="AU159" s="185">
        <f t="shared" ca="1" si="141"/>
        <v>512</v>
      </c>
      <c r="AV159" s="185">
        <f t="shared" ca="1" si="141"/>
        <v>14</v>
      </c>
      <c r="AW159" s="185">
        <f t="shared" ca="1" si="141"/>
        <v>4</v>
      </c>
      <c r="AX159" s="185">
        <f t="shared" ca="1" si="141"/>
        <v>2</v>
      </c>
      <c r="AY159" s="185" t="str">
        <f t="shared" ca="1" si="141"/>
        <v>Ja, HDMI-port finns</v>
      </c>
      <c r="AZ159" s="185" t="str">
        <f t="shared" ca="1" si="141"/>
        <v>802.11a/b/g/n/ac/ax</v>
      </c>
      <c r="BA159" s="185">
        <f t="shared" ca="1" si="141"/>
        <v>5.3</v>
      </c>
      <c r="BB159" s="185">
        <f t="shared" ca="1" si="142"/>
        <v>8</v>
      </c>
      <c r="BC159" s="185" t="str">
        <f t="shared" ca="1" si="142"/>
        <v>Version 8.0</v>
      </c>
      <c r="BD159" s="185" t="str">
        <f t="shared" ca="1" si="142"/>
        <v>Ja</v>
      </c>
      <c r="BE159" s="185" t="str">
        <f t="shared" ca="1" si="142"/>
        <v>Windows 11 Pro</v>
      </c>
      <c r="BF159" s="185" t="str">
        <f t="shared" ca="1" si="142"/>
        <v>Probook 440 G10</v>
      </c>
      <c r="BG159" s="185">
        <f t="shared" ca="1" si="142"/>
        <v>13908</v>
      </c>
      <c r="BH159" s="192">
        <f t="shared" ca="1" si="142"/>
        <v>134</v>
      </c>
      <c r="BI159" s="192">
        <f t="shared" ca="1" si="142"/>
        <v>449</v>
      </c>
      <c r="BJ159" s="192">
        <f t="shared" ca="1" si="142"/>
        <v>241</v>
      </c>
      <c r="BK159" s="192">
        <f t="shared" ca="1" si="142"/>
        <v>1788</v>
      </c>
      <c r="BL159" s="192">
        <f t="shared" ca="1" si="143"/>
        <v>706</v>
      </c>
      <c r="BM159" s="192">
        <f t="shared" ca="1" si="143"/>
        <v>120</v>
      </c>
      <c r="BN159" s="192">
        <f t="shared" ca="1" si="143"/>
        <v>85</v>
      </c>
      <c r="BO159" s="192">
        <f t="shared" ca="1" si="143"/>
        <v>100</v>
      </c>
      <c r="BP159" s="192" t="str">
        <f t="shared" ca="1" si="143"/>
        <v>DELTACO</v>
      </c>
      <c r="BQ159" s="192" t="str">
        <f t="shared" ca="1" si="143"/>
        <v>Targus</v>
      </c>
      <c r="BR159" s="192" t="str">
        <f t="shared" ca="1" si="143"/>
        <v>HP</v>
      </c>
      <c r="BS159" s="192" t="str">
        <f t="shared" ca="1" si="143"/>
        <v>HP</v>
      </c>
      <c r="BT159" s="192" t="str">
        <f t="shared" ca="1" si="143"/>
        <v>Fodral för bärbar dator</v>
      </c>
      <c r="BU159" s="192" t="str">
        <f t="shared" ca="1" si="143"/>
        <v>Targus Privacy Screen 14" Widescreen</v>
      </c>
      <c r="BV159" s="192" t="str">
        <f t="shared" ca="1" si="143"/>
        <v>HP 65W Smart AC Adapter</v>
      </c>
      <c r="BW159" s="192" t="str">
        <f t="shared" ca="1" si="143"/>
        <v>HP USB-C Dock G5 Essential</v>
      </c>
      <c r="BX159" s="192"/>
      <c r="BY159" s="192" t="str">
        <f t="shared" ca="1" si="144"/>
        <v>Atea Sverige AB</v>
      </c>
      <c r="BZ159" s="192" t="str">
        <f t="shared" ca="1" si="144"/>
        <v>HP</v>
      </c>
      <c r="CA159" s="185"/>
      <c r="CB159" s="185" t="s">
        <v>569</v>
      </c>
      <c r="CC159" s="185"/>
      <c r="CD159" s="185"/>
      <c r="CE159" s="185"/>
      <c r="CF159" s="185"/>
      <c r="CG159" s="185"/>
      <c r="CH159" s="185"/>
      <c r="CI159" s="185"/>
      <c r="CJ159" s="185"/>
      <c r="CK159" s="185"/>
      <c r="CL159" s="185"/>
      <c r="CM159" s="185"/>
      <c r="CN159" s="185"/>
    </row>
    <row r="160" spans="2:92" ht="22.5" customHeight="1" outlineLevel="1" x14ac:dyDescent="0.35">
      <c r="C160" s="61" t="s">
        <v>67</v>
      </c>
      <c r="D160" s="64"/>
      <c r="F160" s="80" t="str">
        <f t="shared" si="145"/>
        <v/>
      </c>
      <c r="G160" s="81">
        <f t="shared" ca="1" si="146"/>
        <v>4</v>
      </c>
      <c r="H160" s="81">
        <f t="shared" ca="1" si="146"/>
        <v>3</v>
      </c>
      <c r="I160" s="120">
        <f t="shared" ca="1" si="146"/>
        <v>4</v>
      </c>
      <c r="J160" s="62"/>
      <c r="Q160" s="185">
        <f t="shared" si="123"/>
        <v>0</v>
      </c>
      <c r="R160" s="185">
        <f t="shared" si="124"/>
        <v>0</v>
      </c>
      <c r="S160" s="185">
        <f t="shared" si="125"/>
        <v>0</v>
      </c>
      <c r="T160" s="185">
        <f t="shared" si="126"/>
        <v>0</v>
      </c>
      <c r="U160" s="185">
        <f t="shared" si="127"/>
        <v>0</v>
      </c>
      <c r="V160" s="185">
        <f t="shared" si="128"/>
        <v>0</v>
      </c>
      <c r="W160" s="185">
        <f t="shared" si="129"/>
        <v>0</v>
      </c>
      <c r="X160" s="185">
        <f t="shared" si="130"/>
        <v>0</v>
      </c>
      <c r="Y160" s="185">
        <f t="shared" si="131"/>
        <v>0</v>
      </c>
      <c r="Z160" s="196">
        <f t="shared" ca="1" si="132"/>
        <v>15588</v>
      </c>
      <c r="AA160" s="185" t="str">
        <f t="shared" ca="1" si="133"/>
        <v>Offererad produktnr. 04Atea Sverige AB</v>
      </c>
      <c r="AB160" s="185"/>
      <c r="AC160" s="185" t="b">
        <f ca="1">IFERROR(IF(D157="",TRUE,
IF(OR(D157=$CB$12,D157=$CB$13),IF(LEFT(AS160,FIND(" ",AS160)-1)=D157,TRUE,FALSE),
IF(OFFSET(Processor!$AB$1,MATCH($AS160,Processor!$AA$2:$AA$23,0),MATCH(LEFT(D157,FIND(" ",D157)-1),Processor!$AC$1:$AG$1,0))&gt;=
OFFSET(Processor!$AB$1,MATCH(D157,Processor!$AA$2:$AA$23,0),MATCH(LEFT(D157,FIND(" ",D157)-1),Processor!$AC$1:$AG$1,0)),TRUE,FALSE))),FALSE)</f>
        <v>1</v>
      </c>
      <c r="AD160" s="185" t="b">
        <f t="shared" si="134"/>
        <v>1</v>
      </c>
      <c r="AE160" s="185" t="b">
        <f t="shared" si="135"/>
        <v>1</v>
      </c>
      <c r="AF160" s="185" t="b">
        <f>IF($D$155="",TRUE,IF(COUNTIF(Processor!$I$2:$I$9,$D$155)&gt;0,AND(AV160&gt;INDEX(Processor!$J$2:$J$9,MATCH($D$155,Processor!$I$2:$I$9,0)),AV160&lt;INDEX(Processor!$K$2:$K$9,MATCH($D$155,Processor!$I$2:$I$9,0))),IF(AV160=$D$155,TRUE,FALSE)))</f>
        <v>1</v>
      </c>
      <c r="AG160" s="185" t="b">
        <f t="shared" si="136"/>
        <v>1</v>
      </c>
      <c r="AH160" s="185" t="b">
        <f t="shared" si="137"/>
        <v>1</v>
      </c>
      <c r="AI160" s="185" t="b">
        <f t="shared" si="138"/>
        <v>1</v>
      </c>
      <c r="AJ160" s="185" t="b">
        <f t="shared" si="139"/>
        <v>1</v>
      </c>
      <c r="AK160" s="185" t="b">
        <f t="shared" si="140"/>
        <v>1</v>
      </c>
      <c r="AL160" s="185" t="b">
        <f>IFERROR(IF($D166="",TRUE,IF(MID(BC160,LEN(BC160)-2,1)*1&gt;=MID($D166,LEN($D166)-2,1)*1,TRUE,FALSE)),FALSE)</f>
        <v>1</v>
      </c>
      <c r="AM160" s="185" t="b">
        <f>IF(D165="",TRUE,IF(BB160&gt;=D165,TRUE,FALSE))</f>
        <v>1</v>
      </c>
      <c r="AN160" s="185"/>
      <c r="AO160" s="185"/>
      <c r="AP160" s="185" t="s">
        <v>189</v>
      </c>
      <c r="AQ160" s="185">
        <v>1</v>
      </c>
      <c r="AR160" s="185" t="str">
        <f t="shared" ca="1" si="141"/>
        <v>1920x1080</v>
      </c>
      <c r="AS160" s="185" t="str">
        <f t="shared" ca="1" si="141"/>
        <v>Intel i7 Gen 13</v>
      </c>
      <c r="AT160" s="185">
        <f t="shared" ca="1" si="141"/>
        <v>16</v>
      </c>
      <c r="AU160" s="185">
        <f t="shared" ca="1" si="141"/>
        <v>512</v>
      </c>
      <c r="AV160" s="185">
        <f t="shared" ca="1" si="141"/>
        <v>14</v>
      </c>
      <c r="AW160" s="185">
        <f t="shared" ca="1" si="141"/>
        <v>4</v>
      </c>
      <c r="AX160" s="185">
        <f t="shared" ca="1" si="141"/>
        <v>2</v>
      </c>
      <c r="AY160" s="185" t="str">
        <f t="shared" ca="1" si="141"/>
        <v>Ja, HDMI-port finns</v>
      </c>
      <c r="AZ160" s="185" t="str">
        <f t="shared" ca="1" si="141"/>
        <v>802.11a/b/g/n/ac/ax</v>
      </c>
      <c r="BA160" s="185">
        <f t="shared" ca="1" si="141"/>
        <v>5.2</v>
      </c>
      <c r="BB160" s="185">
        <f t="shared" ca="1" si="142"/>
        <v>8</v>
      </c>
      <c r="BC160" s="185" t="str">
        <f t="shared" ca="1" si="142"/>
        <v>Version 8.0</v>
      </c>
      <c r="BD160" s="185" t="str">
        <f t="shared" ca="1" si="142"/>
        <v>Ja</v>
      </c>
      <c r="BE160" s="185" t="str">
        <f t="shared" ca="1" si="142"/>
        <v>Windows 11 Pro</v>
      </c>
      <c r="BF160" s="185" t="str">
        <f t="shared" ca="1" si="142"/>
        <v>Elitebook 640 G10</v>
      </c>
      <c r="BG160" s="185">
        <f t="shared" ca="1" si="142"/>
        <v>15588</v>
      </c>
      <c r="BH160" s="192">
        <f t="shared" ca="1" si="142"/>
        <v>134</v>
      </c>
      <c r="BI160" s="192">
        <f t="shared" ca="1" si="142"/>
        <v>449</v>
      </c>
      <c r="BJ160" s="192">
        <f t="shared" ca="1" si="142"/>
        <v>241</v>
      </c>
      <c r="BK160" s="192">
        <f t="shared" ca="1" si="142"/>
        <v>1788</v>
      </c>
      <c r="BL160" s="192">
        <f t="shared" ca="1" si="143"/>
        <v>2039</v>
      </c>
      <c r="BM160" s="192">
        <f t="shared" ca="1" si="143"/>
        <v>120</v>
      </c>
      <c r="BN160" s="192">
        <f t="shared" ca="1" si="143"/>
        <v>85</v>
      </c>
      <c r="BO160" s="192">
        <f t="shared" ca="1" si="143"/>
        <v>100</v>
      </c>
      <c r="BP160" s="192" t="str">
        <f t="shared" ca="1" si="143"/>
        <v>DELTACO</v>
      </c>
      <c r="BQ160" s="192" t="str">
        <f t="shared" ca="1" si="143"/>
        <v>Targus</v>
      </c>
      <c r="BR160" s="192" t="str">
        <f t="shared" ca="1" si="143"/>
        <v>HP</v>
      </c>
      <c r="BS160" s="192" t="str">
        <f t="shared" ca="1" si="143"/>
        <v>HP</v>
      </c>
      <c r="BT160" s="192" t="str">
        <f t="shared" ca="1" si="143"/>
        <v>Fodral för bärbar dator</v>
      </c>
      <c r="BU160" s="192" t="str">
        <f t="shared" ca="1" si="143"/>
        <v>Targus Privacy Screen 14" Widescreen</v>
      </c>
      <c r="BV160" s="192" t="str">
        <f t="shared" ca="1" si="143"/>
        <v>HP 65W Smart AC Adapter</v>
      </c>
      <c r="BW160" s="192" t="str">
        <f t="shared" ca="1" si="143"/>
        <v>HP USB-C Dock G5 Essential</v>
      </c>
      <c r="BX160" s="192"/>
      <c r="BY160" s="192" t="str">
        <f t="shared" ca="1" si="144"/>
        <v>Atea Sverige AB</v>
      </c>
      <c r="BZ160" s="192" t="str">
        <f t="shared" ca="1" si="144"/>
        <v>HP</v>
      </c>
      <c r="CA160" s="185"/>
      <c r="CB160" s="185" t="s">
        <v>711</v>
      </c>
      <c r="CC160" s="185"/>
      <c r="CD160" s="185"/>
      <c r="CE160" s="185"/>
      <c r="CF160" s="185"/>
      <c r="CG160" s="185"/>
      <c r="CH160" s="185"/>
      <c r="CI160" s="185"/>
      <c r="CJ160" s="185"/>
      <c r="CK160" s="185"/>
      <c r="CL160" s="185"/>
      <c r="CM160" s="185"/>
      <c r="CN160" s="185"/>
    </row>
    <row r="161" spans="2:92" ht="22.5" customHeight="1" outlineLevel="1" x14ac:dyDescent="0.35">
      <c r="C161" s="61" t="s">
        <v>74</v>
      </c>
      <c r="D161" s="64"/>
      <c r="F161" s="80" t="str">
        <f t="shared" si="145"/>
        <v/>
      </c>
      <c r="G161" s="81">
        <f t="shared" ca="1" si="146"/>
        <v>1</v>
      </c>
      <c r="H161" s="81">
        <f t="shared" ca="1" si="146"/>
        <v>1</v>
      </c>
      <c r="I161" s="120">
        <f t="shared" ca="1" si="146"/>
        <v>1</v>
      </c>
      <c r="J161" s="62"/>
      <c r="Q161" s="185">
        <f t="shared" si="123"/>
        <v>0</v>
      </c>
      <c r="R161" s="185">
        <f t="shared" si="124"/>
        <v>0</v>
      </c>
      <c r="S161" s="185">
        <f t="shared" si="125"/>
        <v>0</v>
      </c>
      <c r="T161" s="185">
        <f t="shared" si="126"/>
        <v>0</v>
      </c>
      <c r="U161" s="185">
        <f t="shared" si="127"/>
        <v>0</v>
      </c>
      <c r="V161" s="185">
        <f t="shared" si="128"/>
        <v>0</v>
      </c>
      <c r="W161" s="185">
        <f t="shared" si="129"/>
        <v>0</v>
      </c>
      <c r="X161" s="185">
        <f t="shared" si="130"/>
        <v>0</v>
      </c>
      <c r="Y161" s="185">
        <f t="shared" si="131"/>
        <v>0</v>
      </c>
      <c r="Z161" s="196">
        <f t="shared" ca="1" si="132"/>
        <v>7599</v>
      </c>
      <c r="AA161" s="185" t="str">
        <f t="shared" ca="1" si="133"/>
        <v>Offererad produktnr. 01Dustin Sverige AB</v>
      </c>
      <c r="AB161" s="185"/>
      <c r="AC161" s="185" t="b">
        <f ca="1">IFERROR(IF(D157="",TRUE,
IF(OR(D157=$CB$12,D157=$CB$13),IF(LEFT(AS161,FIND(" ",AS161)-1)=D157,TRUE,FALSE),
IF(OFFSET(Processor!$AB$1,MATCH($AS161,Processor!$AA$2:$AA$23,0),MATCH(LEFT(D157,FIND(" ",D157)-1),Processor!$AC$1:$AG$1,0))&gt;=
OFFSET(Processor!$AB$1,MATCH(D157,Processor!$AA$2:$AA$23,0),MATCH(LEFT(D157,FIND(" ",D157)-1),Processor!$AC$1:$AG$1,0)),TRUE,FALSE))),FALSE)</f>
        <v>1</v>
      </c>
      <c r="AD161" s="185" t="b">
        <f t="shared" si="134"/>
        <v>1</v>
      </c>
      <c r="AE161" s="185" t="b">
        <f t="shared" si="135"/>
        <v>1</v>
      </c>
      <c r="AF161" s="185" t="b">
        <f>IF($D$155="",TRUE,IF(COUNTIF(Processor!$I$2:$I$9,$D$155)&gt;0,AND(AV161&gt;INDEX(Processor!$J$2:$J$9,MATCH($D$155,Processor!$I$2:$I$9,0)),AV161&lt;INDEX(Processor!$K$2:$K$9,MATCH($D$155,Processor!$I$2:$I$9,0))),IF(AV161=$D$155,TRUE,FALSE)))</f>
        <v>1</v>
      </c>
      <c r="AG161" s="185" t="b">
        <f t="shared" si="136"/>
        <v>1</v>
      </c>
      <c r="AH161" s="185" t="b">
        <f t="shared" si="137"/>
        <v>1</v>
      </c>
      <c r="AI161" s="185" t="b">
        <f t="shared" si="138"/>
        <v>1</v>
      </c>
      <c r="AJ161" s="185" t="b">
        <f t="shared" si="139"/>
        <v>1</v>
      </c>
      <c r="AK161" s="185" t="b">
        <f t="shared" si="140"/>
        <v>1</v>
      </c>
      <c r="AL161" s="185" t="b">
        <f>IFERROR(IF($D166="",TRUE,IF(MID(BC161,LEN(BC161)-2,1)*1&gt;=MID($D166,LEN($D166)-2,1)*1,TRUE,FALSE)),FALSE)</f>
        <v>1</v>
      </c>
      <c r="AM161" s="185" t="b">
        <f>IF(D165="",TRUE,IF(BB161&gt;=D165,TRUE,FALSE))</f>
        <v>1</v>
      </c>
      <c r="AN161" s="185"/>
      <c r="AO161" s="185"/>
      <c r="AP161" s="185" t="s">
        <v>174</v>
      </c>
      <c r="AQ161" s="185">
        <v>1</v>
      </c>
      <c r="AR161" s="185" t="str">
        <f t="shared" ca="1" si="141"/>
        <v>1920x1080</v>
      </c>
      <c r="AS161" s="185" t="str">
        <f t="shared" ca="1" si="141"/>
        <v>AMD Ryzen 5</v>
      </c>
      <c r="AT161" s="185">
        <f t="shared" ca="1" si="141"/>
        <v>8</v>
      </c>
      <c r="AU161" s="185">
        <f t="shared" ca="1" si="141"/>
        <v>256</v>
      </c>
      <c r="AV161" s="185">
        <f t="shared" ca="1" si="141"/>
        <v>14</v>
      </c>
      <c r="AW161" s="185">
        <f t="shared" ca="1" si="141"/>
        <v>3</v>
      </c>
      <c r="AX161" s="185">
        <f t="shared" ca="1" si="141"/>
        <v>1</v>
      </c>
      <c r="AY161" s="185" t="str">
        <f t="shared" ca="1" si="141"/>
        <v>Ja, HDMI-port finns</v>
      </c>
      <c r="AZ161" s="185" t="str">
        <f t="shared" ca="1" si="141"/>
        <v>802.11a/b/g/n/ac/ax</v>
      </c>
      <c r="BA161" s="185">
        <f t="shared" ca="1" si="141"/>
        <v>5.3</v>
      </c>
      <c r="BB161" s="185">
        <f t="shared" ca="1" si="142"/>
        <v>11</v>
      </c>
      <c r="BC161" s="185" t="str">
        <f t="shared" ca="1" si="142"/>
        <v>Version 8.0</v>
      </c>
      <c r="BD161" s="185" t="str">
        <f t="shared" ca="1" si="142"/>
        <v>Ja</v>
      </c>
      <c r="BE161" s="185" t="str">
        <f t="shared" ca="1" si="142"/>
        <v>Windows 11 Pro</v>
      </c>
      <c r="BF161" s="185" t="str">
        <f t="shared" ca="1" si="142"/>
        <v>ProBook 445 G10</v>
      </c>
      <c r="BG161" s="185">
        <f t="shared" ca="1" si="142"/>
        <v>7599</v>
      </c>
      <c r="BH161" s="192">
        <f t="shared" ca="1" si="142"/>
        <v>123</v>
      </c>
      <c r="BI161" s="192">
        <f t="shared" ca="1" si="142"/>
        <v>425</v>
      </c>
      <c r="BJ161" s="192">
        <f t="shared" ca="1" si="142"/>
        <v>149</v>
      </c>
      <c r="BK161" s="192">
        <f t="shared" ca="1" si="142"/>
        <v>1185</v>
      </c>
      <c r="BL161" s="192">
        <f t="shared" ca="1" si="143"/>
        <v>450</v>
      </c>
      <c r="BM161" s="192">
        <f t="shared" ca="1" si="143"/>
        <v>133</v>
      </c>
      <c r="BN161" s="192">
        <f t="shared" ca="1" si="143"/>
        <v>20</v>
      </c>
      <c r="BO161" s="192">
        <f t="shared" ca="1" si="143"/>
        <v>20</v>
      </c>
      <c r="BP161" s="192" t="str">
        <f t="shared" ca="1" si="143"/>
        <v>Cirafon</v>
      </c>
      <c r="BQ161" s="192" t="str">
        <f t="shared" ca="1" si="143"/>
        <v>Cirafon</v>
      </c>
      <c r="BR161" s="192" t="str">
        <f t="shared" ca="1" si="143"/>
        <v>HP</v>
      </c>
      <c r="BS161" s="192" t="str">
        <f t="shared" ca="1" si="143"/>
        <v>HP</v>
      </c>
      <c r="BT161" s="192" t="str">
        <f t="shared" ca="1" si="143"/>
        <v>LSN8696R2-14.1</v>
      </c>
      <c r="BU161" s="192" t="str">
        <f t="shared" ca="1" si="143"/>
        <v>DPF14-9</v>
      </c>
      <c r="BV161" s="192" t="str">
        <f t="shared" ca="1" si="143"/>
        <v xml:space="preserve">1MZ01AA </v>
      </c>
      <c r="BW161" s="192" t="str">
        <f t="shared" ca="1" si="143"/>
        <v>72C71AA</v>
      </c>
      <c r="BX161" s="192"/>
      <c r="BY161" s="192" t="str">
        <f t="shared" ca="1" si="144"/>
        <v>Dustin Sverige AB</v>
      </c>
      <c r="BZ161" s="192" t="str">
        <f t="shared" ca="1" si="144"/>
        <v>HP</v>
      </c>
      <c r="CA161" s="185"/>
      <c r="CB161" s="185" t="s">
        <v>64</v>
      </c>
      <c r="CC161" s="185"/>
      <c r="CD161" s="185"/>
      <c r="CE161" s="185"/>
      <c r="CF161" s="185"/>
      <c r="CG161" s="185"/>
      <c r="CH161" s="185"/>
      <c r="CI161" s="185"/>
      <c r="CJ161" s="185"/>
      <c r="CK161" s="185"/>
      <c r="CL161" s="185"/>
      <c r="CM161" s="185"/>
      <c r="CN161" s="185"/>
    </row>
    <row r="162" spans="2:92" ht="22.5" customHeight="1" outlineLevel="1" x14ac:dyDescent="0.35">
      <c r="C162" s="61" t="s">
        <v>97</v>
      </c>
      <c r="D162" s="64"/>
      <c r="F162" s="80" t="str">
        <f t="shared" si="145"/>
        <v/>
      </c>
      <c r="G162" s="81" t="str">
        <f t="shared" ca="1" si="146"/>
        <v>Ja, HDMI-port finns</v>
      </c>
      <c r="H162" s="81" t="str">
        <f t="shared" ca="1" si="146"/>
        <v>Ja, HDMI-port finns</v>
      </c>
      <c r="I162" s="120" t="str">
        <f t="shared" ca="1" si="146"/>
        <v>Ja, HDMI-port finns</v>
      </c>
      <c r="J162" s="62"/>
      <c r="Q162" s="185">
        <f t="shared" si="123"/>
        <v>0</v>
      </c>
      <c r="R162" s="185">
        <f t="shared" si="124"/>
        <v>0</v>
      </c>
      <c r="S162" s="185">
        <f t="shared" si="125"/>
        <v>0</v>
      </c>
      <c r="T162" s="185">
        <f t="shared" si="126"/>
        <v>0</v>
      </c>
      <c r="U162" s="185">
        <f t="shared" si="127"/>
        <v>0</v>
      </c>
      <c r="V162" s="185">
        <f t="shared" si="128"/>
        <v>0</v>
      </c>
      <c r="W162" s="185">
        <f t="shared" si="129"/>
        <v>0</v>
      </c>
      <c r="X162" s="185">
        <f t="shared" si="130"/>
        <v>0</v>
      </c>
      <c r="Y162" s="185">
        <f t="shared" si="131"/>
        <v>0</v>
      </c>
      <c r="Z162" s="196">
        <f t="shared" ca="1" si="132"/>
        <v>11900</v>
      </c>
      <c r="AA162" s="185" t="str">
        <f t="shared" ca="1" si="133"/>
        <v>Offererad produktnr. 02Dustin Sverige AB</v>
      </c>
      <c r="AB162" s="185"/>
      <c r="AC162" s="198" t="b">
        <f ca="1">IFERROR(IF(D157="",TRUE,
IF(OR(D157=$CB$12,D157=$CB$13),IF(LEFT(AS162,FIND(" ",AS162)-1)=D157,TRUE,FALSE),
IF(OFFSET(Processor!$AB$1,MATCH($AS162,Processor!$AA$2:$AA$23,0),MATCH(LEFT(D157,FIND(" ",D157)-1),Processor!$AC$1:$AG$1,0))&gt;=
OFFSET(Processor!$AB$1,MATCH(D157,Processor!$AA$2:$AA$23,0),MATCH(LEFT(D157,FIND(" ",D157)-1),Processor!$AC$1:$AG$1,0)),TRUE,FALSE))),FALSE)</f>
        <v>1</v>
      </c>
      <c r="AD162" s="185" t="b">
        <f t="shared" si="134"/>
        <v>1</v>
      </c>
      <c r="AE162" s="185" t="b">
        <f t="shared" si="135"/>
        <v>1</v>
      </c>
      <c r="AF162" s="185" t="b">
        <f>IF($D$155="",TRUE,IF(COUNTIF(Processor!$I$2:$I$9,$D$155)&gt;0,AND(AV162&gt;INDEX(Processor!$J$2:$J$9,MATCH($D$155,Processor!$I$2:$I$9,0)),AV162&lt;INDEX(Processor!$K$2:$K$9,MATCH($D$155,Processor!$I$2:$I$9,0))),IF(AV162=$D$155,TRUE,FALSE)))</f>
        <v>1</v>
      </c>
      <c r="AG162" s="185" t="b">
        <f t="shared" si="136"/>
        <v>1</v>
      </c>
      <c r="AH162" s="185" t="b">
        <f t="shared" si="137"/>
        <v>1</v>
      </c>
      <c r="AI162" s="185" t="b">
        <f t="shared" si="138"/>
        <v>1</v>
      </c>
      <c r="AJ162" s="185" t="b">
        <f t="shared" si="139"/>
        <v>1</v>
      </c>
      <c r="AK162" s="185" t="b">
        <f t="shared" si="140"/>
        <v>1</v>
      </c>
      <c r="AL162" s="185" t="b">
        <f>IFERROR(IF($D166="",TRUE,IF(MID(BC162,LEN(BC162)-2,1)*1&gt;=MID($D166,LEN($D166)-2,1)*1,TRUE,FALSE)),FALSE)</f>
        <v>1</v>
      </c>
      <c r="AM162" s="185" t="b">
        <f>IF(D165="",TRUE,IF(BB162&gt;=D165,TRUE,FALSE))</f>
        <v>1</v>
      </c>
      <c r="AN162" s="185"/>
      <c r="AO162" s="185"/>
      <c r="AP162" s="185" t="s">
        <v>175</v>
      </c>
      <c r="AQ162" s="185">
        <v>1</v>
      </c>
      <c r="AR162" s="185" t="str">
        <f t="shared" ca="1" si="141"/>
        <v>1920x1200</v>
      </c>
      <c r="AS162" s="185" t="str">
        <f t="shared" ca="1" si="141"/>
        <v>Intel i5</v>
      </c>
      <c r="AT162" s="185">
        <f t="shared" ca="1" si="141"/>
        <v>16</v>
      </c>
      <c r="AU162" s="185">
        <f t="shared" ca="1" si="141"/>
        <v>256</v>
      </c>
      <c r="AV162" s="185">
        <f t="shared" ca="1" si="141"/>
        <v>14</v>
      </c>
      <c r="AW162" s="185">
        <f t="shared" ca="1" si="141"/>
        <v>2</v>
      </c>
      <c r="AX162" s="185">
        <f t="shared" ca="1" si="141"/>
        <v>2</v>
      </c>
      <c r="AY162" s="185" t="str">
        <f t="shared" ca="1" si="141"/>
        <v>Ja, HDMI-port finns</v>
      </c>
      <c r="AZ162" s="185" t="str">
        <f t="shared" ca="1" si="141"/>
        <v>802.11a/b/g/n/ac/ax</v>
      </c>
      <c r="BA162" s="185">
        <f t="shared" ca="1" si="141"/>
        <v>5.3</v>
      </c>
      <c r="BB162" s="185">
        <f t="shared" ca="1" si="142"/>
        <v>11</v>
      </c>
      <c r="BC162" s="185" t="str">
        <f t="shared" ca="1" si="142"/>
        <v>Version 8.0</v>
      </c>
      <c r="BD162" s="185" t="str">
        <f t="shared" ca="1" si="142"/>
        <v>Ja</v>
      </c>
      <c r="BE162" s="185" t="str">
        <f t="shared" ca="1" si="142"/>
        <v>Windows 11 Pro</v>
      </c>
      <c r="BF162" s="185" t="str">
        <f t="shared" ca="1" si="142"/>
        <v>Elitebook 840 G9</v>
      </c>
      <c r="BG162" s="185">
        <f t="shared" ca="1" si="142"/>
        <v>11900</v>
      </c>
      <c r="BH162" s="192">
        <f t="shared" ca="1" si="142"/>
        <v>123</v>
      </c>
      <c r="BI162" s="192">
        <f t="shared" ca="1" si="142"/>
        <v>425</v>
      </c>
      <c r="BJ162" s="192">
        <f t="shared" ca="1" si="142"/>
        <v>149</v>
      </c>
      <c r="BK162" s="192">
        <f t="shared" ca="1" si="142"/>
        <v>1185</v>
      </c>
      <c r="BL162" s="192">
        <f t="shared" ca="1" si="143"/>
        <v>450</v>
      </c>
      <c r="BM162" s="192">
        <f t="shared" ca="1" si="143"/>
        <v>133</v>
      </c>
      <c r="BN162" s="192">
        <f t="shared" ca="1" si="143"/>
        <v>20</v>
      </c>
      <c r="BO162" s="192">
        <f t="shared" ca="1" si="143"/>
        <v>20</v>
      </c>
      <c r="BP162" s="192" t="str">
        <f t="shared" ca="1" si="143"/>
        <v>Cirafon</v>
      </c>
      <c r="BQ162" s="192" t="str">
        <f t="shared" ca="1" si="143"/>
        <v>Cirafon</v>
      </c>
      <c r="BR162" s="192" t="str">
        <f t="shared" ca="1" si="143"/>
        <v>HP</v>
      </c>
      <c r="BS162" s="192" t="str">
        <f t="shared" ca="1" si="143"/>
        <v>HP</v>
      </c>
      <c r="BT162" s="192" t="str">
        <f t="shared" ca="1" si="143"/>
        <v>LSN8696R2-14.1</v>
      </c>
      <c r="BU162" s="192" t="str">
        <f t="shared" ca="1" si="143"/>
        <v>DPF14-9</v>
      </c>
      <c r="BV162" s="192" t="str">
        <f t="shared" ca="1" si="143"/>
        <v xml:space="preserve">1MZ01AA </v>
      </c>
      <c r="BW162" s="192" t="str">
        <f t="shared" ca="1" si="143"/>
        <v>72C71AA</v>
      </c>
      <c r="BX162" s="192"/>
      <c r="BY162" s="192" t="str">
        <f t="shared" ca="1" si="144"/>
        <v>Dustin Sverige AB</v>
      </c>
      <c r="BZ162" s="192" t="str">
        <f t="shared" ca="1" si="144"/>
        <v>HP</v>
      </c>
      <c r="CA162" s="185"/>
      <c r="CB162" s="185" t="s">
        <v>571</v>
      </c>
      <c r="CC162" s="185"/>
      <c r="CD162" s="185"/>
      <c r="CE162" s="185"/>
      <c r="CF162" s="185"/>
      <c r="CG162" s="185"/>
      <c r="CH162" s="185"/>
      <c r="CI162" s="185"/>
      <c r="CJ162" s="185"/>
      <c r="CK162" s="185"/>
      <c r="CL162" s="185"/>
      <c r="CM162" s="185"/>
      <c r="CN162" s="185"/>
    </row>
    <row r="163" spans="2:92" ht="22.5" customHeight="1" outlineLevel="1" x14ac:dyDescent="0.35">
      <c r="C163" s="61" t="s">
        <v>103</v>
      </c>
      <c r="D163" s="64"/>
      <c r="F163" s="80" t="str">
        <f t="shared" si="145"/>
        <v/>
      </c>
      <c r="G163" s="81" t="str">
        <f t="shared" ca="1" si="146"/>
        <v>802.11a/b/g/n/ac/ax</v>
      </c>
      <c r="H163" s="81" t="str">
        <f t="shared" ca="1" si="146"/>
        <v>802.11a/b/g/n/ac/ax</v>
      </c>
      <c r="I163" s="120" t="str">
        <f t="shared" ca="1" si="146"/>
        <v>802.11a/b/g/n/ac/ax</v>
      </c>
      <c r="J163" s="62"/>
      <c r="Q163" s="185">
        <f t="shared" si="123"/>
        <v>0</v>
      </c>
      <c r="R163" s="185">
        <f t="shared" si="124"/>
        <v>0</v>
      </c>
      <c r="S163" s="185">
        <f t="shared" si="125"/>
        <v>0</v>
      </c>
      <c r="T163" s="185">
        <f t="shared" si="126"/>
        <v>0</v>
      </c>
      <c r="U163" s="185">
        <f t="shared" si="127"/>
        <v>0</v>
      </c>
      <c r="V163" s="185">
        <f t="shared" si="128"/>
        <v>0</v>
      </c>
      <c r="W163" s="185">
        <f t="shared" si="129"/>
        <v>0</v>
      </c>
      <c r="X163" s="185">
        <f t="shared" si="130"/>
        <v>0</v>
      </c>
      <c r="Y163" s="185">
        <f t="shared" si="131"/>
        <v>0</v>
      </c>
      <c r="Z163" s="196">
        <f t="shared" ca="1" si="132"/>
        <v>10490</v>
      </c>
      <c r="AA163" s="185" t="str">
        <f t="shared" ca="1" si="133"/>
        <v>Offererad produktnr. 03Dustin Sverige AB</v>
      </c>
      <c r="AB163" s="185"/>
      <c r="AC163" s="185" t="b">
        <f ca="1">IFERROR(IF(D157="",TRUE,
IF(OR(D157=$CB$12,D157=$CB$13),IF(LEFT(AS163,FIND(" ",AS163)-1)=D157,TRUE,FALSE),
IF(OFFSET(Processor!$AB$1,MATCH($AS163,Processor!$AA$2:$AA$23,0),MATCH(LEFT(D157,FIND(" ",D157)-1),Processor!$AC$1:$AG$1,0))&gt;=
OFFSET(Processor!$AB$1,MATCH(D157,Processor!$AA$2:$AA$23,0),MATCH(LEFT(D157,FIND(" ",D157)-1),Processor!$AC$1:$AG$1,0)),TRUE,FALSE))),FALSE)</f>
        <v>1</v>
      </c>
      <c r="AD163" s="185" t="b">
        <f t="shared" si="134"/>
        <v>1</v>
      </c>
      <c r="AE163" s="185" t="b">
        <f t="shared" si="135"/>
        <v>1</v>
      </c>
      <c r="AF163" s="185" t="b">
        <f>IF($D$155="",TRUE,IF(COUNTIF(Processor!$I$2:$I$9,$D$155)&gt;0,AND(AV163&gt;INDEX(Processor!$J$2:$J$9,MATCH($D$155,Processor!$I$2:$I$9,0)),AV163&lt;INDEX(Processor!$K$2:$K$9,MATCH($D$155,Processor!$I$2:$I$9,0))),IF(AV163=$D$155,TRUE,FALSE)))</f>
        <v>1</v>
      </c>
      <c r="AG163" s="185" t="b">
        <f t="shared" si="136"/>
        <v>1</v>
      </c>
      <c r="AH163" s="185" t="b">
        <f t="shared" si="137"/>
        <v>1</v>
      </c>
      <c r="AI163" s="185" t="b">
        <f t="shared" si="138"/>
        <v>1</v>
      </c>
      <c r="AJ163" s="185" t="b">
        <f t="shared" si="139"/>
        <v>1</v>
      </c>
      <c r="AK163" s="185" t="b">
        <f t="shared" si="140"/>
        <v>1</v>
      </c>
      <c r="AL163" s="185" t="b">
        <f>IFERROR(IF($D166="",TRUE,IF(MID(BC163,LEN(BC163)-2,1)*1&gt;=MID($D166,LEN($D166)-2,1)*1,TRUE,FALSE)),FALSE)</f>
        <v>1</v>
      </c>
      <c r="AM163" s="185" t="b">
        <f>IF(D165="",TRUE,IF(BB163&gt;=D165,TRUE,FALSE))</f>
        <v>1</v>
      </c>
      <c r="AN163" s="185"/>
      <c r="AO163" s="185"/>
      <c r="AP163" s="185" t="s">
        <v>176</v>
      </c>
      <c r="AQ163" s="185">
        <v>1</v>
      </c>
      <c r="AR163" s="185" t="str">
        <f t="shared" ref="AR163:BA172" ca="1" si="147">IFERROR(INDEX(INDIRECT(AR$148&amp;"!$A$10:CC100000"),MATCH($AP163,INDIRECT(AR$148&amp;"!BH$10:BH100000"),0),MATCH(AR$150,INDIRECT(AR$148&amp;"!a10:CC10"),0)),"False")</f>
        <v>1920x1080</v>
      </c>
      <c r="AS163" s="185" t="str">
        <f t="shared" ca="1" si="147"/>
        <v>Intel i7 Gen 12</v>
      </c>
      <c r="AT163" s="185">
        <f t="shared" ca="1" si="147"/>
        <v>32</v>
      </c>
      <c r="AU163" s="185">
        <f t="shared" ca="1" si="147"/>
        <v>512</v>
      </c>
      <c r="AV163" s="185">
        <f t="shared" ca="1" si="147"/>
        <v>14</v>
      </c>
      <c r="AW163" s="185">
        <f t="shared" ca="1" si="147"/>
        <v>3</v>
      </c>
      <c r="AX163" s="185">
        <f t="shared" ca="1" si="147"/>
        <v>1</v>
      </c>
      <c r="AY163" s="185" t="str">
        <f t="shared" ca="1" si="147"/>
        <v>Ja, HDMI-port finns</v>
      </c>
      <c r="AZ163" s="185" t="str">
        <f t="shared" ca="1" si="147"/>
        <v>802.11a/b/g/n/ac/ax</v>
      </c>
      <c r="BA163" s="185">
        <f t="shared" ca="1" si="147"/>
        <v>5.3</v>
      </c>
      <c r="BB163" s="185">
        <f t="shared" ref="BB163:BK172" ca="1" si="148">IFERROR(INDEX(INDIRECT(BB$148&amp;"!$A$10:CC100000"),MATCH($AP163,INDIRECT(BB$148&amp;"!BH$10:BH100000"),0),MATCH(BB$150,INDIRECT(BB$148&amp;"!a10:CC10"),0)),"False")</f>
        <v>11</v>
      </c>
      <c r="BC163" s="185" t="str">
        <f t="shared" ca="1" si="148"/>
        <v>Version 8.0</v>
      </c>
      <c r="BD163" s="185" t="str">
        <f t="shared" ca="1" si="148"/>
        <v>Ja</v>
      </c>
      <c r="BE163" s="185" t="str">
        <f t="shared" ca="1" si="148"/>
        <v>Windows 11 Pro</v>
      </c>
      <c r="BF163" s="185" t="str">
        <f t="shared" ca="1" si="148"/>
        <v>ProBook 440 G9</v>
      </c>
      <c r="BG163" s="185">
        <f t="shared" ca="1" si="148"/>
        <v>10490</v>
      </c>
      <c r="BH163" s="192">
        <f t="shared" ca="1" si="148"/>
        <v>123</v>
      </c>
      <c r="BI163" s="192">
        <f t="shared" ca="1" si="148"/>
        <v>425</v>
      </c>
      <c r="BJ163" s="192">
        <f t="shared" ca="1" si="148"/>
        <v>149</v>
      </c>
      <c r="BK163" s="192">
        <f t="shared" ca="1" si="148"/>
        <v>1185</v>
      </c>
      <c r="BL163" s="192">
        <f t="shared" ref="BL163:BW172" ca="1" si="149">IFERROR(INDEX(INDIRECT(BL$148&amp;"!$A$10:CC100000"),MATCH($AP163,INDIRECT(BL$148&amp;"!BH$10:BH100000"),0),MATCH(BL$150,INDIRECT(BL$148&amp;"!a10:CC10"),0)),"False")</f>
        <v>450</v>
      </c>
      <c r="BM163" s="192">
        <f t="shared" ca="1" si="149"/>
        <v>133</v>
      </c>
      <c r="BN163" s="192">
        <f t="shared" ca="1" si="149"/>
        <v>20</v>
      </c>
      <c r="BO163" s="192">
        <f t="shared" ca="1" si="149"/>
        <v>20</v>
      </c>
      <c r="BP163" s="192" t="str">
        <f t="shared" ca="1" si="149"/>
        <v>Cirafon</v>
      </c>
      <c r="BQ163" s="192" t="str">
        <f t="shared" ca="1" si="149"/>
        <v>Cirafon</v>
      </c>
      <c r="BR163" s="192" t="str">
        <f t="shared" ca="1" si="149"/>
        <v>HP</v>
      </c>
      <c r="BS163" s="192" t="str">
        <f t="shared" ca="1" si="149"/>
        <v>HP</v>
      </c>
      <c r="BT163" s="192" t="str">
        <f t="shared" ca="1" si="149"/>
        <v>LSN8696R2-14.1</v>
      </c>
      <c r="BU163" s="192" t="str">
        <f t="shared" ca="1" si="149"/>
        <v>DPF14-9</v>
      </c>
      <c r="BV163" s="192" t="str">
        <f t="shared" ca="1" si="149"/>
        <v xml:space="preserve">1MZ01AA </v>
      </c>
      <c r="BW163" s="192" t="str">
        <f t="shared" ca="1" si="149"/>
        <v>72C71AA</v>
      </c>
      <c r="BX163" s="192"/>
      <c r="BY163" s="192" t="str">
        <f t="shared" ca="1" si="144"/>
        <v>Dustin Sverige AB</v>
      </c>
      <c r="BZ163" s="192" t="str">
        <f t="shared" ca="1" si="144"/>
        <v>HP</v>
      </c>
      <c r="CA163" s="185"/>
      <c r="CB163" s="185" t="s">
        <v>710</v>
      </c>
      <c r="CC163" s="185"/>
      <c r="CD163" s="185"/>
      <c r="CE163" s="185"/>
      <c r="CF163" s="185"/>
      <c r="CG163" s="185"/>
      <c r="CH163" s="185"/>
      <c r="CI163" s="185"/>
      <c r="CJ163" s="185"/>
      <c r="CK163" s="185"/>
      <c r="CL163" s="185"/>
      <c r="CM163" s="185"/>
      <c r="CN163" s="185"/>
    </row>
    <row r="164" spans="2:92" ht="33.75" customHeight="1" outlineLevel="1" x14ac:dyDescent="0.35">
      <c r="C164" s="61" t="s">
        <v>75</v>
      </c>
      <c r="D164" s="110"/>
      <c r="F164" s="80" t="str">
        <f t="shared" si="145"/>
        <v/>
      </c>
      <c r="G164" s="81">
        <f t="shared" ca="1" si="146"/>
        <v>5</v>
      </c>
      <c r="H164" s="81">
        <f t="shared" ca="1" si="146"/>
        <v>5.3</v>
      </c>
      <c r="I164" s="120">
        <f t="shared" ca="1" si="146"/>
        <v>5</v>
      </c>
      <c r="J164" s="62"/>
      <c r="Q164" s="185">
        <f t="shared" si="123"/>
        <v>0</v>
      </c>
      <c r="R164" s="185">
        <f t="shared" si="124"/>
        <v>0</v>
      </c>
      <c r="S164" s="185">
        <f t="shared" si="125"/>
        <v>0</v>
      </c>
      <c r="T164" s="185">
        <f t="shared" si="126"/>
        <v>0</v>
      </c>
      <c r="U164" s="185">
        <f t="shared" si="127"/>
        <v>0</v>
      </c>
      <c r="V164" s="185">
        <f t="shared" si="128"/>
        <v>0</v>
      </c>
      <c r="W164" s="185">
        <f t="shared" si="129"/>
        <v>0</v>
      </c>
      <c r="X164" s="185">
        <f t="shared" si="130"/>
        <v>0</v>
      </c>
      <c r="Y164" s="185">
        <f t="shared" si="131"/>
        <v>0</v>
      </c>
      <c r="Z164" s="196">
        <f t="shared" ca="1" si="132"/>
        <v>13790</v>
      </c>
      <c r="AA164" s="185" t="str">
        <f t="shared" ca="1" si="133"/>
        <v>Offererad produktnr. 04Dustin Sverige AB</v>
      </c>
      <c r="AB164" s="185"/>
      <c r="AC164" s="185" t="b">
        <f ca="1">IFERROR(IF(D157="",TRUE,
IF(OR(D157=$CB$12,D157=$CB$13),IF(LEFT(AS164,FIND(" ",AS164)-1)=D157,TRUE,FALSE),
IF(OFFSET(Processor!$AB$1,MATCH($AS164,Processor!$AA$2:$AA$23,0),MATCH(LEFT(D157,FIND(" ",D157)-1),Processor!$AC$1:$AG$1,0))&gt;=
OFFSET(Processor!$AB$1,MATCH(D157,Processor!$AA$2:$AA$23,0),MATCH(LEFT(D157,FIND(" ",D157)-1),Processor!$AC$1:$AG$1,0)),TRUE,FALSE))),FALSE)</f>
        <v>1</v>
      </c>
      <c r="AD164" s="185" t="b">
        <f t="shared" si="134"/>
        <v>1</v>
      </c>
      <c r="AE164" s="185" t="b">
        <f t="shared" si="135"/>
        <v>1</v>
      </c>
      <c r="AF164" s="185" t="b">
        <f>IF($D$155="",TRUE,IF(COUNTIF(Processor!$I$2:$I$9,$D$155)&gt;0,AND(AV164&gt;INDEX(Processor!$J$2:$J$9,MATCH($D$155,Processor!$I$2:$I$9,0)),AV164&lt;INDEX(Processor!$K$2:$K$9,MATCH($D$155,Processor!$I$2:$I$9,0))),IF(AV164=$D$155,TRUE,FALSE)))</f>
        <v>1</v>
      </c>
      <c r="AG164" s="185" t="b">
        <f t="shared" si="136"/>
        <v>1</v>
      </c>
      <c r="AH164" s="185" t="b">
        <f t="shared" si="137"/>
        <v>1</v>
      </c>
      <c r="AI164" s="185" t="b">
        <f t="shared" si="138"/>
        <v>1</v>
      </c>
      <c r="AJ164" s="185" t="b">
        <f t="shared" si="139"/>
        <v>1</v>
      </c>
      <c r="AK164" s="185" t="b">
        <f t="shared" si="140"/>
        <v>1</v>
      </c>
      <c r="AL164" s="185" t="b">
        <f>IFERROR(IF($D166="",TRUE,IF(MID(BC164,LEN(BC164)-2,1)*1&gt;=MID($D166,LEN($D166)-2,1)*1,TRUE,FALSE)),FALSE)</f>
        <v>1</v>
      </c>
      <c r="AM164" s="185" t="b">
        <f>IF(D165="",TRUE,IF(BB164&gt;=D165,TRUE,FALSE))</f>
        <v>1</v>
      </c>
      <c r="AN164" s="185"/>
      <c r="AO164" s="185"/>
      <c r="AP164" s="185" t="s">
        <v>177</v>
      </c>
      <c r="AQ164" s="185">
        <v>1</v>
      </c>
      <c r="AR164" s="185" t="str">
        <f t="shared" ca="1" si="147"/>
        <v>1920x1200</v>
      </c>
      <c r="AS164" s="185" t="str">
        <f t="shared" ca="1" si="147"/>
        <v>Intel i7</v>
      </c>
      <c r="AT164" s="185">
        <f t="shared" ca="1" si="147"/>
        <v>16</v>
      </c>
      <c r="AU164" s="185">
        <f t="shared" ca="1" si="147"/>
        <v>512</v>
      </c>
      <c r="AV164" s="185">
        <f t="shared" ca="1" si="147"/>
        <v>14</v>
      </c>
      <c r="AW164" s="185">
        <f t="shared" ca="1" si="147"/>
        <v>2</v>
      </c>
      <c r="AX164" s="185">
        <f t="shared" ca="1" si="147"/>
        <v>2</v>
      </c>
      <c r="AY164" s="185" t="str">
        <f t="shared" ca="1" si="147"/>
        <v>Ja, HDMI-port finns</v>
      </c>
      <c r="AZ164" s="185" t="str">
        <f t="shared" ca="1" si="147"/>
        <v>802.11a/b/g/n/ac/ax</v>
      </c>
      <c r="BA164" s="185">
        <f t="shared" ca="1" si="147"/>
        <v>5.3</v>
      </c>
      <c r="BB164" s="185">
        <f t="shared" ca="1" si="148"/>
        <v>11</v>
      </c>
      <c r="BC164" s="185" t="str">
        <f t="shared" ca="1" si="148"/>
        <v>Version 8.0</v>
      </c>
      <c r="BD164" s="185" t="str">
        <f t="shared" ca="1" si="148"/>
        <v>Ja</v>
      </c>
      <c r="BE164" s="185" t="str">
        <f t="shared" ca="1" si="148"/>
        <v>Windows 11 Pro</v>
      </c>
      <c r="BF164" s="185" t="str">
        <f t="shared" ca="1" si="148"/>
        <v>EliteBook 840 G9</v>
      </c>
      <c r="BG164" s="185">
        <f t="shared" ca="1" si="148"/>
        <v>13790</v>
      </c>
      <c r="BH164" s="192">
        <f t="shared" ca="1" si="148"/>
        <v>123</v>
      </c>
      <c r="BI164" s="192">
        <f t="shared" ca="1" si="148"/>
        <v>425</v>
      </c>
      <c r="BJ164" s="192">
        <f t="shared" ca="1" si="148"/>
        <v>149</v>
      </c>
      <c r="BK164" s="192">
        <f t="shared" ca="1" si="148"/>
        <v>1185</v>
      </c>
      <c r="BL164" s="192">
        <f t="shared" ca="1" si="149"/>
        <v>450</v>
      </c>
      <c r="BM164" s="192">
        <f t="shared" ca="1" si="149"/>
        <v>133</v>
      </c>
      <c r="BN164" s="192">
        <f t="shared" ca="1" si="149"/>
        <v>20</v>
      </c>
      <c r="BO164" s="192">
        <f t="shared" ca="1" si="149"/>
        <v>20</v>
      </c>
      <c r="BP164" s="192" t="str">
        <f t="shared" ca="1" si="149"/>
        <v>Cirafon</v>
      </c>
      <c r="BQ164" s="192" t="str">
        <f t="shared" ca="1" si="149"/>
        <v>Cirafon</v>
      </c>
      <c r="BR164" s="192" t="str">
        <f t="shared" ca="1" si="149"/>
        <v>HP</v>
      </c>
      <c r="BS164" s="192" t="str">
        <f t="shared" ca="1" si="149"/>
        <v>HP</v>
      </c>
      <c r="BT164" s="192" t="str">
        <f t="shared" ca="1" si="149"/>
        <v>LSN8696R2-14.1</v>
      </c>
      <c r="BU164" s="192" t="str">
        <f t="shared" ca="1" si="149"/>
        <v>DPF14-9</v>
      </c>
      <c r="BV164" s="192" t="str">
        <f t="shared" ca="1" si="149"/>
        <v xml:space="preserve">1MZ01AA </v>
      </c>
      <c r="BW164" s="192" t="str">
        <f t="shared" ca="1" si="149"/>
        <v>72C71AA</v>
      </c>
      <c r="BX164" s="192"/>
      <c r="BY164" s="192" t="str">
        <f t="shared" ca="1" si="144"/>
        <v>Dustin Sverige AB</v>
      </c>
      <c r="BZ164" s="192" t="str">
        <f t="shared" ca="1" si="144"/>
        <v>HP</v>
      </c>
      <c r="CA164" s="185"/>
      <c r="CB164" s="185"/>
      <c r="CC164" s="185"/>
      <c r="CD164" s="185"/>
      <c r="CE164" s="185"/>
      <c r="CF164" s="185"/>
      <c r="CG164" s="185"/>
      <c r="CH164" s="185"/>
      <c r="CI164" s="185"/>
      <c r="CJ164" s="185"/>
      <c r="CK164" s="185"/>
      <c r="CL164" s="185"/>
      <c r="CM164" s="185"/>
      <c r="CN164" s="185"/>
    </row>
    <row r="165" spans="2:92" ht="32.25" customHeight="1" outlineLevel="1" x14ac:dyDescent="0.35">
      <c r="C165" s="61" t="s">
        <v>120</v>
      </c>
      <c r="D165" s="65"/>
      <c r="F165" s="80" t="str">
        <f t="shared" si="145"/>
        <v/>
      </c>
      <c r="G165" s="81">
        <f t="shared" ca="1" si="146"/>
        <v>11</v>
      </c>
      <c r="H165" s="81">
        <f t="shared" ca="1" si="146"/>
        <v>11</v>
      </c>
      <c r="I165" s="121">
        <f t="shared" ca="1" si="146"/>
        <v>11</v>
      </c>
      <c r="J165" s="62"/>
      <c r="Q165" s="185">
        <f t="shared" si="123"/>
        <v>0</v>
      </c>
      <c r="R165" s="185">
        <f t="shared" si="124"/>
        <v>0</v>
      </c>
      <c r="S165" s="185">
        <f t="shared" si="125"/>
        <v>0</v>
      </c>
      <c r="T165" s="185">
        <f t="shared" si="126"/>
        <v>0</v>
      </c>
      <c r="U165" s="185">
        <f t="shared" si="127"/>
        <v>0</v>
      </c>
      <c r="V165" s="185">
        <f t="shared" si="128"/>
        <v>0</v>
      </c>
      <c r="W165" s="185">
        <f t="shared" si="129"/>
        <v>0</v>
      </c>
      <c r="X165" s="185">
        <f t="shared" si="130"/>
        <v>0</v>
      </c>
      <c r="Y165" s="185">
        <f t="shared" si="131"/>
        <v>0</v>
      </c>
      <c r="Z165" s="196">
        <f t="shared" ca="1" si="132"/>
        <v>8848</v>
      </c>
      <c r="AA165" s="185" t="str">
        <f t="shared" ca="1" si="133"/>
        <v>Offererad produktnr. 01Foxway Education AB</v>
      </c>
      <c r="AB165" s="185"/>
      <c r="AC165" s="185" t="b">
        <f ca="1">IFERROR(IF(D157="",TRUE,
IF(OR(D157=$CB$12,D157=$CB$13),IF(LEFT(AS165,FIND(" ",AS165)-1)=D157,TRUE,FALSE),
IF(OFFSET(Processor!$AB$1,MATCH($AS165,Processor!$AA$2:$AA$23,0),MATCH(LEFT(D157,FIND(" ",D157)-1),Processor!$AC$1:$AG$1,0))&gt;=
OFFSET(Processor!$AB$1,MATCH(D157,Processor!$AA$2:$AA$23,0),MATCH(LEFT(D157,FIND(" ",D157)-1),Processor!$AC$1:$AG$1,0)),TRUE,FALSE))),FALSE)</f>
        <v>1</v>
      </c>
      <c r="AD165" s="185" t="b">
        <f t="shared" si="134"/>
        <v>1</v>
      </c>
      <c r="AE165" s="185" t="b">
        <f t="shared" si="135"/>
        <v>1</v>
      </c>
      <c r="AF165" s="185" t="b">
        <f>IF($D$155="",TRUE,IF(COUNTIF(Processor!$I$2:$I$9,$D$155)&gt;0,AND(AV165&gt;INDEX(Processor!$J$2:$J$9,MATCH($D$155,Processor!$I$2:$I$9,0)),AV165&lt;INDEX(Processor!$K$2:$K$9,MATCH($D$155,Processor!$I$2:$I$9,0))),IF(AV165=$D$155,TRUE,FALSE)))</f>
        <v>1</v>
      </c>
      <c r="AG165" s="185" t="b">
        <f t="shared" si="136"/>
        <v>1</v>
      </c>
      <c r="AH165" s="185" t="b">
        <f t="shared" si="137"/>
        <v>1</v>
      </c>
      <c r="AI165" s="185" t="b">
        <f t="shared" si="138"/>
        <v>1</v>
      </c>
      <c r="AJ165" s="185" t="b">
        <f t="shared" si="139"/>
        <v>1</v>
      </c>
      <c r="AK165" s="185" t="b">
        <f t="shared" si="140"/>
        <v>1</v>
      </c>
      <c r="AL165" s="185" t="b">
        <f>IFERROR(IF($D166="",TRUE,IF(MID(BC165,LEN(BC165)-2,1)*1&gt;=MID($D166,LEN($D166)-2,1)*1,TRUE,FALSE)),FALSE)</f>
        <v>1</v>
      </c>
      <c r="AM165" s="185" t="b">
        <f>IF(D165="",TRUE,IF(BB165&gt;=D165,TRUE,FALSE))</f>
        <v>1</v>
      </c>
      <c r="AN165" s="185"/>
      <c r="AO165" s="185"/>
      <c r="AP165" s="185" t="s">
        <v>210</v>
      </c>
      <c r="AQ165" s="185">
        <v>1</v>
      </c>
      <c r="AR165" s="185" t="str">
        <f t="shared" ca="1" si="147"/>
        <v>1920x1080</v>
      </c>
      <c r="AS165" s="185" t="str">
        <f t="shared" ca="1" si="147"/>
        <v>AMD Ryzen 5</v>
      </c>
      <c r="AT165" s="185">
        <f t="shared" ca="1" si="147"/>
        <v>8</v>
      </c>
      <c r="AU165" s="185">
        <f t="shared" ca="1" si="147"/>
        <v>256</v>
      </c>
      <c r="AV165" s="185">
        <f t="shared" ca="1" si="147"/>
        <v>14</v>
      </c>
      <c r="AW165" s="185">
        <f t="shared" ca="1" si="147"/>
        <v>4</v>
      </c>
      <c r="AX165" s="185">
        <f t="shared" ca="1" si="147"/>
        <v>1</v>
      </c>
      <c r="AY165" s="185" t="str">
        <f t="shared" ca="1" si="147"/>
        <v>Ja, HDMI-port finns</v>
      </c>
      <c r="AZ165" s="185" t="str">
        <f t="shared" ca="1" si="147"/>
        <v>802.11a/b/g/n/ac/ax</v>
      </c>
      <c r="BA165" s="185">
        <f t="shared" ca="1" si="147"/>
        <v>5.3</v>
      </c>
      <c r="BB165" s="185">
        <f t="shared" ca="1" si="148"/>
        <v>11</v>
      </c>
      <c r="BC165" s="185" t="str">
        <f t="shared" ca="1" si="148"/>
        <v>Version 8.0</v>
      </c>
      <c r="BD165" s="185" t="str">
        <f t="shared" ca="1" si="148"/>
        <v>Ja</v>
      </c>
      <c r="BE165" s="185" t="str">
        <f t="shared" ca="1" si="148"/>
        <v>Windows 11 Pro</v>
      </c>
      <c r="BF165" s="185" t="str">
        <f t="shared" ca="1" si="148"/>
        <v>ProBook 445 G10</v>
      </c>
      <c r="BG165" s="185">
        <f t="shared" ca="1" si="148"/>
        <v>8848</v>
      </c>
      <c r="BH165" s="192">
        <f t="shared" ca="1" si="148"/>
        <v>78</v>
      </c>
      <c r="BI165" s="192">
        <f t="shared" ca="1" si="148"/>
        <v>252</v>
      </c>
      <c r="BJ165" s="192">
        <f t="shared" ca="1" si="148"/>
        <v>138</v>
      </c>
      <c r="BK165" s="192">
        <f t="shared" ca="1" si="148"/>
        <v>1150</v>
      </c>
      <c r="BL165" s="192">
        <f t="shared" ca="1" si="149"/>
        <v>160</v>
      </c>
      <c r="BM165" s="192">
        <f t="shared" ca="1" si="149"/>
        <v>185</v>
      </c>
      <c r="BN165" s="192">
        <f t="shared" ca="1" si="149"/>
        <v>60</v>
      </c>
      <c r="BO165" s="192">
        <f t="shared" ca="1" si="149"/>
        <v>50</v>
      </c>
      <c r="BP165" s="192" t="str">
        <f t="shared" ca="1" si="149"/>
        <v>V7</v>
      </c>
      <c r="BQ165" s="192" t="str">
        <f t="shared" ca="1" si="149"/>
        <v>Targus</v>
      </c>
      <c r="BR165" s="192" t="str">
        <f t="shared" ca="1" si="149"/>
        <v>HP</v>
      </c>
      <c r="BS165" s="192" t="str">
        <f t="shared" ca="1" si="149"/>
        <v>HP</v>
      </c>
      <c r="BT165" s="192" t="str">
        <f t="shared" ca="1" si="149"/>
        <v>V7 Elite Sleeve 14"</v>
      </c>
      <c r="BU165" s="192" t="str">
        <f t="shared" ca="1" si="149"/>
        <v>Targus Privacy Screen 14"</v>
      </c>
      <c r="BV165" s="192" t="str">
        <f t="shared" ca="1" si="149"/>
        <v>HP 45W Smart AC Adapter</v>
      </c>
      <c r="BW165" s="192" t="str">
        <f t="shared" ca="1" si="149"/>
        <v>HP USB-C Dock G5</v>
      </c>
      <c r="BX165" s="192"/>
      <c r="BY165" s="192" t="str">
        <f t="shared" ca="1" si="144"/>
        <v>Foxway Education AB</v>
      </c>
      <c r="BZ165" s="192" t="str">
        <f t="shared" ca="1" si="144"/>
        <v>HP</v>
      </c>
      <c r="CA165" s="185"/>
      <c r="CB165" s="185"/>
      <c r="CC165" s="185"/>
      <c r="CD165" s="185"/>
      <c r="CE165" s="185"/>
      <c r="CF165" s="185"/>
      <c r="CG165" s="185"/>
      <c r="CH165" s="185"/>
      <c r="CI165" s="185"/>
      <c r="CJ165" s="185"/>
      <c r="CK165" s="185"/>
      <c r="CL165" s="185"/>
      <c r="CM165" s="185"/>
      <c r="CN165" s="185"/>
    </row>
    <row r="166" spans="2:92" ht="24" customHeight="1" outlineLevel="1" x14ac:dyDescent="0.35">
      <c r="C166" s="61" t="s">
        <v>38</v>
      </c>
      <c r="D166" s="64"/>
      <c r="F166" s="80" t="str">
        <f t="shared" si="145"/>
        <v/>
      </c>
      <c r="G166" s="81" t="str">
        <f t="shared" ca="1" si="146"/>
        <v>Version 8.0</v>
      </c>
      <c r="H166" s="81" t="str">
        <f t="shared" ca="1" si="146"/>
        <v>Version 8.0</v>
      </c>
      <c r="I166" s="120" t="str">
        <f t="shared" ca="1" si="146"/>
        <v>Version 8.0</v>
      </c>
      <c r="J166" s="62"/>
      <c r="Q166" s="185">
        <f t="shared" si="123"/>
        <v>0</v>
      </c>
      <c r="R166" s="185">
        <f t="shared" si="124"/>
        <v>0</v>
      </c>
      <c r="S166" s="185">
        <f t="shared" si="125"/>
        <v>0</v>
      </c>
      <c r="T166" s="185">
        <f t="shared" si="126"/>
        <v>0</v>
      </c>
      <c r="U166" s="185">
        <f t="shared" si="127"/>
        <v>0</v>
      </c>
      <c r="V166" s="185">
        <f t="shared" si="128"/>
        <v>0</v>
      </c>
      <c r="W166" s="185">
        <f t="shared" si="129"/>
        <v>0</v>
      </c>
      <c r="X166" s="185">
        <f t="shared" si="130"/>
        <v>0</v>
      </c>
      <c r="Y166" s="185">
        <f t="shared" si="131"/>
        <v>0</v>
      </c>
      <c r="Z166" s="196">
        <f t="shared" ca="1" si="132"/>
        <v>9288</v>
      </c>
      <c r="AA166" s="185" t="str">
        <f t="shared" ca="1" si="133"/>
        <v>Offererad produktnr. 02Foxway Education AB</v>
      </c>
      <c r="AB166" s="185"/>
      <c r="AC166" s="185" t="b">
        <f ca="1">IFERROR(IF(D157="",TRUE,
IF(OR(D157=$CB$12,D157=$CB$13),IF(LEFT(AS166,FIND(" ",AS166)-1)=D157,TRUE,FALSE),
IF(OFFSET(Processor!$AB$1,MATCH($AS166,Processor!$AA$2:$AA$23,0),MATCH(LEFT(D157,FIND(" ",D157)-1),Processor!$AC$1:$AG$1,0))&gt;=
OFFSET(Processor!$AB$1,MATCH(D157,Processor!$AA$2:$AA$23,0),MATCH(LEFT(D157,FIND(" ",D157)-1),Processor!$AC$1:$AG$1,0)),TRUE,FALSE))),FALSE)</f>
        <v>1</v>
      </c>
      <c r="AD166" s="185" t="b">
        <f t="shared" si="134"/>
        <v>1</v>
      </c>
      <c r="AE166" s="185" t="b">
        <f t="shared" si="135"/>
        <v>1</v>
      </c>
      <c r="AF166" s="185" t="b">
        <f>IF($D$155="",TRUE,IF(COUNTIF(Processor!$I$2:$I$9,$D$155)&gt;0,AND(AV166&gt;INDEX(Processor!$J$2:$J$9,MATCH($D$155,Processor!$I$2:$I$9,0)),AV166&lt;INDEX(Processor!$K$2:$K$9,MATCH($D$155,Processor!$I$2:$I$9,0))),IF(AV166=$D$155,TRUE,FALSE)))</f>
        <v>1</v>
      </c>
      <c r="AG166" s="185" t="b">
        <f t="shared" si="136"/>
        <v>1</v>
      </c>
      <c r="AH166" s="185" t="b">
        <f t="shared" si="137"/>
        <v>1</v>
      </c>
      <c r="AI166" s="185" t="b">
        <f t="shared" si="138"/>
        <v>1</v>
      </c>
      <c r="AJ166" s="185" t="b">
        <f t="shared" si="139"/>
        <v>1</v>
      </c>
      <c r="AK166" s="185" t="b">
        <f t="shared" si="140"/>
        <v>1</v>
      </c>
      <c r="AL166" s="185" t="b">
        <f>IFERROR(IF($D166="",TRUE,IF(MID(BC166,LEN(BC166)-2,1)*1&gt;=MID($D166,LEN($D166)-2,1)*1,TRUE,FALSE)),FALSE)</f>
        <v>1</v>
      </c>
      <c r="AM166" s="185" t="b">
        <f>IF(D165="",TRUE,IF(BB166&gt;=D165,TRUE,FALSE))</f>
        <v>1</v>
      </c>
      <c r="AN166" s="185"/>
      <c r="AO166" s="185"/>
      <c r="AP166" s="185" t="s">
        <v>211</v>
      </c>
      <c r="AQ166" s="185">
        <v>1</v>
      </c>
      <c r="AR166" s="185" t="str">
        <f t="shared" ca="1" si="147"/>
        <v>1920x1080</v>
      </c>
      <c r="AS166" s="185" t="str">
        <f t="shared" ca="1" si="147"/>
        <v>AMD Ryzen 5</v>
      </c>
      <c r="AT166" s="185">
        <f t="shared" ca="1" si="147"/>
        <v>8</v>
      </c>
      <c r="AU166" s="185">
        <f t="shared" ca="1" si="147"/>
        <v>256</v>
      </c>
      <c r="AV166" s="185">
        <f t="shared" ca="1" si="147"/>
        <v>14</v>
      </c>
      <c r="AW166" s="185">
        <f t="shared" ca="1" si="147"/>
        <v>3</v>
      </c>
      <c r="AX166" s="185">
        <f t="shared" ca="1" si="147"/>
        <v>1</v>
      </c>
      <c r="AY166" s="185" t="str">
        <f t="shared" ca="1" si="147"/>
        <v>Ja, HDMI-port finns</v>
      </c>
      <c r="AZ166" s="185" t="str">
        <f t="shared" ca="1" si="147"/>
        <v>802.11a/b/g/n/ac</v>
      </c>
      <c r="BA166" s="185">
        <f t="shared" ca="1" si="147"/>
        <v>5</v>
      </c>
      <c r="BB166" s="185">
        <f t="shared" ca="1" si="148"/>
        <v>11</v>
      </c>
      <c r="BC166" s="185" t="str">
        <f t="shared" ca="1" si="148"/>
        <v>Version 8.0</v>
      </c>
      <c r="BD166" s="185" t="str">
        <f t="shared" ca="1" si="148"/>
        <v>Ja</v>
      </c>
      <c r="BE166" s="185" t="str">
        <f t="shared" ca="1" si="148"/>
        <v>Windows 11 Pro</v>
      </c>
      <c r="BF166" s="185" t="str">
        <f t="shared" ca="1" si="148"/>
        <v>E14 G5 AMD</v>
      </c>
      <c r="BG166" s="185">
        <f t="shared" ca="1" si="148"/>
        <v>9288</v>
      </c>
      <c r="BH166" s="192">
        <f t="shared" ca="1" si="148"/>
        <v>78</v>
      </c>
      <c r="BI166" s="192">
        <f t="shared" ca="1" si="148"/>
        <v>252</v>
      </c>
      <c r="BJ166" s="192">
        <f t="shared" ca="1" si="148"/>
        <v>210</v>
      </c>
      <c r="BK166" s="192">
        <f t="shared" ca="1" si="148"/>
        <v>1824</v>
      </c>
      <c r="BL166" s="192">
        <f t="shared" ca="1" si="149"/>
        <v>290</v>
      </c>
      <c r="BM166" s="192">
        <f t="shared" ca="1" si="149"/>
        <v>185</v>
      </c>
      <c r="BN166" s="192">
        <f t="shared" ca="1" si="149"/>
        <v>60</v>
      </c>
      <c r="BO166" s="192">
        <f t="shared" ca="1" si="149"/>
        <v>50</v>
      </c>
      <c r="BP166" s="192" t="str">
        <f t="shared" ca="1" si="149"/>
        <v>V7</v>
      </c>
      <c r="BQ166" s="192" t="str">
        <f t="shared" ca="1" si="149"/>
        <v>Targus</v>
      </c>
      <c r="BR166" s="192" t="str">
        <f t="shared" ca="1" si="149"/>
        <v>Lenovo</v>
      </c>
      <c r="BS166" s="192" t="str">
        <f t="shared" ca="1" si="149"/>
        <v>Lenovo</v>
      </c>
      <c r="BT166" s="192" t="str">
        <f t="shared" ca="1" si="149"/>
        <v>V7 Elite Sleeve 14"</v>
      </c>
      <c r="BU166" s="192" t="str">
        <f t="shared" ca="1" si="149"/>
        <v>Targus Privacy Screen 14"</v>
      </c>
      <c r="BV166" s="192" t="str">
        <f t="shared" ca="1" si="149"/>
        <v>Power adapter USB-C 45w</v>
      </c>
      <c r="BW166" s="192" t="str">
        <f t="shared" ca="1" si="149"/>
        <v>ThinkPad USB-C Dock gen2</v>
      </c>
      <c r="BX166" s="192"/>
      <c r="BY166" s="192" t="str">
        <f t="shared" ca="1" si="144"/>
        <v>Foxway Education AB</v>
      </c>
      <c r="BZ166" s="192" t="str">
        <f t="shared" ca="1" si="144"/>
        <v>Lenovo</v>
      </c>
      <c r="CA166" s="185"/>
      <c r="CB166" s="185"/>
      <c r="CC166" s="185"/>
      <c r="CD166" s="185"/>
      <c r="CE166" s="185"/>
      <c r="CF166" s="185"/>
      <c r="CG166" s="185"/>
      <c r="CH166" s="185"/>
      <c r="CI166" s="185"/>
      <c r="CJ166" s="185"/>
      <c r="CK166" s="185"/>
      <c r="CL166" s="185"/>
      <c r="CM166" s="185"/>
      <c r="CN166" s="185"/>
    </row>
    <row r="167" spans="2:92" ht="24" customHeight="1" outlineLevel="1" x14ac:dyDescent="0.35">
      <c r="C167" s="61" t="s">
        <v>37</v>
      </c>
      <c r="D167" s="64"/>
      <c r="F167" s="80" t="str">
        <f t="shared" si="145"/>
        <v/>
      </c>
      <c r="G167" s="81" t="str">
        <f t="shared" ca="1" si="146"/>
        <v>Ja</v>
      </c>
      <c r="H167" s="81" t="str">
        <f t="shared" ca="1" si="146"/>
        <v>Ja</v>
      </c>
      <c r="I167" s="120" t="str">
        <f t="shared" ca="1" si="146"/>
        <v>Ja</v>
      </c>
      <c r="J167" s="62"/>
      <c r="Q167" s="185">
        <f t="shared" si="123"/>
        <v>0</v>
      </c>
      <c r="R167" s="185">
        <f t="shared" si="124"/>
        <v>0</v>
      </c>
      <c r="S167" s="185">
        <f t="shared" si="125"/>
        <v>0</v>
      </c>
      <c r="T167" s="185">
        <f t="shared" si="126"/>
        <v>0</v>
      </c>
      <c r="U167" s="185">
        <f t="shared" si="127"/>
        <v>0</v>
      </c>
      <c r="V167" s="185">
        <f t="shared" si="128"/>
        <v>0</v>
      </c>
      <c r="W167" s="185">
        <f t="shared" si="129"/>
        <v>0</v>
      </c>
      <c r="X167" s="185">
        <f t="shared" si="130"/>
        <v>0</v>
      </c>
      <c r="Y167" s="185">
        <f t="shared" si="131"/>
        <v>0</v>
      </c>
      <c r="Z167" s="196">
        <f t="shared" ca="1" si="132"/>
        <v>11210</v>
      </c>
      <c r="AA167" s="185" t="str">
        <f t="shared" ca="1" si="133"/>
        <v>Offererad produktnr. 03Foxway Education AB</v>
      </c>
      <c r="AB167" s="185"/>
      <c r="AC167" s="185" t="b">
        <f ca="1">IFERROR(IF(D157="",TRUE,
IF(OR(D157=$CB$12,D157=$CB$13),IF(LEFT(AS167,FIND(" ",AS167)-1)=D157,TRUE,FALSE),
IF(OFFSET(Processor!$AB$1,MATCH($AS167,Processor!$AA$2:$AA$23,0),MATCH(LEFT(D157,FIND(" ",D157)-1),Processor!$AC$1:$AG$1,0))&gt;=
OFFSET(Processor!$AB$1,MATCH(D157,Processor!$AA$2:$AA$23,0),MATCH(LEFT(D157,FIND(" ",D157)-1),Processor!$AC$1:$AG$1,0)),TRUE,FALSE))),FALSE)</f>
        <v>1</v>
      </c>
      <c r="AD167" s="185" t="b">
        <f t="shared" si="134"/>
        <v>1</v>
      </c>
      <c r="AE167" s="185" t="b">
        <f t="shared" si="135"/>
        <v>1</v>
      </c>
      <c r="AF167" s="185" t="b">
        <f>IF($D$155="",TRUE,IF(COUNTIF(Processor!$I$2:$I$9,$D$155)&gt;0,AND(AV167&gt;INDEX(Processor!$J$2:$J$9,MATCH($D$155,Processor!$I$2:$I$9,0)),AV167&lt;INDEX(Processor!$K$2:$K$9,MATCH($D$155,Processor!$I$2:$I$9,0))),IF(AV167=$D$155,TRUE,FALSE)))</f>
        <v>1</v>
      </c>
      <c r="AG167" s="185" t="b">
        <f t="shared" si="136"/>
        <v>1</v>
      </c>
      <c r="AH167" s="185" t="b">
        <f t="shared" si="137"/>
        <v>1</v>
      </c>
      <c r="AI167" s="185" t="b">
        <f t="shared" si="138"/>
        <v>1</v>
      </c>
      <c r="AJ167" s="185" t="b">
        <f t="shared" si="139"/>
        <v>1</v>
      </c>
      <c r="AK167" s="185" t="b">
        <f t="shared" si="140"/>
        <v>1</v>
      </c>
      <c r="AL167" s="185" t="b">
        <f>IFERROR(IF($D166="",TRUE,IF(MID(BC167,LEN(BC167)-2,1)*1&gt;=MID($D166,LEN($D166)-2,1)*1,TRUE,FALSE)),FALSE)</f>
        <v>1</v>
      </c>
      <c r="AM167" s="185" t="b">
        <f>IF(D165="",TRUE,IF(BB167&gt;=D165,TRUE,FALSE))</f>
        <v>1</v>
      </c>
      <c r="AN167" s="185"/>
      <c r="AO167" s="185"/>
      <c r="AP167" s="185" t="s">
        <v>212</v>
      </c>
      <c r="AQ167" s="185">
        <v>1</v>
      </c>
      <c r="AR167" s="185" t="str">
        <f t="shared" ca="1" si="147"/>
        <v>1920x1080</v>
      </c>
      <c r="AS167" s="185" t="str">
        <f t="shared" ca="1" si="147"/>
        <v>AMD Ryzen 7</v>
      </c>
      <c r="AT167" s="185">
        <f t="shared" ca="1" si="147"/>
        <v>16</v>
      </c>
      <c r="AU167" s="185">
        <f t="shared" ca="1" si="147"/>
        <v>512</v>
      </c>
      <c r="AV167" s="185">
        <f t="shared" ca="1" si="147"/>
        <v>14</v>
      </c>
      <c r="AW167" s="185">
        <f t="shared" ca="1" si="147"/>
        <v>4</v>
      </c>
      <c r="AX167" s="185">
        <f t="shared" ca="1" si="147"/>
        <v>2</v>
      </c>
      <c r="AY167" s="185" t="str">
        <f t="shared" ca="1" si="147"/>
        <v>Ja, HDMI-port finns</v>
      </c>
      <c r="AZ167" s="185" t="str">
        <f t="shared" ca="1" si="147"/>
        <v>802.11a/b/g/n/ac/ax</v>
      </c>
      <c r="BA167" s="185">
        <f t="shared" ca="1" si="147"/>
        <v>5.2</v>
      </c>
      <c r="BB167" s="185">
        <f t="shared" ca="1" si="148"/>
        <v>11</v>
      </c>
      <c r="BC167" s="185" t="str">
        <f t="shared" ca="1" si="148"/>
        <v>Version 8.0</v>
      </c>
      <c r="BD167" s="185" t="str">
        <f t="shared" ca="1" si="148"/>
        <v>Ja</v>
      </c>
      <c r="BE167" s="185" t="str">
        <f t="shared" ca="1" si="148"/>
        <v>Windows 11 Pro</v>
      </c>
      <c r="BF167" s="185" t="str">
        <f t="shared" ca="1" si="148"/>
        <v>L14 G4 AMD</v>
      </c>
      <c r="BG167" s="185">
        <f t="shared" ca="1" si="148"/>
        <v>11210</v>
      </c>
      <c r="BH167" s="192">
        <f t="shared" ca="1" si="148"/>
        <v>78</v>
      </c>
      <c r="BI167" s="192">
        <f t="shared" ca="1" si="148"/>
        <v>252</v>
      </c>
      <c r="BJ167" s="192">
        <f t="shared" ca="1" si="148"/>
        <v>210</v>
      </c>
      <c r="BK167" s="192">
        <f t="shared" ca="1" si="148"/>
        <v>1824</v>
      </c>
      <c r="BL167" s="192">
        <f t="shared" ca="1" si="149"/>
        <v>290</v>
      </c>
      <c r="BM167" s="192">
        <f t="shared" ca="1" si="149"/>
        <v>185</v>
      </c>
      <c r="BN167" s="192">
        <f t="shared" ca="1" si="149"/>
        <v>60</v>
      </c>
      <c r="BO167" s="192">
        <f t="shared" ca="1" si="149"/>
        <v>50</v>
      </c>
      <c r="BP167" s="192" t="str">
        <f t="shared" ca="1" si="149"/>
        <v>V7</v>
      </c>
      <c r="BQ167" s="192" t="str">
        <f t="shared" ca="1" si="149"/>
        <v>Targus</v>
      </c>
      <c r="BR167" s="192" t="str">
        <f t="shared" ca="1" si="149"/>
        <v>Lenovo</v>
      </c>
      <c r="BS167" s="192" t="str">
        <f t="shared" ca="1" si="149"/>
        <v>Lenovo</v>
      </c>
      <c r="BT167" s="192" t="str">
        <f t="shared" ca="1" si="149"/>
        <v>V7 Elite Sleeve 14"</v>
      </c>
      <c r="BU167" s="192" t="str">
        <f t="shared" ca="1" si="149"/>
        <v>Targus Privacy Screen 14"</v>
      </c>
      <c r="BV167" s="192" t="str">
        <f t="shared" ca="1" si="149"/>
        <v>Power adapter USB-C 45w</v>
      </c>
      <c r="BW167" s="192" t="str">
        <f t="shared" ca="1" si="149"/>
        <v>ThinkPad USB-C Dock gen2</v>
      </c>
      <c r="BX167" s="192"/>
      <c r="BY167" s="192" t="str">
        <f t="shared" ca="1" si="144"/>
        <v>Foxway Education AB</v>
      </c>
      <c r="BZ167" s="192" t="str">
        <f t="shared" ca="1" si="144"/>
        <v>Lenovo</v>
      </c>
      <c r="CA167" s="185"/>
      <c r="CB167" s="185"/>
      <c r="CC167" s="185"/>
      <c r="CD167" s="185"/>
      <c r="CE167" s="185"/>
      <c r="CF167" s="185"/>
      <c r="CG167" s="185"/>
      <c r="CH167" s="185"/>
      <c r="CI167" s="185"/>
      <c r="CJ167" s="185"/>
      <c r="CK167" s="185"/>
      <c r="CL167" s="185"/>
      <c r="CM167" s="185"/>
      <c r="CN167" s="185"/>
    </row>
    <row r="168" spans="2:92" ht="24" customHeight="1" outlineLevel="1" x14ac:dyDescent="0.35">
      <c r="C168" s="66"/>
      <c r="D168" s="67"/>
      <c r="F168" s="62"/>
      <c r="G168" s="62"/>
      <c r="H168" s="62"/>
      <c r="I168" s="62"/>
      <c r="J168" s="62"/>
      <c r="Q168" s="185">
        <f t="shared" si="123"/>
        <v>0</v>
      </c>
      <c r="R168" s="185">
        <f t="shared" si="124"/>
        <v>0</v>
      </c>
      <c r="S168" s="185">
        <f t="shared" si="125"/>
        <v>0</v>
      </c>
      <c r="T168" s="185">
        <f t="shared" si="126"/>
        <v>0</v>
      </c>
      <c r="U168" s="185">
        <f t="shared" si="127"/>
        <v>0</v>
      </c>
      <c r="V168" s="185">
        <f t="shared" si="128"/>
        <v>0</v>
      </c>
      <c r="W168" s="185">
        <f t="shared" si="129"/>
        <v>0</v>
      </c>
      <c r="X168" s="185">
        <f t="shared" si="130"/>
        <v>0</v>
      </c>
      <c r="Y168" s="185">
        <f t="shared" si="131"/>
        <v>0</v>
      </c>
      <c r="Z168" s="196">
        <f t="shared" ca="1" si="132"/>
        <v>10577</v>
      </c>
      <c r="AA168" s="185" t="str">
        <f t="shared" ca="1" si="133"/>
        <v>Offererad produktnr. 04Foxway Education AB</v>
      </c>
      <c r="AB168" s="185"/>
      <c r="AC168" s="185" t="b">
        <f ca="1">IFERROR(IF(D157="",TRUE,
IF(OR(D157=$CB$12,D157=$CB$13),IF(LEFT(AS168,FIND(" ",AS168)-1)=D157,TRUE,FALSE),
IF(OFFSET(Processor!$AB$1,MATCH($AS168,Processor!$AA$2:$AA$23,0),MATCH(LEFT(D157,FIND(" ",D157)-1),Processor!$AC$1:$AG$1,0))&gt;=
OFFSET(Processor!$AB$1,MATCH(D157,Processor!$AA$2:$AA$23,0),MATCH(LEFT(D157,FIND(" ",D157)-1),Processor!$AC$1:$AG$1,0)),TRUE,FALSE))),FALSE)</f>
        <v>1</v>
      </c>
      <c r="AD168" s="185" t="b">
        <f t="shared" si="134"/>
        <v>1</v>
      </c>
      <c r="AE168" s="185" t="b">
        <f t="shared" si="135"/>
        <v>1</v>
      </c>
      <c r="AF168" s="185" t="b">
        <f>IF($D$155="",TRUE,IF(COUNTIF(Processor!$I$2:$I$9,$D$155)&gt;0,AND(AV168&gt;INDEX(Processor!$J$2:$J$9,MATCH($D$155,Processor!$I$2:$I$9,0)),AV168&lt;INDEX(Processor!$K$2:$K$9,MATCH($D$155,Processor!$I$2:$I$9,0))),IF(AV168=$D$155,TRUE,FALSE)))</f>
        <v>1</v>
      </c>
      <c r="AG168" s="185" t="b">
        <f t="shared" si="136"/>
        <v>1</v>
      </c>
      <c r="AH168" s="185" t="b">
        <f t="shared" si="137"/>
        <v>1</v>
      </c>
      <c r="AI168" s="185" t="b">
        <f t="shared" si="138"/>
        <v>1</v>
      </c>
      <c r="AJ168" s="185" t="b">
        <f t="shared" si="139"/>
        <v>1</v>
      </c>
      <c r="AK168" s="185" t="b">
        <f t="shared" si="140"/>
        <v>1</v>
      </c>
      <c r="AL168" s="185" t="b">
        <f>IFERROR(IF($D166="",TRUE,IF(MID(BC168,LEN(BC168)-2,1)*1&gt;=MID($D166,LEN($D166)-2,1)*1,TRUE,FALSE)),FALSE)</f>
        <v>1</v>
      </c>
      <c r="AM168" s="185" t="b">
        <f>IF(D165="",TRUE,IF(BB168&gt;=D165,TRUE,FALSE))</f>
        <v>1</v>
      </c>
      <c r="AN168" s="185"/>
      <c r="AO168" s="185"/>
      <c r="AP168" s="185" t="s">
        <v>213</v>
      </c>
      <c r="AQ168" s="185">
        <v>1</v>
      </c>
      <c r="AR168" s="185" t="str">
        <f t="shared" ca="1" si="147"/>
        <v>1920x1080</v>
      </c>
      <c r="AS168" s="185" t="str">
        <f t="shared" ca="1" si="147"/>
        <v>Intel i7</v>
      </c>
      <c r="AT168" s="185">
        <f t="shared" ca="1" si="147"/>
        <v>16</v>
      </c>
      <c r="AU168" s="185">
        <f t="shared" ca="1" si="147"/>
        <v>512</v>
      </c>
      <c r="AV168" s="185">
        <f t="shared" ca="1" si="147"/>
        <v>14</v>
      </c>
      <c r="AW168" s="185">
        <f t="shared" ca="1" si="147"/>
        <v>4</v>
      </c>
      <c r="AX168" s="185">
        <f t="shared" ca="1" si="147"/>
        <v>2</v>
      </c>
      <c r="AY168" s="185" t="str">
        <f t="shared" ca="1" si="147"/>
        <v>Ja, HDMI-port finns</v>
      </c>
      <c r="AZ168" s="185" t="str">
        <f t="shared" ca="1" si="147"/>
        <v>802.11a/b/g/n/ac/ax</v>
      </c>
      <c r="BA168" s="185">
        <f t="shared" ca="1" si="147"/>
        <v>5.3</v>
      </c>
      <c r="BB168" s="185">
        <f t="shared" ca="1" si="148"/>
        <v>11</v>
      </c>
      <c r="BC168" s="185" t="str">
        <f t="shared" ca="1" si="148"/>
        <v>Version 8.0</v>
      </c>
      <c r="BD168" s="185" t="str">
        <f t="shared" ca="1" si="148"/>
        <v>Ja</v>
      </c>
      <c r="BE168" s="185" t="str">
        <f t="shared" ca="1" si="148"/>
        <v>Windows 11 Pro</v>
      </c>
      <c r="BF168" s="185" t="str">
        <f t="shared" ca="1" si="148"/>
        <v>Probook 445 G10</v>
      </c>
      <c r="BG168" s="185">
        <f t="shared" ca="1" si="148"/>
        <v>10577</v>
      </c>
      <c r="BH168" s="192">
        <f t="shared" ca="1" si="148"/>
        <v>93</v>
      </c>
      <c r="BI168" s="192">
        <f t="shared" ca="1" si="148"/>
        <v>252</v>
      </c>
      <c r="BJ168" s="192">
        <f t="shared" ca="1" si="148"/>
        <v>138</v>
      </c>
      <c r="BK168" s="192">
        <f t="shared" ca="1" si="148"/>
        <v>1150</v>
      </c>
      <c r="BL168" s="192">
        <f t="shared" ca="1" si="149"/>
        <v>192</v>
      </c>
      <c r="BM168" s="192">
        <f t="shared" ca="1" si="149"/>
        <v>185</v>
      </c>
      <c r="BN168" s="192">
        <f t="shared" ca="1" si="149"/>
        <v>60</v>
      </c>
      <c r="BO168" s="192">
        <f t="shared" ca="1" si="149"/>
        <v>50</v>
      </c>
      <c r="BP168" s="192" t="str">
        <f t="shared" ca="1" si="149"/>
        <v>V7</v>
      </c>
      <c r="BQ168" s="192" t="str">
        <f t="shared" ca="1" si="149"/>
        <v>Targus</v>
      </c>
      <c r="BR168" s="192" t="str">
        <f t="shared" ca="1" si="149"/>
        <v>HP</v>
      </c>
      <c r="BS168" s="192" t="str">
        <f t="shared" ca="1" si="149"/>
        <v>HP</v>
      </c>
      <c r="BT168" s="192" t="str">
        <f t="shared" ca="1" si="149"/>
        <v>V7 Elite Sleeve 14"</v>
      </c>
      <c r="BU168" s="192" t="str">
        <f t="shared" ca="1" si="149"/>
        <v>Targus Privacy Screen 14"</v>
      </c>
      <c r="BV168" s="192" t="str">
        <f t="shared" ca="1" si="149"/>
        <v>HP 45W Smart AC Adapter</v>
      </c>
      <c r="BW168" s="192" t="str">
        <f t="shared" ca="1" si="149"/>
        <v>HP USB-C Dock G5</v>
      </c>
      <c r="BX168" s="192"/>
      <c r="BY168" s="192" t="str">
        <f t="shared" ca="1" si="144"/>
        <v>Foxway Education AB</v>
      </c>
      <c r="BZ168" s="192" t="str">
        <f t="shared" ca="1" si="144"/>
        <v>HP</v>
      </c>
      <c r="CA168" s="185"/>
      <c r="CB168" s="185"/>
      <c r="CC168" s="185"/>
      <c r="CD168" s="185"/>
      <c r="CE168" s="185"/>
      <c r="CF168" s="185"/>
      <c r="CG168" s="185"/>
      <c r="CH168" s="185"/>
      <c r="CI168" s="185"/>
      <c r="CJ168" s="185"/>
      <c r="CK168" s="185"/>
      <c r="CL168" s="185"/>
      <c r="CM168" s="185"/>
      <c r="CN168" s="185"/>
    </row>
    <row r="169" spans="2:92" ht="26.25" customHeight="1" outlineLevel="1" x14ac:dyDescent="0.35">
      <c r="C169" s="212" t="s">
        <v>366</v>
      </c>
      <c r="D169" s="213"/>
      <c r="E169" s="213"/>
      <c r="F169" s="213"/>
      <c r="G169" s="213"/>
      <c r="H169" s="213"/>
      <c r="I169" s="214"/>
      <c r="J169" s="68"/>
      <c r="Q169" s="185">
        <f t="shared" si="123"/>
        <v>0</v>
      </c>
      <c r="R169" s="185">
        <f t="shared" si="124"/>
        <v>0</v>
      </c>
      <c r="S169" s="185">
        <f t="shared" si="125"/>
        <v>0</v>
      </c>
      <c r="T169" s="185">
        <f t="shared" si="126"/>
        <v>0</v>
      </c>
      <c r="U169" s="185">
        <f t="shared" si="127"/>
        <v>0</v>
      </c>
      <c r="V169" s="185">
        <f t="shared" si="128"/>
        <v>0</v>
      </c>
      <c r="W169" s="185">
        <f t="shared" si="129"/>
        <v>0</v>
      </c>
      <c r="X169" s="185">
        <f t="shared" si="130"/>
        <v>0</v>
      </c>
      <c r="Y169" s="185">
        <f t="shared" si="131"/>
        <v>0</v>
      </c>
      <c r="Z169" s="196">
        <f t="shared" ca="1" si="132"/>
        <v>6420</v>
      </c>
      <c r="AA169" s="185" t="str">
        <f t="shared" ca="1" si="133"/>
        <v>Offererad produktnr. 01Qlosr Göteborg AB</v>
      </c>
      <c r="AB169" s="185"/>
      <c r="AC169" s="185" t="b">
        <f ca="1">IFERROR(IF(D157="",TRUE,
IF(OR(D157=$CB$12,D157=$CB$13),IF(LEFT(AS169,FIND(" ",AS169)-1)=D157,TRUE,FALSE),
IF(OFFSET(Processor!$AB$1,MATCH($AS169,Processor!$AA$2:$AA$23,0),MATCH(LEFT(D157,FIND(" ",D157)-1),Processor!$AC$1:$AG$1,0))&gt;=
OFFSET(Processor!$AB$1,MATCH(D157,Processor!$AA$2:$AA$23,0),MATCH(LEFT(D157,FIND(" ",D157)-1),Processor!$AC$1:$AG$1,0)),TRUE,FALSE))),FALSE)</f>
        <v>1</v>
      </c>
      <c r="AD169" s="185" t="b">
        <f t="shared" si="134"/>
        <v>1</v>
      </c>
      <c r="AE169" s="185" t="b">
        <f t="shared" si="135"/>
        <v>1</v>
      </c>
      <c r="AF169" s="185" t="b">
        <f>IF($D$155="",TRUE,IF(COUNTIF(Processor!$I$2:$I$9,$D$155)&gt;0,AND(AV169&gt;INDEX(Processor!$J$2:$J$9,MATCH($D$155,Processor!$I$2:$I$9,0)),AV169&lt;INDEX(Processor!$K$2:$K$9,MATCH($D$155,Processor!$I$2:$I$9,0))),IF(AV169=$D$155,TRUE,FALSE)))</f>
        <v>1</v>
      </c>
      <c r="AG169" s="185" t="b">
        <f t="shared" si="136"/>
        <v>1</v>
      </c>
      <c r="AH169" s="185" t="b">
        <f t="shared" si="137"/>
        <v>1</v>
      </c>
      <c r="AI169" s="185" t="b">
        <f t="shared" si="138"/>
        <v>1</v>
      </c>
      <c r="AJ169" s="185" t="b">
        <f t="shared" si="139"/>
        <v>1</v>
      </c>
      <c r="AK169" s="185" t="b">
        <f t="shared" si="140"/>
        <v>1</v>
      </c>
      <c r="AL169" s="185" t="b">
        <f>IFERROR(IF($D166="",TRUE,IF(MID(BC169,LEN(BC169)-2,1)*1&gt;=MID($D166,LEN($D166)-2,1)*1,TRUE,FALSE)),FALSE)</f>
        <v>1</v>
      </c>
      <c r="AM169" s="185" t="b">
        <f>IF(D165="",TRUE,IF(BB169&gt;=D165,TRUE,FALSE))</f>
        <v>1</v>
      </c>
      <c r="AN169" s="185"/>
      <c r="AO169" s="185"/>
      <c r="AP169" s="185" t="s">
        <v>552</v>
      </c>
      <c r="AQ169" s="185">
        <v>1</v>
      </c>
      <c r="AR169" s="185" t="str">
        <f t="shared" ca="1" si="147"/>
        <v>1920x1080</v>
      </c>
      <c r="AS169" s="185" t="str">
        <f t="shared" ca="1" si="147"/>
        <v>AMD Ryzen 5</v>
      </c>
      <c r="AT169" s="185">
        <f t="shared" ca="1" si="147"/>
        <v>8</v>
      </c>
      <c r="AU169" s="185">
        <f t="shared" ca="1" si="147"/>
        <v>256</v>
      </c>
      <c r="AV169" s="185">
        <f t="shared" ca="1" si="147"/>
        <v>14</v>
      </c>
      <c r="AW169" s="185">
        <f t="shared" ca="1" si="147"/>
        <v>4</v>
      </c>
      <c r="AX169" s="185">
        <f t="shared" ca="1" si="147"/>
        <v>1</v>
      </c>
      <c r="AY169" s="185" t="str">
        <f t="shared" ca="1" si="147"/>
        <v>Ja, HDMI-port finns</v>
      </c>
      <c r="AZ169" s="185" t="str">
        <f t="shared" ca="1" si="147"/>
        <v>802.11a/b/g/n/ac/ax</v>
      </c>
      <c r="BA169" s="185">
        <f t="shared" ca="1" si="147"/>
        <v>5</v>
      </c>
      <c r="BB169" s="185">
        <f t="shared" ca="1" si="148"/>
        <v>11</v>
      </c>
      <c r="BC169" s="185" t="str">
        <f t="shared" ca="1" si="148"/>
        <v>Version 8.0</v>
      </c>
      <c r="BD169" s="185" t="str">
        <f t="shared" ca="1" si="148"/>
        <v>Ja</v>
      </c>
      <c r="BE169" s="185" t="str">
        <f t="shared" ca="1" si="148"/>
        <v>Windows 10 Pro</v>
      </c>
      <c r="BF169" s="185" t="str">
        <f t="shared" ca="1" si="148"/>
        <v>ProBook 445 G8</v>
      </c>
      <c r="BG169" s="185">
        <f t="shared" ca="1" si="148"/>
        <v>6420</v>
      </c>
      <c r="BH169" s="192">
        <f t="shared" ca="1" si="148"/>
        <v>79</v>
      </c>
      <c r="BI169" s="192">
        <f t="shared" ca="1" si="148"/>
        <v>199</v>
      </c>
      <c r="BJ169" s="192">
        <f t="shared" ca="1" si="148"/>
        <v>106</v>
      </c>
      <c r="BK169" s="192">
        <f t="shared" ca="1" si="148"/>
        <v>949</v>
      </c>
      <c r="BL169" s="192">
        <f t="shared" ca="1" si="149"/>
        <v>151</v>
      </c>
      <c r="BM169" s="192">
        <f t="shared" ca="1" si="149"/>
        <v>70</v>
      </c>
      <c r="BN169" s="192">
        <f t="shared" ca="1" si="149"/>
        <v>25</v>
      </c>
      <c r="BO169" s="192">
        <f t="shared" ca="1" si="149"/>
        <v>25</v>
      </c>
      <c r="BP169" s="192" t="str">
        <f t="shared" ca="1" si="149"/>
        <v>HP</v>
      </c>
      <c r="BQ169" s="192" t="str">
        <f t="shared" ca="1" si="149"/>
        <v>HP</v>
      </c>
      <c r="BR169" s="192" t="str">
        <f t="shared" ca="1" si="149"/>
        <v>HP</v>
      </c>
      <c r="BS169" s="192" t="str">
        <f t="shared" ca="1" si="149"/>
        <v>HP</v>
      </c>
      <c r="BT169" s="192" t="str">
        <f t="shared" ca="1" si="149"/>
        <v>GBX2UW01AA</v>
      </c>
      <c r="BU169" s="192" t="str">
        <f t="shared" ca="1" si="149"/>
        <v>GBXJ6E65AA</v>
      </c>
      <c r="BV169" s="192" t="str">
        <f t="shared" ca="1" si="149"/>
        <v>GBXH6Y88AA</v>
      </c>
      <c r="BW169" s="192" t="str">
        <f t="shared" ca="1" si="149"/>
        <v>GBX5TW10AA</v>
      </c>
      <c r="BX169" s="192"/>
      <c r="BY169" s="192" t="str">
        <f t="shared" ca="1" si="144"/>
        <v>Qlosr Göteborg AB</v>
      </c>
      <c r="BZ169" s="192" t="str">
        <f t="shared" ca="1" si="144"/>
        <v>HP</v>
      </c>
      <c r="CA169" s="185"/>
      <c r="CB169" s="185"/>
      <c r="CC169" s="185"/>
      <c r="CD169" s="185"/>
      <c r="CE169" s="185"/>
      <c r="CF169" s="185"/>
      <c r="CG169" s="185"/>
      <c r="CH169" s="185"/>
      <c r="CI169" s="185"/>
      <c r="CJ169" s="185"/>
      <c r="CK169" s="185"/>
      <c r="CL169" s="185"/>
      <c r="CM169" s="185"/>
      <c r="CN169" s="185"/>
    </row>
    <row r="170" spans="2:92" ht="26.25" customHeight="1" outlineLevel="1" x14ac:dyDescent="0.35">
      <c r="B170" s="69" t="s">
        <v>53</v>
      </c>
      <c r="C170" s="115" t="s">
        <v>363</v>
      </c>
      <c r="D170" s="70"/>
      <c r="F170" s="161" t="str">
        <f t="shared" ref="F170:F181" si="150">IF(F$151="Inget antal angivet","",IFERROR(INDEX($AR$152:$BZ$179,MATCH(F$148,$AP$152:$AP$179,0),MATCH($B170,$AR$152:$BZ$152,0)),""))</f>
        <v/>
      </c>
      <c r="G170" s="162">
        <f t="shared" ref="G170:I181" ca="1" si="151">IFERROR(INDEX($AR$152:$BZ$179,MATCH(G$148,$AP$152:$AP$179,0),MATCH($B170,$AR$152:$BZ$152,0)),"")</f>
        <v>79</v>
      </c>
      <c r="H170" s="162">
        <f t="shared" ca="1" si="151"/>
        <v>123</v>
      </c>
      <c r="I170" s="162">
        <f t="shared" ca="1" si="151"/>
        <v>79</v>
      </c>
      <c r="J170" s="62"/>
      <c r="Q170" s="185">
        <f t="shared" si="123"/>
        <v>0</v>
      </c>
      <c r="R170" s="185">
        <f t="shared" si="124"/>
        <v>0</v>
      </c>
      <c r="S170" s="185">
        <f t="shared" si="125"/>
        <v>0</v>
      </c>
      <c r="T170" s="185">
        <f t="shared" si="126"/>
        <v>0</v>
      </c>
      <c r="U170" s="185">
        <f t="shared" si="127"/>
        <v>0</v>
      </c>
      <c r="V170" s="185">
        <f t="shared" si="128"/>
        <v>0</v>
      </c>
      <c r="W170" s="185">
        <f t="shared" si="129"/>
        <v>0</v>
      </c>
      <c r="X170" s="185">
        <f t="shared" si="130"/>
        <v>0</v>
      </c>
      <c r="Y170" s="185">
        <f t="shared" si="131"/>
        <v>0</v>
      </c>
      <c r="Z170" s="196">
        <f t="shared" ca="1" si="132"/>
        <v>9600</v>
      </c>
      <c r="AA170" s="185" t="str">
        <f t="shared" ca="1" si="133"/>
        <v>Offererad produktnr. 02Qlosr Göteborg AB</v>
      </c>
      <c r="AB170" s="185"/>
      <c r="AC170" s="185" t="b">
        <f ca="1">IFERROR(IF(D157="",TRUE,
IF(OR(D157=$CB$12,D157=$CB$13),IF(LEFT(AS170,FIND(" ",AS170)-1)=D157,TRUE,FALSE),
IF(OFFSET(Processor!$AB$1,MATCH($AS170,Processor!$AA$2:$AA$23,0),MATCH(LEFT(D157,FIND(" ",D157)-1),Processor!$AC$1:$AG$1,0))&gt;=
OFFSET(Processor!$AB$1,MATCH(D157,Processor!$AA$2:$AA$23,0),MATCH(LEFT(D157,FIND(" ",D157)-1),Processor!$AC$1:$AG$1,0)),TRUE,FALSE))),FALSE)</f>
        <v>1</v>
      </c>
      <c r="AD170" s="185" t="b">
        <f t="shared" si="134"/>
        <v>1</v>
      </c>
      <c r="AE170" s="185" t="b">
        <f t="shared" si="135"/>
        <v>1</v>
      </c>
      <c r="AF170" s="185" t="b">
        <f>IF($D$155="",TRUE,IF(COUNTIF(Processor!$I$2:$I$9,$D$155)&gt;0,AND(AV170&gt;INDEX(Processor!$J$2:$J$9,MATCH($D$155,Processor!$I$2:$I$9,0)),AV170&lt;INDEX(Processor!$K$2:$K$9,MATCH($D$155,Processor!$I$2:$I$9,0))),IF(AV170=$D$155,TRUE,FALSE)))</f>
        <v>1</v>
      </c>
      <c r="AG170" s="185" t="b">
        <f t="shared" si="136"/>
        <v>1</v>
      </c>
      <c r="AH170" s="185" t="b">
        <f t="shared" si="137"/>
        <v>1</v>
      </c>
      <c r="AI170" s="185" t="b">
        <f t="shared" si="138"/>
        <v>1</v>
      </c>
      <c r="AJ170" s="185" t="b">
        <f t="shared" si="139"/>
        <v>1</v>
      </c>
      <c r="AK170" s="185" t="b">
        <f t="shared" si="140"/>
        <v>1</v>
      </c>
      <c r="AL170" s="185" t="b">
        <f>IFERROR(IF($D166="",TRUE,IF(MID(BC170,LEN(BC170)-2,1)*1&gt;=MID($D166,LEN($D166)-2,1)*1,TRUE,FALSE)),FALSE)</f>
        <v>1</v>
      </c>
      <c r="AM170" s="185" t="b">
        <f>IF(D165="",TRUE,IF(BB170&gt;=D165,TRUE,FALSE))</f>
        <v>1</v>
      </c>
      <c r="AN170" s="185"/>
      <c r="AO170" s="185"/>
      <c r="AP170" s="185" t="s">
        <v>553</v>
      </c>
      <c r="AQ170" s="185">
        <v>1</v>
      </c>
      <c r="AR170" s="185" t="str">
        <f t="shared" ca="1" si="147"/>
        <v>1920x1080</v>
      </c>
      <c r="AS170" s="185" t="str">
        <f t="shared" ca="1" si="147"/>
        <v>Intel i5</v>
      </c>
      <c r="AT170" s="185">
        <f t="shared" ca="1" si="147"/>
        <v>8</v>
      </c>
      <c r="AU170" s="185">
        <f t="shared" ca="1" si="147"/>
        <v>256</v>
      </c>
      <c r="AV170" s="185">
        <f t="shared" ca="1" si="147"/>
        <v>14</v>
      </c>
      <c r="AW170" s="185">
        <f t="shared" ca="1" si="147"/>
        <v>2</v>
      </c>
      <c r="AX170" s="185">
        <f t="shared" ca="1" si="147"/>
        <v>2</v>
      </c>
      <c r="AY170" s="185" t="str">
        <f t="shared" ca="1" si="147"/>
        <v>Ja, HDMI-port finns</v>
      </c>
      <c r="AZ170" s="185" t="str">
        <f t="shared" ca="1" si="147"/>
        <v>802.11a/b/g/n/ac/ax</v>
      </c>
      <c r="BA170" s="185">
        <f t="shared" ca="1" si="147"/>
        <v>5.3</v>
      </c>
      <c r="BB170" s="185">
        <f t="shared" ca="1" si="148"/>
        <v>11</v>
      </c>
      <c r="BC170" s="185" t="str">
        <f t="shared" ca="1" si="148"/>
        <v>Version 8.0</v>
      </c>
      <c r="BD170" s="185" t="str">
        <f t="shared" ca="1" si="148"/>
        <v>Ja</v>
      </c>
      <c r="BE170" s="185" t="str">
        <f t="shared" ca="1" si="148"/>
        <v>Windows 11 Pro</v>
      </c>
      <c r="BF170" s="185" t="str">
        <f t="shared" ca="1" si="148"/>
        <v>Dell Latitude 5440</v>
      </c>
      <c r="BG170" s="185">
        <f t="shared" ca="1" si="148"/>
        <v>9600</v>
      </c>
      <c r="BH170" s="192">
        <f t="shared" ca="1" si="148"/>
        <v>79</v>
      </c>
      <c r="BI170" s="192">
        <f t="shared" ca="1" si="148"/>
        <v>199</v>
      </c>
      <c r="BJ170" s="192">
        <f t="shared" ca="1" si="148"/>
        <v>182</v>
      </c>
      <c r="BK170" s="192">
        <f t="shared" ca="1" si="148"/>
        <v>1138</v>
      </c>
      <c r="BL170" s="192">
        <f t="shared" ca="1" si="149"/>
        <v>151</v>
      </c>
      <c r="BM170" s="192">
        <f t="shared" ca="1" si="149"/>
        <v>70</v>
      </c>
      <c r="BN170" s="192">
        <f t="shared" ca="1" si="149"/>
        <v>25</v>
      </c>
      <c r="BO170" s="192">
        <f t="shared" ca="1" si="149"/>
        <v>25</v>
      </c>
      <c r="BP170" s="192" t="str">
        <f t="shared" ca="1" si="149"/>
        <v>HP</v>
      </c>
      <c r="BQ170" s="192" t="str">
        <f t="shared" ca="1" si="149"/>
        <v>HP</v>
      </c>
      <c r="BR170" s="192" t="str">
        <f t="shared" ca="1" si="149"/>
        <v>Dell</v>
      </c>
      <c r="BS170" s="192" t="str">
        <f t="shared" ca="1" si="149"/>
        <v>HP</v>
      </c>
      <c r="BT170" s="192" t="str">
        <f t="shared" ca="1" si="149"/>
        <v>GBX3E2U7AA</v>
      </c>
      <c r="BU170" s="192" t="str">
        <f t="shared" ca="1" si="149"/>
        <v>GBXJ6E65AA</v>
      </c>
      <c r="BV170" s="192" t="str">
        <f t="shared" ca="1" si="149"/>
        <v>GBXUSBC65W-2</v>
      </c>
      <c r="BW170" s="192" t="str">
        <f t="shared" ca="1" si="149"/>
        <v>GBX5TW10AA</v>
      </c>
      <c r="BX170" s="192"/>
      <c r="BY170" s="192" t="str">
        <f t="shared" ca="1" si="144"/>
        <v>Qlosr Göteborg AB</v>
      </c>
      <c r="BZ170" s="192" t="str">
        <f t="shared" ca="1" si="144"/>
        <v>Dell</v>
      </c>
      <c r="CA170" s="185"/>
      <c r="CB170" s="185"/>
      <c r="CC170" s="185"/>
      <c r="CD170" s="185"/>
      <c r="CE170" s="185"/>
      <c r="CF170" s="185"/>
      <c r="CG170" s="185"/>
      <c r="CH170" s="185"/>
      <c r="CI170" s="185"/>
      <c r="CJ170" s="185"/>
      <c r="CK170" s="185"/>
      <c r="CL170" s="185"/>
      <c r="CM170" s="185"/>
      <c r="CN170" s="185"/>
    </row>
    <row r="171" spans="2:92" ht="26.25" customHeight="1" outlineLevel="1" x14ac:dyDescent="0.35">
      <c r="B171" s="69" t="s">
        <v>340</v>
      </c>
      <c r="C171" s="96" t="s">
        <v>51</v>
      </c>
      <c r="D171" s="131" t="str">
        <f>IF("Ska Ingå"=D170,"Ska Ingå","")</f>
        <v/>
      </c>
      <c r="F171" s="84" t="str">
        <f t="shared" si="150"/>
        <v/>
      </c>
      <c r="G171" s="85" t="str">
        <f t="shared" ca="1" si="151"/>
        <v>HP</v>
      </c>
      <c r="H171" s="85" t="str">
        <f t="shared" ca="1" si="151"/>
        <v>Cirafon</v>
      </c>
      <c r="I171" s="85" t="str">
        <f t="shared" ca="1" si="151"/>
        <v>HP</v>
      </c>
      <c r="J171" s="62"/>
      <c r="Q171" s="185">
        <f t="shared" si="123"/>
        <v>0</v>
      </c>
      <c r="R171" s="185">
        <f t="shared" si="124"/>
        <v>0</v>
      </c>
      <c r="S171" s="185">
        <f t="shared" si="125"/>
        <v>0</v>
      </c>
      <c r="T171" s="185">
        <f t="shared" si="126"/>
        <v>0</v>
      </c>
      <c r="U171" s="185">
        <f t="shared" si="127"/>
        <v>0</v>
      </c>
      <c r="V171" s="185">
        <f t="shared" si="128"/>
        <v>0</v>
      </c>
      <c r="W171" s="185">
        <f t="shared" si="129"/>
        <v>0</v>
      </c>
      <c r="X171" s="185">
        <f t="shared" si="130"/>
        <v>0</v>
      </c>
      <c r="Y171" s="185">
        <f t="shared" si="131"/>
        <v>0</v>
      </c>
      <c r="Z171" s="196">
        <f t="shared" ca="1" si="132"/>
        <v>7640</v>
      </c>
      <c r="AA171" s="185" t="str">
        <f t="shared" ca="1" si="133"/>
        <v>Offererad produktnr. 03Qlosr Göteborg AB</v>
      </c>
      <c r="AB171" s="185"/>
      <c r="AC171" s="185" t="b">
        <f ca="1">IFERROR(IF(D157="",TRUE,
IF(OR(D157=$CB$12,D157=$CB$13),IF(LEFT(AS171,FIND(" ",AS171)-1)=D157,TRUE,FALSE),
IF(OFFSET(Processor!$AB$1,MATCH($AS171,Processor!$AA$2:$AA$23,0),MATCH(LEFT(D157,FIND(" ",D157)-1),Processor!$AC$1:$AG$1,0))&gt;=
OFFSET(Processor!$AB$1,MATCH(D157,Processor!$AA$2:$AA$23,0),MATCH(LEFT(D157,FIND(" ",D157)-1),Processor!$AC$1:$AG$1,0)),TRUE,FALSE))),FALSE)</f>
        <v>1</v>
      </c>
      <c r="AD171" s="185" t="b">
        <f t="shared" si="134"/>
        <v>1</v>
      </c>
      <c r="AE171" s="185" t="b">
        <f t="shared" si="135"/>
        <v>1</v>
      </c>
      <c r="AF171" s="185" t="b">
        <f>IF($D$155="",TRUE,IF(COUNTIF(Processor!$I$2:$I$9,$D$155)&gt;0,AND(AV171&gt;INDEX(Processor!$J$2:$J$9,MATCH($D$155,Processor!$I$2:$I$9,0)),AV171&lt;INDEX(Processor!$K$2:$K$9,MATCH($D$155,Processor!$I$2:$I$9,0))),IF(AV171=$D$155,TRUE,FALSE)))</f>
        <v>1</v>
      </c>
      <c r="AG171" s="185" t="b">
        <f t="shared" si="136"/>
        <v>1</v>
      </c>
      <c r="AH171" s="185" t="b">
        <f t="shared" si="137"/>
        <v>1</v>
      </c>
      <c r="AI171" s="185" t="b">
        <f t="shared" si="138"/>
        <v>1</v>
      </c>
      <c r="AJ171" s="185" t="b">
        <f t="shared" si="139"/>
        <v>1</v>
      </c>
      <c r="AK171" s="185" t="b">
        <f t="shared" si="140"/>
        <v>1</v>
      </c>
      <c r="AL171" s="185" t="b">
        <f>IFERROR(IF($D166="",TRUE,IF(MID(BC171,LEN(BC171)-2,1)*1&gt;=MID($D166,LEN($D166)-2,1)*1,TRUE,FALSE)),FALSE)</f>
        <v>1</v>
      </c>
      <c r="AM171" s="185" t="b">
        <f>IF(D165="",TRUE,IF(BB171&gt;=D165,TRUE,FALSE))</f>
        <v>1</v>
      </c>
      <c r="AN171" s="185"/>
      <c r="AO171" s="185"/>
      <c r="AP171" s="185" t="s">
        <v>554</v>
      </c>
      <c r="AQ171" s="185">
        <v>1</v>
      </c>
      <c r="AR171" s="185" t="str">
        <f t="shared" ca="1" si="147"/>
        <v>1920x1080</v>
      </c>
      <c r="AS171" s="185" t="str">
        <f t="shared" ca="1" si="147"/>
        <v>AMD Ryzen 7</v>
      </c>
      <c r="AT171" s="185">
        <f t="shared" ca="1" si="147"/>
        <v>16</v>
      </c>
      <c r="AU171" s="185">
        <f t="shared" ca="1" si="147"/>
        <v>512</v>
      </c>
      <c r="AV171" s="185">
        <f t="shared" ca="1" si="147"/>
        <v>14</v>
      </c>
      <c r="AW171" s="185">
        <f t="shared" ca="1" si="147"/>
        <v>4</v>
      </c>
      <c r="AX171" s="185">
        <f t="shared" ca="1" si="147"/>
        <v>1</v>
      </c>
      <c r="AY171" s="185" t="str">
        <f t="shared" ca="1" si="147"/>
        <v>Ja, HDMI-port finns</v>
      </c>
      <c r="AZ171" s="185" t="str">
        <f t="shared" ca="1" si="147"/>
        <v>802.11a/b/g/n/ac/ax</v>
      </c>
      <c r="BA171" s="185">
        <f t="shared" ca="1" si="147"/>
        <v>5</v>
      </c>
      <c r="BB171" s="185">
        <f t="shared" ca="1" si="148"/>
        <v>11</v>
      </c>
      <c r="BC171" s="185" t="str">
        <f t="shared" ca="1" si="148"/>
        <v>Version 8.0</v>
      </c>
      <c r="BD171" s="185" t="str">
        <f t="shared" ca="1" si="148"/>
        <v>Ja</v>
      </c>
      <c r="BE171" s="185" t="str">
        <f t="shared" ca="1" si="148"/>
        <v>Windows 10 Pro</v>
      </c>
      <c r="BF171" s="185" t="str">
        <f t="shared" ca="1" si="148"/>
        <v>ProBook 445 G8</v>
      </c>
      <c r="BG171" s="185">
        <f t="shared" ca="1" si="148"/>
        <v>7640</v>
      </c>
      <c r="BH171" s="192">
        <f t="shared" ca="1" si="148"/>
        <v>79</v>
      </c>
      <c r="BI171" s="192">
        <f t="shared" ca="1" si="148"/>
        <v>199</v>
      </c>
      <c r="BJ171" s="192">
        <f t="shared" ca="1" si="148"/>
        <v>106</v>
      </c>
      <c r="BK171" s="192">
        <f t="shared" ca="1" si="148"/>
        <v>949</v>
      </c>
      <c r="BL171" s="192">
        <f t="shared" ca="1" si="149"/>
        <v>151</v>
      </c>
      <c r="BM171" s="192">
        <f t="shared" ca="1" si="149"/>
        <v>70</v>
      </c>
      <c r="BN171" s="192">
        <f t="shared" ca="1" si="149"/>
        <v>25</v>
      </c>
      <c r="BO171" s="192">
        <f t="shared" ca="1" si="149"/>
        <v>25</v>
      </c>
      <c r="BP171" s="192" t="str">
        <f t="shared" ca="1" si="149"/>
        <v>HP</v>
      </c>
      <c r="BQ171" s="192" t="str">
        <f t="shared" ca="1" si="149"/>
        <v>HP</v>
      </c>
      <c r="BR171" s="192" t="str">
        <f t="shared" ca="1" si="149"/>
        <v>HP</v>
      </c>
      <c r="BS171" s="192" t="str">
        <f t="shared" ca="1" si="149"/>
        <v>HP</v>
      </c>
      <c r="BT171" s="192" t="str">
        <f t="shared" ca="1" si="149"/>
        <v>GBX2UW01AA</v>
      </c>
      <c r="BU171" s="192" t="str">
        <f t="shared" ca="1" si="149"/>
        <v>GBXJ6E65AA</v>
      </c>
      <c r="BV171" s="192" t="str">
        <f t="shared" ca="1" si="149"/>
        <v>GBXH6Y88AA</v>
      </c>
      <c r="BW171" s="192" t="str">
        <f t="shared" ca="1" si="149"/>
        <v>GBX5TW10AA</v>
      </c>
      <c r="BX171" s="192"/>
      <c r="BY171" s="192" t="str">
        <f t="shared" ca="1" si="144"/>
        <v>Qlosr Göteborg AB</v>
      </c>
      <c r="BZ171" s="192" t="str">
        <f t="shared" ca="1" si="144"/>
        <v>HP</v>
      </c>
      <c r="CA171" s="185"/>
      <c r="CB171" s="185"/>
      <c r="CC171" s="185"/>
      <c r="CD171" s="185"/>
      <c r="CE171" s="185"/>
      <c r="CF171" s="185"/>
      <c r="CG171" s="185"/>
      <c r="CH171" s="185"/>
      <c r="CI171" s="185"/>
      <c r="CJ171" s="185"/>
      <c r="CK171" s="185"/>
      <c r="CL171" s="185"/>
      <c r="CM171" s="185"/>
      <c r="CN171" s="185"/>
    </row>
    <row r="172" spans="2:92" ht="67.5" customHeight="1" outlineLevel="1" x14ac:dyDescent="0.35">
      <c r="B172" s="69" t="s">
        <v>345</v>
      </c>
      <c r="C172" s="97" t="s">
        <v>52</v>
      </c>
      <c r="D172" s="132" t="str">
        <f>IF("Ska Ingå"=D170,"Ska Ingå","")</f>
        <v/>
      </c>
      <c r="F172" s="86" t="str">
        <f t="shared" si="150"/>
        <v/>
      </c>
      <c r="G172" s="87" t="str">
        <f t="shared" ca="1" si="151"/>
        <v>GBX2UW01AA</v>
      </c>
      <c r="H172" s="87" t="str">
        <f t="shared" ca="1" si="151"/>
        <v>LSN8696R2-14.1</v>
      </c>
      <c r="I172" s="87" t="str">
        <f t="shared" ca="1" si="151"/>
        <v>GBX2UW01AA</v>
      </c>
      <c r="J172" s="62"/>
      <c r="Q172" s="185">
        <f t="shared" si="123"/>
        <v>0</v>
      </c>
      <c r="R172" s="185">
        <f t="shared" si="124"/>
        <v>0</v>
      </c>
      <c r="S172" s="185">
        <f t="shared" si="125"/>
        <v>0</v>
      </c>
      <c r="T172" s="185">
        <f t="shared" si="126"/>
        <v>0</v>
      </c>
      <c r="U172" s="185">
        <f t="shared" si="127"/>
        <v>0</v>
      </c>
      <c r="V172" s="185">
        <f t="shared" si="128"/>
        <v>0</v>
      </c>
      <c r="W172" s="185">
        <f t="shared" si="129"/>
        <v>0</v>
      </c>
      <c r="X172" s="185">
        <f t="shared" si="130"/>
        <v>0</v>
      </c>
      <c r="Y172" s="185">
        <f t="shared" si="131"/>
        <v>0</v>
      </c>
      <c r="Z172" s="196">
        <f t="shared" ca="1" si="132"/>
        <v>8299</v>
      </c>
      <c r="AA172" s="185" t="str">
        <f t="shared" ca="1" si="133"/>
        <v>Offererad produktnr. 04Qlosr Göteborg AB</v>
      </c>
      <c r="AB172" s="185"/>
      <c r="AC172" s="185" t="b">
        <f ca="1">IFERROR(IF(D157="",TRUE,
IF(OR(D157=$CB$12,D157=$CB$13),IF(LEFT(AS172,FIND(" ",AS172)-1)=D157,TRUE,FALSE),
IF(OFFSET(Processor!$AB$1,MATCH($AS172,Processor!$AA$2:$AA$23,0),MATCH(LEFT(D157,FIND(" ",D157)-1),Processor!$AC$1:$AG$1,0))&gt;=
OFFSET(Processor!$AB$1,MATCH(D157,Processor!$AA$2:$AA$23,0),MATCH(LEFT(D157,FIND(" ",D157)-1),Processor!$AC$1:$AG$1,0)),TRUE,FALSE))),FALSE)</f>
        <v>1</v>
      </c>
      <c r="AD172" s="185" t="b">
        <f t="shared" si="134"/>
        <v>1</v>
      </c>
      <c r="AE172" s="185" t="b">
        <f t="shared" si="135"/>
        <v>1</v>
      </c>
      <c r="AF172" s="185" t="b">
        <f>IF($D$155="",TRUE,IF(COUNTIF(Processor!$I$2:$I$9,$D$155)&gt;0,AND(AV172&gt;INDEX(Processor!$J$2:$J$9,MATCH($D$155,Processor!$I$2:$I$9,0)),AV172&lt;INDEX(Processor!$K$2:$K$9,MATCH($D$155,Processor!$I$2:$I$9,0))),IF(AV172=$D$155,TRUE,FALSE)))</f>
        <v>1</v>
      </c>
      <c r="AG172" s="185" t="b">
        <f t="shared" si="136"/>
        <v>1</v>
      </c>
      <c r="AH172" s="185" t="b">
        <f t="shared" si="137"/>
        <v>1</v>
      </c>
      <c r="AI172" s="185" t="b">
        <f t="shared" si="138"/>
        <v>1</v>
      </c>
      <c r="AJ172" s="185" t="b">
        <f t="shared" si="139"/>
        <v>1</v>
      </c>
      <c r="AK172" s="185" t="b">
        <f t="shared" si="140"/>
        <v>1</v>
      </c>
      <c r="AL172" s="185" t="b">
        <f>IFERROR(IF($D166="",TRUE,IF(MID(BC172,LEN(BC172)-2,1)*1&gt;=MID($D166,LEN($D166)-2,1)*1,TRUE,FALSE)),FALSE)</f>
        <v>1</v>
      </c>
      <c r="AM172" s="185" t="b">
        <f>IF(D165="",TRUE,IF(BB172&gt;=D165,TRUE,FALSE))</f>
        <v>1</v>
      </c>
      <c r="AN172" s="185"/>
      <c r="AO172" s="185"/>
      <c r="AP172" s="185" t="s">
        <v>555</v>
      </c>
      <c r="AQ172" s="185">
        <v>1</v>
      </c>
      <c r="AR172" s="185" t="str">
        <f t="shared" ca="1" si="147"/>
        <v>1920x1080</v>
      </c>
      <c r="AS172" s="185" t="str">
        <f t="shared" ca="1" si="147"/>
        <v>Intel i7</v>
      </c>
      <c r="AT172" s="185">
        <f t="shared" ca="1" si="147"/>
        <v>16</v>
      </c>
      <c r="AU172" s="185">
        <f t="shared" ca="1" si="147"/>
        <v>512</v>
      </c>
      <c r="AV172" s="185">
        <f t="shared" ca="1" si="147"/>
        <v>14</v>
      </c>
      <c r="AW172" s="185">
        <f t="shared" ca="1" si="147"/>
        <v>4</v>
      </c>
      <c r="AX172" s="185">
        <f t="shared" ca="1" si="147"/>
        <v>1</v>
      </c>
      <c r="AY172" s="185" t="str">
        <f t="shared" ca="1" si="147"/>
        <v>Ja, HDMI-port finns</v>
      </c>
      <c r="AZ172" s="185" t="str">
        <f t="shared" ca="1" si="147"/>
        <v>802.11a/b/g/n/ac/ax</v>
      </c>
      <c r="BA172" s="185">
        <f t="shared" ca="1" si="147"/>
        <v>5</v>
      </c>
      <c r="BB172" s="185">
        <f t="shared" ca="1" si="148"/>
        <v>11</v>
      </c>
      <c r="BC172" s="185" t="str">
        <f t="shared" ca="1" si="148"/>
        <v>Version 8.0</v>
      </c>
      <c r="BD172" s="185" t="str">
        <f t="shared" ca="1" si="148"/>
        <v>Ja</v>
      </c>
      <c r="BE172" s="185" t="str">
        <f t="shared" ca="1" si="148"/>
        <v>Windows 10 Pro</v>
      </c>
      <c r="BF172" s="185" t="str">
        <f t="shared" ca="1" si="148"/>
        <v>ProBook 440 G8</v>
      </c>
      <c r="BG172" s="185">
        <f t="shared" ca="1" si="148"/>
        <v>8299</v>
      </c>
      <c r="BH172" s="192">
        <f t="shared" ca="1" si="148"/>
        <v>79</v>
      </c>
      <c r="BI172" s="192">
        <f t="shared" ca="1" si="148"/>
        <v>199</v>
      </c>
      <c r="BJ172" s="192">
        <f t="shared" ca="1" si="148"/>
        <v>106</v>
      </c>
      <c r="BK172" s="192">
        <f t="shared" ca="1" si="148"/>
        <v>949</v>
      </c>
      <c r="BL172" s="192">
        <f t="shared" ca="1" si="149"/>
        <v>151</v>
      </c>
      <c r="BM172" s="192">
        <f t="shared" ca="1" si="149"/>
        <v>70</v>
      </c>
      <c r="BN172" s="192">
        <f t="shared" ca="1" si="149"/>
        <v>25</v>
      </c>
      <c r="BO172" s="192">
        <f t="shared" ca="1" si="149"/>
        <v>25</v>
      </c>
      <c r="BP172" s="192" t="str">
        <f t="shared" ca="1" si="149"/>
        <v>HP</v>
      </c>
      <c r="BQ172" s="192" t="str">
        <f t="shared" ca="1" si="149"/>
        <v>HP</v>
      </c>
      <c r="BR172" s="192" t="str">
        <f t="shared" ca="1" si="149"/>
        <v>HP</v>
      </c>
      <c r="BS172" s="192" t="str">
        <f t="shared" ca="1" si="149"/>
        <v>HP</v>
      </c>
      <c r="BT172" s="192" t="str">
        <f t="shared" ca="1" si="149"/>
        <v>GBX2UW01AA</v>
      </c>
      <c r="BU172" s="192" t="str">
        <f t="shared" ca="1" si="149"/>
        <v>GBXJ6E65AA</v>
      </c>
      <c r="BV172" s="192" t="str">
        <f t="shared" ca="1" si="149"/>
        <v>GBXH6Y88AA</v>
      </c>
      <c r="BW172" s="192" t="str">
        <f t="shared" ca="1" si="149"/>
        <v>GBX5TW10AA</v>
      </c>
      <c r="BX172" s="192"/>
      <c r="BY172" s="192" t="str">
        <f t="shared" ca="1" si="144"/>
        <v>Qlosr Göteborg AB</v>
      </c>
      <c r="BZ172" s="192" t="str">
        <f t="shared" ca="1" si="144"/>
        <v>HP</v>
      </c>
      <c r="CA172" s="185"/>
      <c r="CB172" s="185"/>
      <c r="CC172" s="185"/>
      <c r="CD172" s="185"/>
      <c r="CE172" s="185"/>
      <c r="CF172" s="185"/>
      <c r="CG172" s="185"/>
      <c r="CH172" s="185"/>
      <c r="CI172" s="185"/>
      <c r="CJ172" s="185"/>
      <c r="CK172" s="185"/>
      <c r="CL172" s="185"/>
      <c r="CM172" s="185"/>
      <c r="CN172" s="185"/>
    </row>
    <row r="173" spans="2:92" ht="26.25" customHeight="1" outlineLevel="1" x14ac:dyDescent="0.35">
      <c r="B173" s="69" t="s">
        <v>54</v>
      </c>
      <c r="C173" s="98" t="s">
        <v>77</v>
      </c>
      <c r="D173" s="70"/>
      <c r="F173" s="157" t="str">
        <f t="shared" si="150"/>
        <v/>
      </c>
      <c r="G173" s="158">
        <f t="shared" ca="1" si="151"/>
        <v>199</v>
      </c>
      <c r="H173" s="158">
        <f t="shared" ca="1" si="151"/>
        <v>425</v>
      </c>
      <c r="I173" s="158">
        <f t="shared" ca="1" si="151"/>
        <v>199</v>
      </c>
      <c r="J173" s="62"/>
      <c r="BH173" s="63"/>
      <c r="BI173" s="63"/>
      <c r="BJ173" s="63"/>
      <c r="BK173" s="63"/>
      <c r="BL173" s="63"/>
      <c r="BM173" s="63"/>
      <c r="BN173" s="63"/>
      <c r="BO173" s="63"/>
      <c r="BP173" s="63"/>
      <c r="BQ173" s="63"/>
      <c r="BR173" s="63"/>
      <c r="BS173" s="63"/>
      <c r="BT173" s="63"/>
      <c r="BU173" s="63"/>
      <c r="BV173" s="63"/>
      <c r="BW173" s="63"/>
      <c r="BX173" s="63"/>
      <c r="BY173" s="63"/>
      <c r="BZ173" s="63"/>
      <c r="CA173" s="185"/>
      <c r="CB173" s="185"/>
      <c r="CC173" s="185"/>
      <c r="CD173" s="185"/>
      <c r="CE173" s="185"/>
      <c r="CF173" s="185"/>
      <c r="CG173" s="185"/>
      <c r="CH173" s="185"/>
      <c r="CI173" s="185"/>
      <c r="CJ173" s="185"/>
      <c r="CK173" s="185"/>
      <c r="CL173" s="185"/>
      <c r="CM173" s="185"/>
      <c r="CN173" s="185"/>
    </row>
    <row r="174" spans="2:92" ht="26.25" customHeight="1" outlineLevel="1" x14ac:dyDescent="0.35">
      <c r="B174" s="69" t="s">
        <v>341</v>
      </c>
      <c r="C174" s="61" t="s">
        <v>51</v>
      </c>
      <c r="D174" s="131" t="str">
        <f>IF("Ska Ingå"=D173,"Ska Ingå","")</f>
        <v/>
      </c>
      <c r="F174" s="88" t="str">
        <f t="shared" si="150"/>
        <v/>
      </c>
      <c r="G174" s="89" t="str">
        <f t="shared" ca="1" si="151"/>
        <v>HP</v>
      </c>
      <c r="H174" s="89" t="str">
        <f t="shared" ca="1" si="151"/>
        <v>Cirafon</v>
      </c>
      <c r="I174" s="89" t="str">
        <f t="shared" ca="1" si="151"/>
        <v>HP</v>
      </c>
      <c r="J174" s="62"/>
      <c r="BH174" s="63"/>
      <c r="BI174" s="63"/>
      <c r="BJ174" s="63"/>
      <c r="BK174" s="63"/>
      <c r="BL174" s="63"/>
      <c r="BM174" s="63"/>
      <c r="BN174" s="63"/>
      <c r="BO174" s="63"/>
      <c r="BP174" s="63"/>
      <c r="BQ174" s="63"/>
      <c r="BR174" s="63"/>
      <c r="BS174" s="63"/>
      <c r="BT174" s="63"/>
      <c r="BU174" s="63"/>
      <c r="BV174" s="63"/>
      <c r="BW174" s="63"/>
      <c r="BX174" s="63"/>
      <c r="BY174" s="63"/>
      <c r="BZ174" s="63"/>
      <c r="CA174" s="185"/>
      <c r="CB174" s="185"/>
      <c r="CC174" s="185"/>
      <c r="CD174" s="185"/>
      <c r="CE174" s="185"/>
      <c r="CF174" s="185"/>
      <c r="CG174" s="185"/>
      <c r="CH174" s="185"/>
      <c r="CI174" s="185"/>
      <c r="CJ174" s="185"/>
      <c r="CK174" s="185"/>
      <c r="CL174" s="185"/>
      <c r="CM174" s="185"/>
      <c r="CN174" s="185"/>
    </row>
    <row r="175" spans="2:92" ht="68.25" customHeight="1" outlineLevel="1" x14ac:dyDescent="0.35">
      <c r="B175" s="69" t="s">
        <v>346</v>
      </c>
      <c r="C175" s="99" t="s">
        <v>52</v>
      </c>
      <c r="D175" s="132" t="str">
        <f>IF("Ska Ingå"=D173,"Ska Ingå","")</f>
        <v/>
      </c>
      <c r="F175" s="90" t="str">
        <f t="shared" si="150"/>
        <v/>
      </c>
      <c r="G175" s="91" t="str">
        <f t="shared" ca="1" si="151"/>
        <v>GBXJ6E65AA</v>
      </c>
      <c r="H175" s="91" t="str">
        <f t="shared" ca="1" si="151"/>
        <v>DPF14-9</v>
      </c>
      <c r="I175" s="91" t="str">
        <f t="shared" ca="1" si="151"/>
        <v>GBXJ6E65AA</v>
      </c>
      <c r="J175" s="62"/>
      <c r="BH175" s="63"/>
      <c r="BI175" s="63"/>
      <c r="BJ175" s="63"/>
      <c r="BK175" s="63"/>
      <c r="BL175" s="63"/>
      <c r="BM175" s="63"/>
      <c r="BN175" s="63"/>
      <c r="BO175" s="63"/>
      <c r="BP175" s="63"/>
      <c r="BQ175" s="63"/>
      <c r="BR175" s="63"/>
      <c r="BS175" s="63"/>
      <c r="BT175" s="63"/>
      <c r="BU175" s="63"/>
      <c r="BV175" s="63"/>
      <c r="BW175" s="63"/>
      <c r="BX175" s="63"/>
      <c r="BY175" s="63"/>
      <c r="BZ175" s="63"/>
      <c r="CA175" s="185"/>
      <c r="CB175" s="185"/>
      <c r="CC175" s="185"/>
      <c r="CD175" s="185"/>
      <c r="CE175" s="185"/>
      <c r="CF175" s="185"/>
      <c r="CG175" s="185"/>
      <c r="CH175" s="185"/>
      <c r="CI175" s="185"/>
      <c r="CJ175" s="185"/>
      <c r="CK175" s="185"/>
      <c r="CL175" s="185"/>
      <c r="CM175" s="185"/>
      <c r="CN175" s="185"/>
    </row>
    <row r="176" spans="2:92" ht="31.5" customHeight="1" outlineLevel="1" x14ac:dyDescent="0.35">
      <c r="B176" s="69" t="s">
        <v>55</v>
      </c>
      <c r="C176" s="95" t="s">
        <v>371</v>
      </c>
      <c r="D176" s="70"/>
      <c r="F176" s="159" t="str">
        <f t="shared" si="150"/>
        <v/>
      </c>
      <c r="G176" s="160">
        <f t="shared" ca="1" si="151"/>
        <v>106</v>
      </c>
      <c r="H176" s="160">
        <f t="shared" ca="1" si="151"/>
        <v>149</v>
      </c>
      <c r="I176" s="160">
        <f t="shared" ca="1" si="151"/>
        <v>106</v>
      </c>
      <c r="J176" s="62"/>
      <c r="BH176" s="63"/>
      <c r="BI176" s="63"/>
      <c r="BJ176" s="63"/>
      <c r="BK176" s="63"/>
      <c r="BL176" s="63"/>
      <c r="BM176" s="63"/>
      <c r="BN176" s="63"/>
      <c r="BO176" s="63"/>
      <c r="BP176" s="63"/>
      <c r="BQ176" s="63"/>
      <c r="BR176" s="63"/>
      <c r="BS176" s="63"/>
      <c r="BT176" s="63"/>
      <c r="BU176" s="63"/>
      <c r="BV176" s="63"/>
      <c r="BW176" s="63"/>
      <c r="BX176" s="63"/>
      <c r="BY176" s="63"/>
      <c r="BZ176" s="63"/>
      <c r="CA176" s="185"/>
      <c r="CB176" s="185"/>
      <c r="CC176" s="185"/>
      <c r="CD176" s="185"/>
      <c r="CE176" s="185"/>
      <c r="CF176" s="185"/>
      <c r="CG176" s="185"/>
      <c r="CH176" s="185"/>
      <c r="CI176" s="185"/>
      <c r="CJ176" s="185"/>
      <c r="CK176" s="185"/>
      <c r="CL176" s="185"/>
      <c r="CM176" s="185"/>
      <c r="CN176" s="185"/>
    </row>
    <row r="177" spans="2:78" ht="26.25" customHeight="1" outlineLevel="1" x14ac:dyDescent="0.35">
      <c r="B177" s="69" t="s">
        <v>342</v>
      </c>
      <c r="C177" s="96" t="s">
        <v>51</v>
      </c>
      <c r="D177" s="131" t="str">
        <f>IF("Ska Ingå"=D176,"Ska Ingå","")</f>
        <v/>
      </c>
      <c r="F177" s="84" t="str">
        <f t="shared" si="150"/>
        <v/>
      </c>
      <c r="G177" s="85" t="str">
        <f t="shared" ca="1" si="151"/>
        <v>HP</v>
      </c>
      <c r="H177" s="85" t="str">
        <f t="shared" ca="1" si="151"/>
        <v>HP</v>
      </c>
      <c r="I177" s="85" t="str">
        <f t="shared" ca="1" si="151"/>
        <v>HP</v>
      </c>
      <c r="J177" s="62"/>
    </row>
    <row r="178" spans="2:78" ht="67.5" customHeight="1" outlineLevel="1" x14ac:dyDescent="0.35">
      <c r="B178" s="69" t="s">
        <v>347</v>
      </c>
      <c r="C178" s="97" t="s">
        <v>52</v>
      </c>
      <c r="D178" s="132" t="str">
        <f>IF("Ska Ingå"=D176,"Ska Ingå","")</f>
        <v/>
      </c>
      <c r="F178" s="86" t="str">
        <f t="shared" si="150"/>
        <v/>
      </c>
      <c r="G178" s="87" t="str">
        <f t="shared" ca="1" si="151"/>
        <v>GBXH6Y88AA</v>
      </c>
      <c r="H178" s="87" t="str">
        <f t="shared" ca="1" si="151"/>
        <v xml:space="preserve">1MZ01AA </v>
      </c>
      <c r="I178" s="87" t="str">
        <f t="shared" ca="1" si="151"/>
        <v>GBXH6Y88AA</v>
      </c>
      <c r="J178" s="62"/>
    </row>
    <row r="179" spans="2:78" ht="26.25" customHeight="1" outlineLevel="1" x14ac:dyDescent="0.35">
      <c r="B179" s="69" t="s">
        <v>59</v>
      </c>
      <c r="C179" s="98" t="s">
        <v>364</v>
      </c>
      <c r="D179" s="70"/>
      <c r="F179" s="157" t="str">
        <f t="shared" si="150"/>
        <v/>
      </c>
      <c r="G179" s="158">
        <f t="shared" ca="1" si="151"/>
        <v>949</v>
      </c>
      <c r="H179" s="158">
        <f t="shared" ca="1" si="151"/>
        <v>1185</v>
      </c>
      <c r="I179" s="158">
        <f t="shared" ca="1" si="151"/>
        <v>949</v>
      </c>
      <c r="J179" s="62"/>
      <c r="BH179" s="63"/>
      <c r="BI179" s="63"/>
      <c r="BJ179" s="63"/>
      <c r="BK179" s="63"/>
      <c r="BL179" s="63"/>
      <c r="BM179" s="63"/>
      <c r="BN179" s="63"/>
      <c r="BO179" s="63"/>
      <c r="BP179" s="63"/>
      <c r="BQ179" s="63"/>
      <c r="BR179" s="63"/>
      <c r="BS179" s="63"/>
      <c r="BT179" s="63"/>
      <c r="BU179" s="63"/>
      <c r="BV179" s="63"/>
      <c r="BW179" s="63"/>
      <c r="BX179" s="63"/>
      <c r="BY179" s="63"/>
      <c r="BZ179" s="63"/>
    </row>
    <row r="180" spans="2:78" ht="26.25" customHeight="1" outlineLevel="1" x14ac:dyDescent="0.35">
      <c r="B180" s="69" t="s">
        <v>343</v>
      </c>
      <c r="C180" s="61" t="s">
        <v>51</v>
      </c>
      <c r="D180" s="131" t="str">
        <f>IF("Ska Ingå"=D179,"Ska Ingå","")</f>
        <v/>
      </c>
      <c r="F180" s="88" t="str">
        <f t="shared" si="150"/>
        <v/>
      </c>
      <c r="G180" s="89" t="str">
        <f t="shared" ca="1" si="151"/>
        <v>HP</v>
      </c>
      <c r="H180" s="89" t="str">
        <f t="shared" ca="1" si="151"/>
        <v>HP</v>
      </c>
      <c r="I180" s="89" t="str">
        <f t="shared" ca="1" si="151"/>
        <v>HP</v>
      </c>
      <c r="J180" s="62"/>
    </row>
    <row r="181" spans="2:78" ht="67.5" customHeight="1" outlineLevel="1" x14ac:dyDescent="0.35">
      <c r="B181" s="69" t="s">
        <v>348</v>
      </c>
      <c r="C181" s="99" t="s">
        <v>52</v>
      </c>
      <c r="D181" s="132" t="str">
        <f>IF("Ska Ingå"=D179,"Ska Ingå","")</f>
        <v/>
      </c>
      <c r="F181" s="90" t="str">
        <f t="shared" si="150"/>
        <v/>
      </c>
      <c r="G181" s="91" t="str">
        <f t="shared" ca="1" si="151"/>
        <v>GBX5TW10AA</v>
      </c>
      <c r="H181" s="91" t="str">
        <f t="shared" ca="1" si="151"/>
        <v>72C71AA</v>
      </c>
      <c r="I181" s="91" t="str">
        <f t="shared" ca="1" si="151"/>
        <v>GBX5TW10AA</v>
      </c>
      <c r="J181" s="62"/>
      <c r="BH181" s="63"/>
      <c r="BI181" s="63"/>
      <c r="BJ181" s="63"/>
      <c r="BK181" s="63"/>
      <c r="BL181" s="63"/>
      <c r="BM181" s="63"/>
      <c r="BN181" s="63"/>
      <c r="BO181" s="63"/>
      <c r="BP181" s="63"/>
      <c r="BQ181" s="63"/>
      <c r="BR181" s="63"/>
      <c r="BS181" s="63"/>
      <c r="BT181" s="63"/>
      <c r="BU181" s="63"/>
      <c r="BV181" s="63"/>
      <c r="BW181" s="63"/>
      <c r="BX181" s="63"/>
      <c r="BY181" s="63"/>
      <c r="BZ181" s="63"/>
    </row>
    <row r="182" spans="2:78" ht="26.25" customHeight="1" outlineLevel="1" x14ac:dyDescent="0.35">
      <c r="B182" s="69"/>
      <c r="C182" s="212" t="s">
        <v>365</v>
      </c>
      <c r="D182" s="215"/>
      <c r="E182" s="213"/>
      <c r="F182" s="213"/>
      <c r="G182" s="213"/>
      <c r="H182" s="213"/>
      <c r="I182" s="214"/>
      <c r="J182" s="62"/>
      <c r="BH182" s="63"/>
      <c r="BI182" s="63"/>
      <c r="BJ182" s="63"/>
      <c r="BK182" s="63"/>
      <c r="BL182" s="63"/>
      <c r="BM182" s="63"/>
      <c r="BN182" s="63"/>
      <c r="BO182" s="63"/>
      <c r="BP182" s="63"/>
      <c r="BQ182" s="63"/>
      <c r="BR182" s="63"/>
      <c r="BS182" s="63"/>
      <c r="BT182" s="63"/>
      <c r="BU182" s="63"/>
      <c r="BV182" s="63"/>
      <c r="BW182" s="63"/>
      <c r="BX182" s="63"/>
      <c r="BY182" s="63"/>
      <c r="BZ182" s="63"/>
    </row>
    <row r="183" spans="2:78" ht="26.25" customHeight="1" outlineLevel="1" x14ac:dyDescent="0.35">
      <c r="B183" s="71" t="s">
        <v>228</v>
      </c>
      <c r="C183" s="115" t="s">
        <v>367</v>
      </c>
      <c r="D183" s="70"/>
      <c r="F183" s="151" t="str">
        <f>IF(F$151="Inget antal angivet","",IFERROR(INDEX($AR$152:$BZ$179,MATCH(F$148,$AP$152:$AP$179,0),MATCH($B183,$AR$152:$BZ$152,0)),""))</f>
        <v/>
      </c>
      <c r="G183" s="152">
        <f t="shared" ref="G183:I186" ca="1" si="152">IFERROR(INDEX($AR$152:$BZ$179,MATCH(G$148,$AP$152:$AP$179,0),MATCH($B183,$AR$152:$BZ$152,0)),"")</f>
        <v>151</v>
      </c>
      <c r="H183" s="152">
        <f t="shared" ca="1" si="152"/>
        <v>450</v>
      </c>
      <c r="I183" s="152">
        <f t="shared" ca="1" si="152"/>
        <v>151</v>
      </c>
      <c r="J183" s="62"/>
    </row>
    <row r="184" spans="2:78" ht="26.25" customHeight="1" outlineLevel="1" x14ac:dyDescent="0.35">
      <c r="B184" s="71" t="s">
        <v>229</v>
      </c>
      <c r="C184" s="61" t="s">
        <v>368</v>
      </c>
      <c r="D184" s="70"/>
      <c r="F184" s="153" t="str">
        <f>IF(F$151="Inget antal angivet","",IFERROR(INDEX($AR$152:$BZ$179,MATCH(F$148,$AP$152:$AP$179,0),MATCH($B184,$AR$152:$BZ$152,0)),""))</f>
        <v/>
      </c>
      <c r="G184" s="154">
        <f t="shared" ca="1" si="152"/>
        <v>70</v>
      </c>
      <c r="H184" s="154">
        <f t="shared" ca="1" si="152"/>
        <v>133</v>
      </c>
      <c r="I184" s="154">
        <f t="shared" ca="1" si="152"/>
        <v>70</v>
      </c>
      <c r="J184" s="62"/>
    </row>
    <row r="185" spans="2:78" ht="26.25" customHeight="1" outlineLevel="1" x14ac:dyDescent="0.35">
      <c r="B185" s="71" t="s">
        <v>230</v>
      </c>
      <c r="C185" s="96" t="s">
        <v>369</v>
      </c>
      <c r="D185" s="70"/>
      <c r="F185" s="155" t="str">
        <f>IF(F$151="Inget antal angivet","",IFERROR(INDEX($AR$152:$BZ$179,MATCH(F$148,$AP$152:$AP$179,0),MATCH($B185,$AR$152:$BZ$152,0)),""))</f>
        <v/>
      </c>
      <c r="G185" s="156">
        <f t="shared" ca="1" si="152"/>
        <v>25</v>
      </c>
      <c r="H185" s="156">
        <f t="shared" ca="1" si="152"/>
        <v>20</v>
      </c>
      <c r="I185" s="156">
        <f t="shared" ca="1" si="152"/>
        <v>25</v>
      </c>
      <c r="J185" s="62"/>
    </row>
    <row r="186" spans="2:78" ht="26.25" customHeight="1" outlineLevel="1" x14ac:dyDescent="0.35">
      <c r="B186" s="71" t="s">
        <v>231</v>
      </c>
      <c r="C186" s="61" t="s">
        <v>370</v>
      </c>
      <c r="D186" s="70"/>
      <c r="F186" s="153" t="str">
        <f>IF(F$151="Inget antal angivet","",IFERROR(INDEX($AR$152:$BZ$179,MATCH(F$148,$AP$152:$AP$179,0),MATCH($B186,$AR$152:$BZ$152,0)),""))</f>
        <v/>
      </c>
      <c r="G186" s="154">
        <f t="shared" ca="1" si="152"/>
        <v>25</v>
      </c>
      <c r="H186" s="154">
        <f t="shared" ca="1" si="152"/>
        <v>20</v>
      </c>
      <c r="I186" s="154">
        <f t="shared" ca="1" si="152"/>
        <v>25</v>
      </c>
      <c r="J186" s="62"/>
    </row>
    <row r="187" spans="2:78" ht="24" customHeight="1" outlineLevel="1" x14ac:dyDescent="0.35"/>
    <row r="188" spans="2:78" ht="24" customHeight="1" x14ac:dyDescent="0.35"/>
    <row r="189" spans="2:78" ht="24" customHeight="1" x14ac:dyDescent="0.35">
      <c r="D189" s="72" t="s">
        <v>233</v>
      </c>
      <c r="F189" s="216" t="s">
        <v>362</v>
      </c>
      <c r="G189" s="216"/>
      <c r="H189" s="216"/>
      <c r="I189" s="217"/>
      <c r="J189" s="73"/>
    </row>
    <row r="190" spans="2:78" ht="24" customHeight="1" x14ac:dyDescent="0.35">
      <c r="D190" s="74"/>
      <c r="F190" s="202" t="str">
        <f ca="1">IFERROR(INDEX($Z$153:$Z$179,MATCH(F148,$AA$153:$AA$179,0))*D190,"")</f>
        <v/>
      </c>
      <c r="G190" s="202">
        <f ca="1">IFERROR(P153 *D190,"")</f>
        <v>0</v>
      </c>
      <c r="H190" s="202">
        <f ca="1">IFERROR(P154 *D190,"")</f>
        <v>0</v>
      </c>
      <c r="I190" s="202">
        <f ca="1">IFERROR(P155 * D190,"")</f>
        <v>0</v>
      </c>
      <c r="J190" s="54"/>
    </row>
    <row r="192" spans="2:78" ht="15" thickBot="1" x14ac:dyDescent="0.4">
      <c r="C192" s="174"/>
      <c r="D192" s="174"/>
      <c r="E192" s="174"/>
      <c r="F192" s="174"/>
      <c r="G192" s="174"/>
      <c r="H192" s="174"/>
      <c r="I192" s="174"/>
    </row>
    <row r="193" spans="2:92" ht="15" thickTop="1" x14ac:dyDescent="0.35"/>
    <row r="195" spans="2:92" ht="59.25" customHeight="1" collapsed="1" x14ac:dyDescent="0.35">
      <c r="C195" s="53"/>
      <c r="D195" s="53"/>
      <c r="F195" s="169" t="e">
        <f ca="1">N199</f>
        <v>#N/A</v>
      </c>
      <c r="G195" s="169" t="str">
        <f ca="1">INDEX(AA200:AA226,MATCH(P200,Z200:Z226,0))</f>
        <v>Offererad produktnr. 01Qlosr Göteborg AB</v>
      </c>
      <c r="H195" s="169" t="str">
        <f ca="1">INDEX(AA200:AA226,MATCH(P201,Z200:Z226,0))</f>
        <v>Offererad produktnr. 01Dustin Sverige AB</v>
      </c>
      <c r="I195" s="169" t="str">
        <f ca="1">INDEX(AA200:AA226,MATCH(P202,Z200:Z226,0))</f>
        <v>Offererad produktnr. 03Qlosr Göteborg AB</v>
      </c>
      <c r="J195" s="54"/>
      <c r="AR195" s="12" t="s">
        <v>124</v>
      </c>
      <c r="AS195" s="12" t="s">
        <v>124</v>
      </c>
      <c r="AT195" s="12" t="s">
        <v>124</v>
      </c>
      <c r="AU195" s="12" t="s">
        <v>124</v>
      </c>
      <c r="AV195" s="12" t="s">
        <v>124</v>
      </c>
      <c r="AW195" s="12" t="s">
        <v>124</v>
      </c>
      <c r="AX195" s="12" t="s">
        <v>124</v>
      </c>
      <c r="AY195" s="12" t="s">
        <v>124</v>
      </c>
      <c r="AZ195" s="12" t="s">
        <v>124</v>
      </c>
      <c r="BA195" s="12" t="s">
        <v>124</v>
      </c>
      <c r="BB195" s="12" t="s">
        <v>124</v>
      </c>
      <c r="BC195" s="12" t="s">
        <v>124</v>
      </c>
      <c r="BD195" s="12" t="s">
        <v>124</v>
      </c>
      <c r="BE195" s="12" t="s">
        <v>124</v>
      </c>
      <c r="BF195" s="12" t="s">
        <v>124</v>
      </c>
      <c r="BG195" s="12" t="s">
        <v>124</v>
      </c>
      <c r="BH195" s="12" t="s">
        <v>124</v>
      </c>
      <c r="BI195" s="12" t="s">
        <v>124</v>
      </c>
      <c r="BJ195" s="12" t="s">
        <v>124</v>
      </c>
      <c r="BK195" s="12" t="s">
        <v>124</v>
      </c>
      <c r="BL195" s="12" t="s">
        <v>124</v>
      </c>
      <c r="BM195" s="12" t="s">
        <v>124</v>
      </c>
      <c r="BN195" s="12" t="s">
        <v>124</v>
      </c>
      <c r="BO195" s="12" t="s">
        <v>124</v>
      </c>
      <c r="BP195" s="12" t="s">
        <v>124</v>
      </c>
      <c r="BQ195" s="12" t="s">
        <v>124</v>
      </c>
      <c r="BR195" s="12" t="s">
        <v>124</v>
      </c>
      <c r="BS195" s="12" t="s">
        <v>124</v>
      </c>
      <c r="BT195" s="12" t="s">
        <v>124</v>
      </c>
      <c r="BU195" s="12" t="s">
        <v>124</v>
      </c>
      <c r="BV195" s="12" t="s">
        <v>124</v>
      </c>
      <c r="BW195" s="12" t="s">
        <v>124</v>
      </c>
      <c r="BX195" s="12"/>
      <c r="BY195" s="12" t="s">
        <v>124</v>
      </c>
      <c r="BZ195" s="12" t="s">
        <v>124</v>
      </c>
      <c r="CA195" s="12"/>
      <c r="CB195" s="12"/>
      <c r="CC195" s="12"/>
      <c r="CD195" s="12"/>
      <c r="CE195" s="12"/>
      <c r="CF195" s="12"/>
      <c r="CG195" s="12"/>
      <c r="CH195" s="12"/>
      <c r="CI195" s="12"/>
      <c r="CJ195" s="12"/>
      <c r="CK195" s="12"/>
      <c r="CL195" s="12"/>
      <c r="CM195" s="12"/>
      <c r="CN195" s="12"/>
    </row>
    <row r="196" spans="2:92" ht="33" customHeight="1" thickBot="1" x14ac:dyDescent="0.4">
      <c r="C196" s="53"/>
      <c r="D196" s="53"/>
      <c r="F196" s="140" t="s">
        <v>446</v>
      </c>
      <c r="G196" s="205" t="s">
        <v>447</v>
      </c>
      <c r="H196" s="205"/>
      <c r="I196" s="205"/>
      <c r="J196" s="54"/>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row>
    <row r="197" spans="2:92" ht="22.5" customHeight="1" thickBot="1" x14ac:dyDescent="0.4">
      <c r="B197" t="str">
        <f ca="1" xml:space="preserve"> "Produkt "  &amp; B198</f>
        <v>Produkt 5</v>
      </c>
      <c r="C197" s="206" t="str">
        <f>IF(F198="Ingen produkt motsvarar","Felmeddelande",IF(COUNTIF($P$1:$P$6,TRUE)&gt;0,"","Felmeddelande"))</f>
        <v/>
      </c>
      <c r="D197" s="207"/>
      <c r="F197" s="208" t="s">
        <v>271</v>
      </c>
      <c r="G197" s="209"/>
      <c r="H197" s="209"/>
      <c r="I197" s="209"/>
      <c r="J197" s="55"/>
      <c r="O197">
        <v>1</v>
      </c>
      <c r="AR197" s="13" t="str">
        <f t="shared" ref="AR197:BF197" si="153">AR199</f>
        <v>Upplösning</v>
      </c>
      <c r="AS197" s="13" t="str">
        <f t="shared" si="153"/>
        <v>Processor</v>
      </c>
      <c r="AT197" s="13" t="str">
        <f t="shared" si="153"/>
        <v>Internminne (GB)</v>
      </c>
      <c r="AU197" s="13" t="str">
        <f t="shared" si="153"/>
        <v>Hårddisk</v>
      </c>
      <c r="AV197" s="13" t="str">
        <f t="shared" si="153"/>
        <v>Skärmstorlek (tum)</v>
      </c>
      <c r="AW197" s="13" t="str">
        <f t="shared" si="153"/>
        <v>Portar USB</v>
      </c>
      <c r="AX197" s="13" t="str">
        <f t="shared" si="153"/>
        <v>Portar USB C</v>
      </c>
      <c r="AY197" s="13" t="str">
        <f t="shared" si="153"/>
        <v>Portar HDMI/Display</v>
      </c>
      <c r="AZ197" s="13" t="str">
        <f t="shared" si="153"/>
        <v>Kommunikation WLAN</v>
      </c>
      <c r="BA197" s="13" t="str">
        <f t="shared" si="153"/>
        <v>Kommunikation Bluetooth</v>
      </c>
      <c r="BB197" s="13" t="str">
        <f t="shared" si="153"/>
        <v>Batteritid (tim)</v>
      </c>
      <c r="BC197" s="13" t="str">
        <f t="shared" si="153"/>
        <v>Energiprestanda</v>
      </c>
      <c r="BD197" s="13" t="str">
        <f t="shared" si="153"/>
        <v>Låsskydd</v>
      </c>
      <c r="BE197" s="13" t="str">
        <f t="shared" si="153"/>
        <v>Operativsystem</v>
      </c>
      <c r="BF197" s="13" t="str">
        <f t="shared" si="153"/>
        <v>Modellbenämning</v>
      </c>
      <c r="BG197" t="s">
        <v>224</v>
      </c>
      <c r="BH197" s="56" t="s">
        <v>53</v>
      </c>
      <c r="BI197" s="56" t="s">
        <v>54</v>
      </c>
      <c r="BJ197" s="56" t="s">
        <v>55</v>
      </c>
      <c r="BK197" s="56" t="s">
        <v>59</v>
      </c>
      <c r="BL197" s="57" t="s">
        <v>228</v>
      </c>
      <c r="BM197" s="57" t="s">
        <v>229</v>
      </c>
      <c r="BN197" s="57" t="s">
        <v>230</v>
      </c>
      <c r="BO197" s="57" t="s">
        <v>231</v>
      </c>
      <c r="BP197" s="57" t="s">
        <v>340</v>
      </c>
      <c r="BQ197" s="57" t="s">
        <v>341</v>
      </c>
      <c r="BR197" s="57" t="s">
        <v>342</v>
      </c>
      <c r="BS197" s="57" t="s">
        <v>343</v>
      </c>
      <c r="BT197" s="57" t="s">
        <v>345</v>
      </c>
      <c r="BU197" s="57" t="s">
        <v>346</v>
      </c>
      <c r="BV197" s="57" t="s">
        <v>347</v>
      </c>
      <c r="BW197" s="57" t="s">
        <v>348</v>
      </c>
      <c r="BX197" s="57"/>
      <c r="BY197" s="57" t="s">
        <v>6</v>
      </c>
      <c r="BZ197" s="4" t="s">
        <v>51</v>
      </c>
      <c r="CA197" s="13"/>
      <c r="CB197" s="13"/>
      <c r="CC197" s="13"/>
      <c r="CD197" s="13"/>
      <c r="CE197" s="13"/>
      <c r="CF197" s="13"/>
      <c r="CG197" s="13"/>
      <c r="CH197" s="13"/>
      <c r="CI197" s="13"/>
      <c r="CJ197" s="13"/>
      <c r="CK197" s="13"/>
      <c r="CL197" s="13"/>
      <c r="CM197" s="13"/>
      <c r="CN197" s="13"/>
    </row>
    <row r="198" spans="2:92" ht="22.5" customHeight="1" x14ac:dyDescent="0.35">
      <c r="B198">
        <f ca="1">COUNTIF($F$6:F201,"Produkt I varukorg*")</f>
        <v>5</v>
      </c>
      <c r="C198" t="s">
        <v>474</v>
      </c>
      <c r="F198" s="187" t="str" cm="1">
        <f t="array" ref="F198">IF(D237&lt;1,"Inget antal angivet",IFERROR(INDEX($Z200:$Z226,MATCH(F195,$AA200:$AA226,0),0),"Ingen produkt motsvarar"))</f>
        <v>Inget antal angivet</v>
      </c>
      <c r="G198" s="188">
        <f ca="1">IFERROR(P200,"Ingen produkt motsvarar")</f>
        <v>6420</v>
      </c>
      <c r="H198" s="188">
        <f ca="1">IFERROR(P201,"")</f>
        <v>7599</v>
      </c>
      <c r="I198" s="188">
        <f ca="1">IFERROR(P202,"")</f>
        <v>7640</v>
      </c>
      <c r="J198" s="54"/>
      <c r="AA198" t="str">
        <f>IF(COUNTIF(AB198:AK198,FALSE)&gt;0,AP198,"")</f>
        <v/>
      </c>
      <c r="AB198" t="b">
        <f>IF($D$203="",TRUE,IF(AR198=$D$203,TRUE,FALSE))</f>
        <v>1</v>
      </c>
      <c r="AC198" t="b">
        <f>IF(D200="",TRUE,IF(AS198=$D$204,TRUE,FALSE))</f>
        <v>1</v>
      </c>
      <c r="AD198" t="b">
        <f>IF(D203="",TRUE,IF(AT198=D203,TRUE,FALSE))</f>
        <v>1</v>
      </c>
      <c r="AE198" t="b">
        <f>IF(D204="",TRUE,IF(AU198=D204,TRUE,FALSE))</f>
        <v>1</v>
      </c>
      <c r="AF198" t="b">
        <f>IF(D205="",TRUE,IF(AV198=D205,TRUE,FALSE))</f>
        <v>1</v>
      </c>
      <c r="AG198" t="b">
        <f>IF(D206="",TRUE,IF(AW198=D206,TRUE,FALSE))</f>
        <v>1</v>
      </c>
      <c r="AH198" t="b">
        <f>IF(D202="",TRUE,IF(AX198=D202,TRUE,FALSE))</f>
        <v>1</v>
      </c>
      <c r="AI198" t="b">
        <f>IF(D207="",TRUE,IF(AY198=D207,TRUE,FALSE))</f>
        <v>1</v>
      </c>
      <c r="AJ198" t="b">
        <f>IF(D208="",TRUE,IF(AZ198=D208,TRUE,FALSE))</f>
        <v>1</v>
      </c>
      <c r="AK198" t="b">
        <f>IF(D209="",TRUE,IF(BA198=D209,TRUE,FALSE))</f>
        <v>1</v>
      </c>
      <c r="AP198" t="s">
        <v>126</v>
      </c>
      <c r="AR198" s="58" t="str">
        <f t="shared" ref="AR198:BW198" ca="1" si="154">IFERROR(INDEX(INDIRECT(AR$195&amp;"!$A$10:CC100000"),MATCH($AP198,INDIRECT(AR$195&amp;"!BH$10:BH100000"),0),MATCH(AR$197,INDIRECT(AR$195&amp;"!a10:CC10"),0)),"False")</f>
        <v>False</v>
      </c>
      <c r="AS198" s="58" t="str">
        <f t="shared" ca="1" si="154"/>
        <v>False</v>
      </c>
      <c r="AT198" s="58" t="str">
        <f t="shared" ca="1" si="154"/>
        <v>False</v>
      </c>
      <c r="AU198" s="58" t="str">
        <f t="shared" ca="1" si="154"/>
        <v>False</v>
      </c>
      <c r="AV198" s="58" t="str">
        <f t="shared" ca="1" si="154"/>
        <v>False</v>
      </c>
      <c r="AW198" s="58" t="str">
        <f t="shared" ca="1" si="154"/>
        <v>False</v>
      </c>
      <c r="AX198" s="58" t="str">
        <f t="shared" ca="1" si="154"/>
        <v>False</v>
      </c>
      <c r="AY198" s="58" t="str">
        <f t="shared" ca="1" si="154"/>
        <v>False</v>
      </c>
      <c r="AZ198" s="58" t="str">
        <f t="shared" ca="1" si="154"/>
        <v>False</v>
      </c>
      <c r="BA198" s="58" t="str">
        <f t="shared" ca="1" si="154"/>
        <v>False</v>
      </c>
      <c r="BB198" s="58" t="str">
        <f t="shared" ca="1" si="154"/>
        <v>False</v>
      </c>
      <c r="BC198" s="58" t="str">
        <f t="shared" ca="1" si="154"/>
        <v>False</v>
      </c>
      <c r="BD198" s="58" t="str">
        <f t="shared" ca="1" si="154"/>
        <v>False</v>
      </c>
      <c r="BE198" s="58" t="str">
        <f t="shared" ca="1" si="154"/>
        <v>False</v>
      </c>
      <c r="BF198" s="58" t="str">
        <f t="shared" ca="1" si="154"/>
        <v>False</v>
      </c>
      <c r="BG198" s="58" t="str">
        <f t="shared" ca="1" si="154"/>
        <v>False</v>
      </c>
      <c r="BH198" s="58" t="str">
        <f t="shared" ca="1" si="154"/>
        <v>False</v>
      </c>
      <c r="BI198" s="58" t="str">
        <f t="shared" ca="1" si="154"/>
        <v>False</v>
      </c>
      <c r="BJ198" s="58" t="str">
        <f t="shared" ca="1" si="154"/>
        <v>False</v>
      </c>
      <c r="BK198" s="58" t="str">
        <f t="shared" ca="1" si="154"/>
        <v>False</v>
      </c>
      <c r="BL198" s="58" t="str">
        <f t="shared" ca="1" si="154"/>
        <v>False</v>
      </c>
      <c r="BM198" s="58" t="str">
        <f t="shared" ca="1" si="154"/>
        <v>False</v>
      </c>
      <c r="BN198" s="58" t="str">
        <f t="shared" ca="1" si="154"/>
        <v>False</v>
      </c>
      <c r="BO198" s="58" t="str">
        <f t="shared" ca="1" si="154"/>
        <v>False</v>
      </c>
      <c r="BP198" s="58" t="str">
        <f t="shared" ca="1" si="154"/>
        <v>False</v>
      </c>
      <c r="BQ198" s="58" t="str">
        <f t="shared" ca="1" si="154"/>
        <v>False</v>
      </c>
      <c r="BR198" s="58" t="str">
        <f t="shared" ca="1" si="154"/>
        <v>False</v>
      </c>
      <c r="BS198" s="58" t="str">
        <f t="shared" ca="1" si="154"/>
        <v>False</v>
      </c>
      <c r="BT198" s="58" t="str">
        <f t="shared" ca="1" si="154"/>
        <v>False</v>
      </c>
      <c r="BU198" s="58" t="str">
        <f t="shared" ca="1" si="154"/>
        <v>False</v>
      </c>
      <c r="BV198" s="58" t="str">
        <f t="shared" ca="1" si="154"/>
        <v>False</v>
      </c>
      <c r="BW198" s="58" t="str">
        <f t="shared" ca="1" si="154"/>
        <v>False</v>
      </c>
      <c r="BX198" s="58"/>
      <c r="BY198" s="58" t="str">
        <f ca="1">IFERROR(INDEX(INDIRECT(BY$195&amp;"!$A$10:CC100000"),MATCH($AP198,INDIRECT(BY$195&amp;"!BH$10:BH100000"),0),MATCH(BY$197,INDIRECT(BY$195&amp;"!a10:CC10"),0)),"False")</f>
        <v>False</v>
      </c>
      <c r="BZ198" s="58" t="str">
        <f ca="1">IFERROR(INDEX(INDIRECT(BZ$195&amp;"!$A$10:CC100000"),MATCH($AP198,INDIRECT(BZ$195&amp;"!BH$10:BH100000"),0),MATCH(BZ$197,INDIRECT(BZ$195&amp;"!a10:CC10"),0)),"False")</f>
        <v>False</v>
      </c>
      <c r="CA198" s="58"/>
      <c r="CB198" s="58"/>
      <c r="CC198" s="58"/>
      <c r="CD198" s="58"/>
      <c r="CE198" s="58"/>
      <c r="CF198" s="58"/>
      <c r="CG198" s="58"/>
      <c r="CH198" s="58"/>
      <c r="CI198" s="58"/>
      <c r="CJ198" s="58"/>
      <c r="CK198" s="58"/>
      <c r="CL198" s="58"/>
      <c r="CM198" s="58"/>
      <c r="CN198" s="58"/>
    </row>
    <row r="199" spans="2:92" ht="22.5" customHeight="1" x14ac:dyDescent="0.35">
      <c r="C199" s="210" t="str">
        <f ca="1" xml:space="preserve"> "Bärbar dator (A) "  &amp; RIGHT("00" &amp; B198,2)</f>
        <v>Bärbar dator (A) 05</v>
      </c>
      <c r="D199" s="211"/>
      <c r="F199" s="59" t="str">
        <f>IF(F$198="Inget antal angivet","",IFERROR(INDEX($AR$199:$BZ$226,MATCH(F$195,$AP$199:$AP$226,0),MATCH("Modellbenämning",$AR$199:$BZ$199,0)),""))</f>
        <v/>
      </c>
      <c r="G199" s="59" t="str">
        <f ca="1">IFERROR(INDEX($AR$199:$BZ$226,MATCH(G$195,$AP$199:$AP$226,0),MATCH("Modellbenämning",$AR$199:$BZ$199,0)),"")</f>
        <v>ProBook 445 G8</v>
      </c>
      <c r="H199" s="59" t="str">
        <f ca="1">IFERROR(INDEX($AR$199:$BZ$226,MATCH(H$195,$AP$199:$AP$226,0),MATCH("Modellbenämning",$AR$199:$BZ$199,0)),"")</f>
        <v>ProBook 445 G10</v>
      </c>
      <c r="I199" s="59" t="str">
        <f ca="1">IFERROR(INDEX($AR$199:$BZ$226,MATCH(I$195,$AP$199:$AP$226,0),MATCH("Modellbenämning",$AR$199:$BZ$199,0)),"")</f>
        <v>ProBook 445 G8</v>
      </c>
      <c r="J199" s="60"/>
      <c r="K199" s="195"/>
      <c r="L199" s="195"/>
      <c r="M199" s="195"/>
      <c r="N199" s="195" t="e">
        <f ca="1">INDEX($N$200:$N$205,MATCH(Överblick!$L$2,$M$200:$M$205,0))</f>
        <v>#N/A</v>
      </c>
      <c r="O199" s="195"/>
      <c r="P199" s="195"/>
      <c r="Q199" s="195"/>
      <c r="R199" s="195">
        <v>1</v>
      </c>
      <c r="S199" s="195">
        <v>2</v>
      </c>
      <c r="T199" s="195">
        <v>3</v>
      </c>
      <c r="U199" s="195">
        <v>4</v>
      </c>
      <c r="V199" s="195">
        <v>5</v>
      </c>
      <c r="W199" s="195">
        <v>6</v>
      </c>
      <c r="X199" s="195">
        <v>7</v>
      </c>
      <c r="Y199" s="195">
        <v>8</v>
      </c>
      <c r="Z199" s="195"/>
      <c r="AA199" s="195" t="s">
        <v>122</v>
      </c>
      <c r="AB199" s="195" t="s">
        <v>2</v>
      </c>
      <c r="AC199" s="195" t="s">
        <v>4</v>
      </c>
      <c r="AD199" s="195" t="s">
        <v>119</v>
      </c>
      <c r="AE199" s="195" t="s">
        <v>16</v>
      </c>
      <c r="AF199" s="195" t="s">
        <v>7</v>
      </c>
      <c r="AG199" s="195" t="s">
        <v>67</v>
      </c>
      <c r="AH199" s="195" t="s">
        <v>74</v>
      </c>
      <c r="AI199" s="195" t="s">
        <v>97</v>
      </c>
      <c r="AJ199" s="195" t="s">
        <v>103</v>
      </c>
      <c r="AK199" s="195" t="s">
        <v>75</v>
      </c>
      <c r="AL199" s="195" t="s">
        <v>38</v>
      </c>
      <c r="AM199" s="195" t="s">
        <v>120</v>
      </c>
      <c r="AN199" s="195"/>
      <c r="AO199" s="195"/>
      <c r="AP199" s="195" t="s">
        <v>222</v>
      </c>
      <c r="AQ199" s="195">
        <v>1</v>
      </c>
      <c r="AR199" s="195" t="s">
        <v>2</v>
      </c>
      <c r="AS199" s="195" t="s">
        <v>4</v>
      </c>
      <c r="AT199" s="195" t="s">
        <v>119</v>
      </c>
      <c r="AU199" s="195" t="s">
        <v>16</v>
      </c>
      <c r="AV199" s="195" t="s">
        <v>7</v>
      </c>
      <c r="AW199" s="195" t="s">
        <v>67</v>
      </c>
      <c r="AX199" s="195" t="s">
        <v>74</v>
      </c>
      <c r="AY199" s="195" t="s">
        <v>97</v>
      </c>
      <c r="AZ199" s="195" t="s">
        <v>103</v>
      </c>
      <c r="BA199" s="195" t="s">
        <v>75</v>
      </c>
      <c r="BB199" s="195" t="s">
        <v>120</v>
      </c>
      <c r="BC199" s="195" t="s">
        <v>38</v>
      </c>
      <c r="BD199" s="195" t="s">
        <v>37</v>
      </c>
      <c r="BE199" s="195" t="s">
        <v>3</v>
      </c>
      <c r="BF199" s="195" t="s">
        <v>52</v>
      </c>
      <c r="BG199" s="195" t="s">
        <v>25</v>
      </c>
      <c r="BH199" s="195" t="s">
        <v>53</v>
      </c>
      <c r="BI199" s="195" t="s">
        <v>54</v>
      </c>
      <c r="BJ199" s="195" t="s">
        <v>55</v>
      </c>
      <c r="BK199" s="195" t="s">
        <v>59</v>
      </c>
      <c r="BL199" s="195" t="s">
        <v>228</v>
      </c>
      <c r="BM199" s="195" t="s">
        <v>229</v>
      </c>
      <c r="BN199" s="195" t="s">
        <v>230</v>
      </c>
      <c r="BO199" s="195" t="s">
        <v>231</v>
      </c>
      <c r="BP199" s="195" t="s">
        <v>340</v>
      </c>
      <c r="BQ199" s="195" t="s">
        <v>341</v>
      </c>
      <c r="BR199" s="195" t="s">
        <v>342</v>
      </c>
      <c r="BS199" s="195" t="s">
        <v>343</v>
      </c>
      <c r="BT199" s="195" t="s">
        <v>345</v>
      </c>
      <c r="BU199" s="195" t="s">
        <v>346</v>
      </c>
      <c r="BV199" s="195" t="s">
        <v>347</v>
      </c>
      <c r="BW199" s="195" t="s">
        <v>348</v>
      </c>
      <c r="BX199" s="195"/>
      <c r="BY199" s="195" t="s">
        <v>6</v>
      </c>
      <c r="BZ199" s="195" t="s">
        <v>51</v>
      </c>
      <c r="CA199" s="184" t="s">
        <v>2</v>
      </c>
      <c r="CB199" s="184" t="s">
        <v>4</v>
      </c>
      <c r="CC199" s="184" t="s">
        <v>119</v>
      </c>
      <c r="CD199" s="184" t="s">
        <v>16</v>
      </c>
      <c r="CE199" s="184" t="s">
        <v>7</v>
      </c>
      <c r="CF199" s="184" t="s">
        <v>67</v>
      </c>
      <c r="CG199" s="184" t="s">
        <v>74</v>
      </c>
      <c r="CH199" s="184" t="s">
        <v>97</v>
      </c>
      <c r="CI199" s="184" t="s">
        <v>103</v>
      </c>
      <c r="CJ199" s="184" t="s">
        <v>75</v>
      </c>
      <c r="CK199" s="184" t="s">
        <v>120</v>
      </c>
      <c r="CL199" s="184" t="s">
        <v>38</v>
      </c>
      <c r="CM199" s="184" t="s">
        <v>37</v>
      </c>
      <c r="CN199" s="184" t="s">
        <v>3</v>
      </c>
    </row>
    <row r="200" spans="2:92" ht="22.5" customHeight="1" outlineLevel="1" x14ac:dyDescent="0.35">
      <c r="C200" s="210" t="s">
        <v>261</v>
      </c>
      <c r="D200" s="211"/>
      <c r="F200" s="82" t="str">
        <f>IF(F$198="Inget antal angivet","",IFERROR(INDEX($AR$199:$BZ$226,MATCH(F$195,$AP$199:$AP$226,0),MATCH("Varumärke",$AR$199:$BZ$199,0)),""))</f>
        <v/>
      </c>
      <c r="G200" s="83" t="str">
        <f ca="1">IFERROR(INDEX($AR$199:$BZ$226,MATCH(G$195,$AP$199:$AP$226,0),MATCH("Varumärke",$AR$199:$BZ$199,0)),"")</f>
        <v>HP</v>
      </c>
      <c r="H200" s="83" t="str">
        <f ca="1">IFERROR(INDEX($AR$199:$BZ$226,MATCH(H$195,$AP$199:$AP$226,0),MATCH("Varumärke",$AR$199:$BZ$199,0)),"")</f>
        <v>HP</v>
      </c>
      <c r="I200" s="119" t="str">
        <f ca="1">IFERROR(INDEX($AR$199:$BZ$226,MATCH(I$195,$AP$199:$AP$226,0),MATCH("Varumärke",$AR$199:$BZ$199,0)),"")</f>
        <v>HP</v>
      </c>
      <c r="J200" s="62"/>
      <c r="K200" s="196">
        <f t="shared" ref="K200:K205" ca="1" si="155">O200*$D$237</f>
        <v>0</v>
      </c>
      <c r="L200" s="185" t="b">
        <f t="shared" ref="L200:L205" si="156">IF($D$237=0,TRUE,IF(K200=0,FALSE,TRUE))</f>
        <v>1</v>
      </c>
      <c r="M200" s="185" t="s">
        <v>162</v>
      </c>
      <c r="N200" s="185" t="str">
        <f t="shared" ref="N200:N205" ca="1" si="157">INDEX($AA$200:$AA$226,MATCH(O200,$Z$200:$Z$226,0))</f>
        <v>Offererad produktnr. 01Advania Sverige AB</v>
      </c>
      <c r="O200" s="196" cm="1">
        <f t="array" aca="1" ref="O200" ca="1">MIN(IF(($BY$200:$BY$223=M200)*($AQ$200:$AQ$223=$O$197),$Z$200:$Z$223))</f>
        <v>8880</v>
      </c>
      <c r="P200" s="197">
        <f ca="1">SMALL($Z$200:$Z$226,1)</f>
        <v>6420</v>
      </c>
      <c r="Q200" s="185">
        <f t="shared" ref="Q200:Q219" si="158">SUM(R200:Y200)</f>
        <v>0</v>
      </c>
      <c r="R200" s="185">
        <f t="shared" ref="R200:R219" si="159">IF($D$217="",0,BH200)</f>
        <v>0</v>
      </c>
      <c r="S200" s="185">
        <f t="shared" ref="S200:S219" si="160">IF($D$220="",0,BI200)</f>
        <v>0</v>
      </c>
      <c r="T200" s="185">
        <f t="shared" ref="T200:T219" si="161">IF($D$223="",0,BJ200)</f>
        <v>0</v>
      </c>
      <c r="U200" s="185">
        <f t="shared" ref="U200:U219" si="162">IF($D$226="",0,BK200)</f>
        <v>0</v>
      </c>
      <c r="V200" s="185">
        <f t="shared" ref="V200:V219" si="163">IF($D$230="",0,BL200)</f>
        <v>0</v>
      </c>
      <c r="W200" s="185">
        <f t="shared" ref="W200:W219" si="164">IF($D$231="",0,BM200)</f>
        <v>0</v>
      </c>
      <c r="X200" s="185">
        <f t="shared" ref="X200:X219" si="165">IF($D$232="",0,BN200)</f>
        <v>0</v>
      </c>
      <c r="Y200" s="185">
        <f t="shared" ref="Y200:Y219" si="166">IF($D$233="",0,BO200)</f>
        <v>0</v>
      </c>
      <c r="Z200" s="196">
        <f t="shared" ref="Z200:Z219" ca="1" si="167">IF(AA200="","",SUM(BG200,R200:Y200))</f>
        <v>8880</v>
      </c>
      <c r="AA200" s="185" t="str">
        <f t="shared" ref="AA200:AA219" ca="1" si="168">IF(COUNTIF(AB200:AO200,FALSE)&gt;0,"",AP200)</f>
        <v>Offererad produktnr. 01Advania Sverige AB</v>
      </c>
      <c r="AB200" s="185"/>
      <c r="AC200" s="185" t="b">
        <f ca="1">IFERROR(IF(D204="",TRUE,
IF(OR(D204=$CB$12,D204=$CB$13),IF(LEFT(AS200,FIND(" ",AS200)-1)=D204,TRUE,FALSE),
IF(OFFSET(Processor!$AB$1,MATCH($AS200,Processor!$AA$2:$AA$23,0),MATCH(LEFT(D204,FIND(" ",D204)-1),Processor!$AC$1:$AG$1,0))&gt;=
OFFSET(Processor!$AB$1,MATCH(D204,Processor!$AA$2:$AA$23,0),MATCH(LEFT(D204,FIND(" ",D204)-1),Processor!$AC$1:$AG$1,0)),TRUE,FALSE))),FALSE)</f>
        <v>1</v>
      </c>
      <c r="AD200" s="185" t="b">
        <f t="shared" ref="AD200:AD219" si="169">IF($D$205="",TRUE,IF(AT200&gt;=$D$205,TRUE,FALSE))</f>
        <v>1</v>
      </c>
      <c r="AE200" s="185" t="b">
        <f t="shared" ref="AE200:AE219" si="170">IF($D$206="",TRUE,IF(AU200&gt;=$D$206,TRUE,FALSE))</f>
        <v>1</v>
      </c>
      <c r="AF200" s="185" t="b">
        <f>IF($D$202="",TRUE,IF(COUNTIF(Processor!$I$2:$I$9,$D$202)&gt;0,AND(AV200&gt;INDEX(Processor!$J$2:$J$9,MATCH($D$202,Processor!$I$2:$I$9,0)),AV200&lt;INDEX(Processor!$K$2:$K$9,MATCH($D$202,Processor!$I$2:$I$9,0))),IF(AV200=$D$202,TRUE,FALSE)))</f>
        <v>1</v>
      </c>
      <c r="AG200" s="185" t="b">
        <f t="shared" ref="AG200:AG219" si="171">IF($D$207="",TRUE,IF(AW200&gt;=$D$207,TRUE,FALSE))</f>
        <v>1</v>
      </c>
      <c r="AH200" s="185" t="b">
        <f t="shared" ref="AH200:AH219" si="172">IF($D$208="",TRUE,IF(AX200&gt;=$D$208,TRUE,FALSE))</f>
        <v>1</v>
      </c>
      <c r="AI200" s="185" t="b">
        <f t="shared" ref="AI200:AI219" si="173">IF($D$209="",TRUE,IF(AY200=$D$209,TRUE,FALSE))</f>
        <v>1</v>
      </c>
      <c r="AJ200" s="185" t="b">
        <f t="shared" ref="AJ200:AJ219" si="174">IF($D$210="",TRUE,IF($D$210="802.11a/b/g/n/ac",TRUE,IF(AZ200&gt;=$D$210,TRUE,FALSE)))</f>
        <v>1</v>
      </c>
      <c r="AK200" s="185" t="b">
        <f t="shared" ref="AK200:AK219" si="175">IF($D$211="",TRUE,IF(BA200&gt;=$D$211,TRUE,FALSE))</f>
        <v>1</v>
      </c>
      <c r="AL200" s="185" t="b">
        <f>IFERROR(IF($D213="",TRUE,IF(MID(BC200,LEN(BC200)-2,1)*1&gt;=MID($D213,LEN($D213)-2,1)*1,TRUE,FALSE)),FALSE)</f>
        <v>1</v>
      </c>
      <c r="AM200" s="185" t="b">
        <f>IF(D212="",TRUE,IF(BB200&gt;=D212,TRUE,FALSE))</f>
        <v>1</v>
      </c>
      <c r="AN200" s="185"/>
      <c r="AO200" s="185"/>
      <c r="AP200" s="185" t="s">
        <v>198</v>
      </c>
      <c r="AQ200" s="185">
        <v>1</v>
      </c>
      <c r="AR200" s="185" t="str">
        <f t="shared" ref="AR200:BA209" ca="1" si="176">IFERROR(INDEX(INDIRECT(AR$195&amp;"!$A$10:CC100000"),MATCH($AP200,INDIRECT(AR$195&amp;"!BH$10:BH100000"),0),MATCH(AR$197,INDIRECT(AR$195&amp;"!a10:CC10"),0)),"False")</f>
        <v>1920x1080</v>
      </c>
      <c r="AS200" s="185" t="str">
        <f t="shared" ca="1" si="176"/>
        <v>AMD Ryzen 5</v>
      </c>
      <c r="AT200" s="185">
        <f t="shared" ca="1" si="176"/>
        <v>16</v>
      </c>
      <c r="AU200" s="185">
        <f t="shared" ca="1" si="176"/>
        <v>256</v>
      </c>
      <c r="AV200" s="185">
        <f t="shared" ca="1" si="176"/>
        <v>14</v>
      </c>
      <c r="AW200" s="185">
        <f t="shared" ca="1" si="176"/>
        <v>4</v>
      </c>
      <c r="AX200" s="185">
        <f t="shared" ca="1" si="176"/>
        <v>1</v>
      </c>
      <c r="AY200" s="185" t="str">
        <f t="shared" ca="1" si="176"/>
        <v>Ja, HDMI-port finns</v>
      </c>
      <c r="AZ200" s="185" t="str">
        <f t="shared" ca="1" si="176"/>
        <v>802.11a/b/g/n/ac/ax</v>
      </c>
      <c r="BA200" s="185">
        <f t="shared" ca="1" si="176"/>
        <v>5.3</v>
      </c>
      <c r="BB200" s="185">
        <f t="shared" ref="BB200:BK209" ca="1" si="177">IFERROR(INDEX(INDIRECT(BB$195&amp;"!$A$10:CC100000"),MATCH($AP200,INDIRECT(BB$195&amp;"!BH$10:BH100000"),0),MATCH(BB$197,INDIRECT(BB$195&amp;"!a10:CC10"),0)),"False")</f>
        <v>11</v>
      </c>
      <c r="BC200" s="185" t="str">
        <f t="shared" ca="1" si="177"/>
        <v>Version 8.0</v>
      </c>
      <c r="BD200" s="185" t="str">
        <f t="shared" ca="1" si="177"/>
        <v>Ja</v>
      </c>
      <c r="BE200" s="185" t="str">
        <f t="shared" ca="1" si="177"/>
        <v>Windows 11 Pro</v>
      </c>
      <c r="BF200" s="185" t="str">
        <f t="shared" ca="1" si="177"/>
        <v>ProBook 445 G10</v>
      </c>
      <c r="BG200" s="185">
        <f t="shared" ca="1" si="177"/>
        <v>8880</v>
      </c>
      <c r="BH200" s="192">
        <f t="shared" ca="1" si="177"/>
        <v>60</v>
      </c>
      <c r="BI200" s="192">
        <f t="shared" ca="1" si="177"/>
        <v>218</v>
      </c>
      <c r="BJ200" s="192">
        <f t="shared" ca="1" si="177"/>
        <v>251</v>
      </c>
      <c r="BK200" s="192">
        <f t="shared" ca="1" si="177"/>
        <v>1462</v>
      </c>
      <c r="BL200" s="192">
        <f t="shared" ref="BL200:BW209" ca="1" si="178">IFERROR(INDEX(INDIRECT(BL$195&amp;"!$A$10:CC100000"),MATCH($AP200,INDIRECT(BL$195&amp;"!BH$10:BH100000"),0),MATCH(BL$197,INDIRECT(BL$195&amp;"!a10:CC10"),0)),"False")</f>
        <v>226</v>
      </c>
      <c r="BM200" s="192">
        <f t="shared" ca="1" si="178"/>
        <v>112</v>
      </c>
      <c r="BN200" s="192">
        <f t="shared" ca="1" si="178"/>
        <v>50</v>
      </c>
      <c r="BO200" s="192">
        <f t="shared" ca="1" si="178"/>
        <v>50</v>
      </c>
      <c r="BP200" s="192" t="str">
        <f t="shared" ca="1" si="178"/>
        <v>V7</v>
      </c>
      <c r="BQ200" s="192" t="str">
        <f t="shared" ca="1" si="178"/>
        <v>PORT Designs</v>
      </c>
      <c r="BR200" s="192" t="str">
        <f t="shared" ca="1" si="178"/>
        <v>CoreParts</v>
      </c>
      <c r="BS200" s="192" t="str">
        <f t="shared" ca="1" si="178"/>
        <v>HP</v>
      </c>
      <c r="BT200" s="192" t="str">
        <f t="shared" ca="1" si="178"/>
        <v xml:space="preserve"> CSE14-BLK-3E  -Fodral för bärbar dator - 14" - svart</v>
      </c>
      <c r="BU200" s="192" t="str">
        <f t="shared" ca="1" si="178"/>
        <v>900003 - Professional - filter för personlig integritet - 14"</v>
      </c>
      <c r="BV200" s="192" t="str">
        <f t="shared" ca="1" si="178"/>
        <v>MBXUSBC-AC0005 - USB-C - strömadapter 45 Watt</v>
      </c>
      <c r="BW200" s="192" t="str">
        <f t="shared" ca="1" si="178"/>
        <v>72C71AA#ABB - Essential - dockningsstation</v>
      </c>
      <c r="BX200" s="192"/>
      <c r="BY200" s="192" t="str">
        <f t="shared" ref="BY200:BZ219" ca="1" si="179">IFERROR(INDEX(INDIRECT(BY$195&amp;"!$A$10:CC100000"),MATCH($AP200,INDIRECT(BY$195&amp;"!BH$10:BH100000"),0),MATCH(BY$197,INDIRECT(BY$195&amp;"!a10:CC10"),0)),"False")</f>
        <v>Advania Sverige AB</v>
      </c>
      <c r="BZ200" s="192" t="str">
        <f t="shared" ca="1" si="179"/>
        <v>HP</v>
      </c>
      <c r="CA200" s="185" t="s">
        <v>71</v>
      </c>
      <c r="CB200" s="185" t="s">
        <v>687</v>
      </c>
      <c r="CC200" s="185">
        <v>8</v>
      </c>
      <c r="CD200" s="185">
        <v>256</v>
      </c>
      <c r="CE200" s="185">
        <v>14</v>
      </c>
      <c r="CF200" s="185">
        <v>3</v>
      </c>
      <c r="CG200" s="185">
        <v>1</v>
      </c>
      <c r="CH200" s="185" t="s">
        <v>84</v>
      </c>
      <c r="CI200" s="185" t="s">
        <v>86</v>
      </c>
      <c r="CJ200" s="186">
        <v>5.3</v>
      </c>
      <c r="CK200" s="185">
        <v>11</v>
      </c>
      <c r="CL200" s="185" t="s">
        <v>686</v>
      </c>
      <c r="CM200" s="185" t="s">
        <v>69</v>
      </c>
      <c r="CN200" s="185" t="s">
        <v>567</v>
      </c>
    </row>
    <row r="201" spans="2:92" ht="22.5" customHeight="1" outlineLevel="1" x14ac:dyDescent="0.35">
      <c r="C201" s="61" t="s">
        <v>3</v>
      </c>
      <c r="D201" s="64"/>
      <c r="F201" s="80" t="str">
        <f t="shared" ref="F201:F214" si="180">IF(F$198="Inget antal angivet","",IFERROR(INDEX($AR$199:$BZ$226,MATCH(F$195,$AP$199:$AP$226,0),MATCH($C201,$AR$199:$BZ$199,0)),""))</f>
        <v/>
      </c>
      <c r="G201" s="81" t="str">
        <f t="shared" ref="G201:I214" ca="1" si="181">IFERROR(INDEX($AR$199:$BZ$226,MATCH(G$195,$AP$199:$AP$226,0),MATCH($C201,$AR$199:$BZ$199,0)),"")</f>
        <v>Windows 10 Pro</v>
      </c>
      <c r="H201" s="81" t="str">
        <f t="shared" ca="1" si="181"/>
        <v>Windows 11 Pro</v>
      </c>
      <c r="I201" s="120" t="str">
        <f t="shared" ca="1" si="181"/>
        <v>Windows 10 Pro</v>
      </c>
      <c r="J201" s="62"/>
      <c r="K201" s="196">
        <f t="shared" ca="1" si="155"/>
        <v>0</v>
      </c>
      <c r="L201" s="185" t="b">
        <f t="shared" si="156"/>
        <v>1</v>
      </c>
      <c r="M201" s="185" t="s">
        <v>150</v>
      </c>
      <c r="N201" s="185" t="str">
        <f t="shared" ca="1" si="157"/>
        <v>Offererad produktnr. 01Atea Sverige AB</v>
      </c>
      <c r="O201" s="196" cm="1">
        <f t="array" aca="1" ref="O201" ca="1">MIN(IF(($BY$200:$BY$223=M201)*($AQ$200:$AQ$223=$O$197),$Z$200:$Z$223))</f>
        <v>11724</v>
      </c>
      <c r="P201" s="197">
        <f ca="1">SMALL($Z$200:$Z$226,2)</f>
        <v>7599</v>
      </c>
      <c r="Q201" s="185">
        <f t="shared" si="158"/>
        <v>0</v>
      </c>
      <c r="R201" s="185">
        <f t="shared" si="159"/>
        <v>0</v>
      </c>
      <c r="S201" s="185">
        <f t="shared" si="160"/>
        <v>0</v>
      </c>
      <c r="T201" s="185">
        <f t="shared" si="161"/>
        <v>0</v>
      </c>
      <c r="U201" s="185">
        <f t="shared" si="162"/>
        <v>0</v>
      </c>
      <c r="V201" s="185">
        <f t="shared" si="163"/>
        <v>0</v>
      </c>
      <c r="W201" s="185">
        <f t="shared" si="164"/>
        <v>0</v>
      </c>
      <c r="X201" s="185">
        <f t="shared" si="165"/>
        <v>0</v>
      </c>
      <c r="Y201" s="185">
        <f t="shared" si="166"/>
        <v>0</v>
      </c>
      <c r="Z201" s="196">
        <f t="shared" ca="1" si="167"/>
        <v>9324</v>
      </c>
      <c r="AA201" s="185" t="str">
        <f t="shared" ca="1" si="168"/>
        <v>Offererad produktnr. 02Advania Sverige AB</v>
      </c>
      <c r="AB201" s="185"/>
      <c r="AC201" s="185" t="b">
        <f ca="1">IFERROR(IF(D204="",TRUE,
IF(OR(D204=$CB$12,D204=$CB$13),IF(LEFT(AS201,FIND(" ",AS201)-1)=D204,TRUE,FALSE),
IF(OFFSET(Processor!$AB$1,MATCH($AS201,Processor!$AA$2:$AA$23,0),MATCH(LEFT(D204,FIND(" ",D204)-1),Processor!$AC$1:$AG$1,0))&gt;=
OFFSET(Processor!$AB$1,MATCH(D204,Processor!$AA$2:$AA$23,0),MATCH(LEFT(D204,FIND(" ",D204)-1),Processor!$AC$1:$AG$1,0)),TRUE,FALSE))),FALSE)</f>
        <v>1</v>
      </c>
      <c r="AD201" s="185" t="b">
        <f t="shared" si="169"/>
        <v>1</v>
      </c>
      <c r="AE201" s="185" t="b">
        <f t="shared" si="170"/>
        <v>1</v>
      </c>
      <c r="AF201" s="185" t="b">
        <f>IF($D$202="",TRUE,IF(COUNTIF(Processor!$I$2:$I$9,$D$202)&gt;0,AND(AV201&gt;INDEX(Processor!$J$2:$J$9,MATCH($D$202,Processor!$I$2:$I$9,0)),AV201&lt;INDEX(Processor!$K$2:$K$9,MATCH($D$202,Processor!$I$2:$I$9,0))),IF(AV201=$D$202,TRUE,FALSE)))</f>
        <v>1</v>
      </c>
      <c r="AG201" s="185" t="b">
        <f t="shared" si="171"/>
        <v>1</v>
      </c>
      <c r="AH201" s="185" t="b">
        <f t="shared" si="172"/>
        <v>1</v>
      </c>
      <c r="AI201" s="185" t="b">
        <f t="shared" si="173"/>
        <v>1</v>
      </c>
      <c r="AJ201" s="185" t="b">
        <f t="shared" si="174"/>
        <v>1</v>
      </c>
      <c r="AK201" s="185" t="b">
        <f t="shared" si="175"/>
        <v>1</v>
      </c>
      <c r="AL201" s="185" t="b">
        <f>IFERROR(IF($D213="",TRUE,IF(MID(BC201,LEN(BC201)-2,1)*1&gt;=MID($D213,LEN($D213)-2,1)*1,TRUE,FALSE)),FALSE)</f>
        <v>1</v>
      </c>
      <c r="AM201" s="185" t="b">
        <f>IF(D212="",TRUE,IF(BB201&gt;=D212,TRUE,FALSE))</f>
        <v>1</v>
      </c>
      <c r="AN201" s="185"/>
      <c r="AO201" s="185"/>
      <c r="AP201" s="185" t="s">
        <v>199</v>
      </c>
      <c r="AQ201" s="185">
        <v>1</v>
      </c>
      <c r="AR201" s="185" t="str">
        <f t="shared" ca="1" si="176"/>
        <v>1920x1080</v>
      </c>
      <c r="AS201" s="185" t="str">
        <f t="shared" ca="1" si="176"/>
        <v>Intel i5 Gen 12</v>
      </c>
      <c r="AT201" s="185">
        <f t="shared" ca="1" si="176"/>
        <v>16</v>
      </c>
      <c r="AU201" s="185">
        <f t="shared" ca="1" si="176"/>
        <v>256</v>
      </c>
      <c r="AV201" s="185">
        <f t="shared" ca="1" si="176"/>
        <v>14</v>
      </c>
      <c r="AW201" s="185">
        <f t="shared" ca="1" si="176"/>
        <v>4</v>
      </c>
      <c r="AX201" s="185">
        <f t="shared" ca="1" si="176"/>
        <v>1</v>
      </c>
      <c r="AY201" s="185" t="str">
        <f t="shared" ca="1" si="176"/>
        <v>Ja, HDMI-port finns</v>
      </c>
      <c r="AZ201" s="185" t="str">
        <f t="shared" ca="1" si="176"/>
        <v>802.11a/b/g/n/ac</v>
      </c>
      <c r="BA201" s="185">
        <f t="shared" ca="1" si="176"/>
        <v>5.2</v>
      </c>
      <c r="BB201" s="185">
        <f t="shared" ca="1" si="177"/>
        <v>11</v>
      </c>
      <c r="BC201" s="185" t="str">
        <f t="shared" ca="1" si="177"/>
        <v>Version 8.0</v>
      </c>
      <c r="BD201" s="185" t="str">
        <f t="shared" ca="1" si="177"/>
        <v>Ja</v>
      </c>
      <c r="BE201" s="185" t="str">
        <f t="shared" ca="1" si="177"/>
        <v>Windows 11 Pro</v>
      </c>
      <c r="BF201" s="185" t="str">
        <f t="shared" ca="1" si="177"/>
        <v>ProBook 440 G10</v>
      </c>
      <c r="BG201" s="185">
        <f t="shared" ca="1" si="177"/>
        <v>9324</v>
      </c>
      <c r="BH201" s="192">
        <f t="shared" ca="1" si="177"/>
        <v>60</v>
      </c>
      <c r="BI201" s="192">
        <f t="shared" ca="1" si="177"/>
        <v>218</v>
      </c>
      <c r="BJ201" s="192">
        <f t="shared" ca="1" si="177"/>
        <v>251</v>
      </c>
      <c r="BK201" s="192">
        <f t="shared" ca="1" si="177"/>
        <v>1462</v>
      </c>
      <c r="BL201" s="192">
        <f t="shared" ca="1" si="178"/>
        <v>226</v>
      </c>
      <c r="BM201" s="192">
        <f t="shared" ca="1" si="178"/>
        <v>112</v>
      </c>
      <c r="BN201" s="192">
        <f t="shared" ca="1" si="178"/>
        <v>50</v>
      </c>
      <c r="BO201" s="192">
        <f t="shared" ca="1" si="178"/>
        <v>50</v>
      </c>
      <c r="BP201" s="192" t="str">
        <f t="shared" ca="1" si="178"/>
        <v>V7</v>
      </c>
      <c r="BQ201" s="192" t="str">
        <f t="shared" ca="1" si="178"/>
        <v>PORT Designs</v>
      </c>
      <c r="BR201" s="192" t="str">
        <f t="shared" ca="1" si="178"/>
        <v>CoreParts</v>
      </c>
      <c r="BS201" s="192" t="str">
        <f t="shared" ca="1" si="178"/>
        <v>HP</v>
      </c>
      <c r="BT201" s="192" t="str">
        <f t="shared" ca="1" si="178"/>
        <v xml:space="preserve"> CSE14-BLK-3E  -Fodral för bärbar dator - 14" - svart</v>
      </c>
      <c r="BU201" s="192" t="str">
        <f t="shared" ca="1" si="178"/>
        <v>900003 - Professional - filter för personlig integritet - 14"</v>
      </c>
      <c r="BV201" s="192" t="str">
        <f t="shared" ca="1" si="178"/>
        <v>MBXUSBC-AC0005 - USB-C - strömadapter 45 Watt</v>
      </c>
      <c r="BW201" s="192" t="str">
        <f t="shared" ca="1" si="178"/>
        <v>72C71AA#ABB - Essential - dockningsstation</v>
      </c>
      <c r="BX201" s="192"/>
      <c r="BY201" s="192" t="str">
        <f t="shared" ca="1" si="179"/>
        <v>Advania Sverige AB</v>
      </c>
      <c r="BZ201" s="192" t="str">
        <f t="shared" ca="1" si="179"/>
        <v>HP</v>
      </c>
      <c r="CA201" s="185" t="s">
        <v>163</v>
      </c>
      <c r="CB201" s="185" t="s">
        <v>688</v>
      </c>
      <c r="CC201" s="185">
        <v>16</v>
      </c>
      <c r="CD201" s="185">
        <v>512</v>
      </c>
      <c r="CE201" s="185">
        <v>0</v>
      </c>
      <c r="CF201" s="185">
        <v>4</v>
      </c>
      <c r="CG201" s="185">
        <v>2</v>
      </c>
      <c r="CH201" s="185">
        <v>0</v>
      </c>
      <c r="CI201" s="185" t="s">
        <v>79</v>
      </c>
      <c r="CJ201" s="186">
        <v>5.2</v>
      </c>
      <c r="CK201" s="185">
        <v>8</v>
      </c>
      <c r="CL201" s="185" t="s">
        <v>527</v>
      </c>
      <c r="CM201" s="185">
        <v>0</v>
      </c>
      <c r="CN201" s="185" t="s">
        <v>80</v>
      </c>
    </row>
    <row r="202" spans="2:92" ht="22.5" customHeight="1" outlineLevel="1" x14ac:dyDescent="0.35">
      <c r="C202" s="61" t="s">
        <v>7</v>
      </c>
      <c r="D202" s="64"/>
      <c r="F202" s="80" t="str">
        <f t="shared" si="180"/>
        <v/>
      </c>
      <c r="G202" s="81">
        <f t="shared" ca="1" si="181"/>
        <v>14</v>
      </c>
      <c r="H202" s="81">
        <f t="shared" ca="1" si="181"/>
        <v>14</v>
      </c>
      <c r="I202" s="120">
        <f t="shared" ca="1" si="181"/>
        <v>14</v>
      </c>
      <c r="J202" s="62"/>
      <c r="K202" s="196">
        <f t="shared" ca="1" si="155"/>
        <v>0</v>
      </c>
      <c r="L202" s="185" t="b">
        <f t="shared" si="156"/>
        <v>1</v>
      </c>
      <c r="M202" s="185" t="s">
        <v>128</v>
      </c>
      <c r="N202" s="185" t="str">
        <f t="shared" ca="1" si="157"/>
        <v>Offererad produktnr. 01Dustin Sverige AB</v>
      </c>
      <c r="O202" s="196" cm="1">
        <f t="array" aca="1" ref="O202" ca="1">MIN(IF(($BY$200:$BY$223=M202)*($AQ$200:$AQ$223=$O$197),$Z$200:$Z$223))</f>
        <v>7599</v>
      </c>
      <c r="P202" s="197">
        <f ca="1">SMALL($Z$200:$Z$226,3)</f>
        <v>7640</v>
      </c>
      <c r="Q202" s="185">
        <f t="shared" si="158"/>
        <v>0</v>
      </c>
      <c r="R202" s="185">
        <f t="shared" si="159"/>
        <v>0</v>
      </c>
      <c r="S202" s="185">
        <f t="shared" si="160"/>
        <v>0</v>
      </c>
      <c r="T202" s="185">
        <f t="shared" si="161"/>
        <v>0</v>
      </c>
      <c r="U202" s="185">
        <f t="shared" si="162"/>
        <v>0</v>
      </c>
      <c r="V202" s="185">
        <f t="shared" si="163"/>
        <v>0</v>
      </c>
      <c r="W202" s="185">
        <f t="shared" si="164"/>
        <v>0</v>
      </c>
      <c r="X202" s="185">
        <f t="shared" si="165"/>
        <v>0</v>
      </c>
      <c r="Y202" s="185">
        <f t="shared" si="166"/>
        <v>0</v>
      </c>
      <c r="Z202" s="196">
        <f t="shared" ca="1" si="167"/>
        <v>10608</v>
      </c>
      <c r="AA202" s="185" t="str">
        <f t="shared" ca="1" si="168"/>
        <v>Offererad produktnr. 03Advania Sverige AB</v>
      </c>
      <c r="AB202" s="185"/>
      <c r="AC202" s="185" t="b">
        <f ca="1">IFERROR(IF(D204="",TRUE,
IF(OR(D204=$CB$12,D204=$CB$13),IF(LEFT(AS202,FIND(" ",AS202)-1)=D204,TRUE,FALSE),
IF(OFFSET(Processor!$AB$1,MATCH($AS202,Processor!$AA$2:$AA$23,0),MATCH(LEFT(D204,FIND(" ",D204)-1),Processor!$AC$1:$AG$1,0))&gt;=
OFFSET(Processor!$AB$1,MATCH(D204,Processor!$AA$2:$AA$23,0),MATCH(LEFT(D204,FIND(" ",D204)-1),Processor!$AC$1:$AG$1,0)),TRUE,FALSE))),FALSE)</f>
        <v>1</v>
      </c>
      <c r="AD202" s="185" t="b">
        <f t="shared" si="169"/>
        <v>1</v>
      </c>
      <c r="AE202" s="185" t="b">
        <f t="shared" si="170"/>
        <v>1</v>
      </c>
      <c r="AF202" s="185" t="b">
        <f>IF($D$202="",TRUE,IF(COUNTIF(Processor!$I$2:$I$9,$D$202)&gt;0,AND(AV202&gt;INDEX(Processor!$J$2:$J$9,MATCH($D$202,Processor!$I$2:$I$9,0)),AV202&lt;INDEX(Processor!$K$2:$K$9,MATCH($D$202,Processor!$I$2:$I$9,0))),IF(AV202=$D$202,TRUE,FALSE)))</f>
        <v>1</v>
      </c>
      <c r="AG202" s="185" t="b">
        <f t="shared" si="171"/>
        <v>1</v>
      </c>
      <c r="AH202" s="185" t="b">
        <f t="shared" si="172"/>
        <v>1</v>
      </c>
      <c r="AI202" s="185" t="b">
        <f t="shared" si="173"/>
        <v>1</v>
      </c>
      <c r="AJ202" s="185" t="b">
        <f t="shared" si="174"/>
        <v>1</v>
      </c>
      <c r="AK202" s="185" t="b">
        <f t="shared" si="175"/>
        <v>1</v>
      </c>
      <c r="AL202" s="185" t="b">
        <f>IFERROR(IF($D213="",TRUE,IF(MID(BC202,LEN(BC202)-2,1)*1&gt;=MID($D213,LEN($D213)-2,1)*1,TRUE,FALSE)),FALSE)</f>
        <v>1</v>
      </c>
      <c r="AM202" s="185" t="b">
        <f>IF(D212="",TRUE,IF(BB202&gt;=D212,TRUE,FALSE))</f>
        <v>1</v>
      </c>
      <c r="AN202" s="185"/>
      <c r="AO202" s="185"/>
      <c r="AP202" s="185" t="s">
        <v>200</v>
      </c>
      <c r="AQ202" s="185">
        <v>1</v>
      </c>
      <c r="AR202" s="185" t="str">
        <f t="shared" ca="1" si="176"/>
        <v>1920x1080</v>
      </c>
      <c r="AS202" s="185" t="str">
        <f t="shared" ca="1" si="176"/>
        <v>AMD Ryzen 7</v>
      </c>
      <c r="AT202" s="185">
        <f t="shared" ca="1" si="176"/>
        <v>16</v>
      </c>
      <c r="AU202" s="185">
        <f t="shared" ca="1" si="176"/>
        <v>512</v>
      </c>
      <c r="AV202" s="185">
        <f t="shared" ca="1" si="176"/>
        <v>14</v>
      </c>
      <c r="AW202" s="185">
        <f t="shared" ca="1" si="176"/>
        <v>4</v>
      </c>
      <c r="AX202" s="185">
        <f t="shared" ca="1" si="176"/>
        <v>1</v>
      </c>
      <c r="AY202" s="185" t="str">
        <f t="shared" ca="1" si="176"/>
        <v>Ja, HDMI-port finns</v>
      </c>
      <c r="AZ202" s="185" t="str">
        <f t="shared" ca="1" si="176"/>
        <v>802.11a/b/g/n/ac/ax</v>
      </c>
      <c r="BA202" s="185">
        <f t="shared" ca="1" si="176"/>
        <v>5.2</v>
      </c>
      <c r="BB202" s="185">
        <f t="shared" ca="1" si="177"/>
        <v>11</v>
      </c>
      <c r="BC202" s="185" t="str">
        <f t="shared" ca="1" si="177"/>
        <v>Version 8.0</v>
      </c>
      <c r="BD202" s="185" t="str">
        <f t="shared" ca="1" si="177"/>
        <v>Ja</v>
      </c>
      <c r="BE202" s="185" t="str">
        <f t="shared" ca="1" si="177"/>
        <v>Windows 11 Pro</v>
      </c>
      <c r="BF202" s="185" t="str">
        <f t="shared" ca="1" si="177"/>
        <v>HP ProBook 445 G10</v>
      </c>
      <c r="BG202" s="185">
        <f t="shared" ca="1" si="177"/>
        <v>10608</v>
      </c>
      <c r="BH202" s="192">
        <f t="shared" ca="1" si="177"/>
        <v>60</v>
      </c>
      <c r="BI202" s="192">
        <f t="shared" ca="1" si="177"/>
        <v>218</v>
      </c>
      <c r="BJ202" s="192">
        <f t="shared" ca="1" si="177"/>
        <v>251</v>
      </c>
      <c r="BK202" s="192">
        <f t="shared" ca="1" si="177"/>
        <v>1462</v>
      </c>
      <c r="BL202" s="192">
        <f t="shared" ca="1" si="178"/>
        <v>226</v>
      </c>
      <c r="BM202" s="192">
        <f t="shared" ca="1" si="178"/>
        <v>112</v>
      </c>
      <c r="BN202" s="192">
        <f t="shared" ca="1" si="178"/>
        <v>50</v>
      </c>
      <c r="BO202" s="192">
        <f t="shared" ca="1" si="178"/>
        <v>50</v>
      </c>
      <c r="BP202" s="192" t="str">
        <f t="shared" ca="1" si="178"/>
        <v>V7</v>
      </c>
      <c r="BQ202" s="192" t="str">
        <f t="shared" ca="1" si="178"/>
        <v>PORT Designs</v>
      </c>
      <c r="BR202" s="192" t="str">
        <f t="shared" ca="1" si="178"/>
        <v>CoreParts</v>
      </c>
      <c r="BS202" s="192" t="str">
        <f t="shared" ca="1" si="178"/>
        <v>HP</v>
      </c>
      <c r="BT202" s="192" t="str">
        <f t="shared" ca="1" si="178"/>
        <v xml:space="preserve"> CSE14-BLK-3E  -Fodral för bärbar dator - 14" - svart</v>
      </c>
      <c r="BU202" s="192" t="str">
        <f t="shared" ca="1" si="178"/>
        <v>900003 - Professional - filter för personlig integritet - 14"</v>
      </c>
      <c r="BV202" s="192" t="str">
        <f t="shared" ca="1" si="178"/>
        <v>MBXUSBC-AC0005 - USB-C - strömadapter 45 Watt</v>
      </c>
      <c r="BW202" s="192" t="str">
        <f t="shared" ca="1" si="178"/>
        <v>72C71AA#ABB - Essential - dockningsstation</v>
      </c>
      <c r="BX202" s="192"/>
      <c r="BY202" s="192" t="str">
        <f t="shared" ca="1" si="179"/>
        <v>Advania Sverige AB</v>
      </c>
      <c r="BZ202" s="192" t="str">
        <f t="shared" ca="1" si="179"/>
        <v>HP</v>
      </c>
      <c r="CA202" s="185">
        <v>0</v>
      </c>
      <c r="CB202" s="185"/>
      <c r="CC202" s="185">
        <v>32</v>
      </c>
      <c r="CD202" s="185">
        <v>0</v>
      </c>
      <c r="CE202" s="185"/>
      <c r="CF202" s="185">
        <v>2</v>
      </c>
      <c r="CG202" s="185">
        <v>0</v>
      </c>
      <c r="CH202" s="185"/>
      <c r="CI202" s="185">
        <v>0</v>
      </c>
      <c r="CJ202" s="186">
        <v>5</v>
      </c>
      <c r="CK202" s="185">
        <v>0</v>
      </c>
      <c r="CL202" s="185">
        <v>0</v>
      </c>
      <c r="CM202" s="185"/>
      <c r="CN202" s="185">
        <v>0</v>
      </c>
    </row>
    <row r="203" spans="2:92" ht="22.5" customHeight="1" outlineLevel="1" x14ac:dyDescent="0.35">
      <c r="C203" s="61" t="s">
        <v>2</v>
      </c>
      <c r="D203" s="64"/>
      <c r="F203" s="80" t="str">
        <f t="shared" si="180"/>
        <v/>
      </c>
      <c r="G203" s="81" t="str">
        <f t="shared" ca="1" si="181"/>
        <v>1920x1080</v>
      </c>
      <c r="H203" s="81" t="str">
        <f t="shared" ca="1" si="181"/>
        <v>1920x1080</v>
      </c>
      <c r="I203" s="120" t="str">
        <f t="shared" ca="1" si="181"/>
        <v>1920x1080</v>
      </c>
      <c r="J203" s="62"/>
      <c r="K203" s="196">
        <f t="shared" ca="1" si="155"/>
        <v>0</v>
      </c>
      <c r="L203" s="185" t="b">
        <f t="shared" si="156"/>
        <v>1</v>
      </c>
      <c r="M203" s="185" t="s">
        <v>169</v>
      </c>
      <c r="N203" s="185" t="str">
        <f t="shared" ca="1" si="157"/>
        <v>Offererad produktnr. 01Foxway Education AB</v>
      </c>
      <c r="O203" s="196" cm="1">
        <f t="array" aca="1" ref="O203" ca="1">MIN(IF(($BY$200:$BY$223=M203)*($AQ$200:$AQ$223=$O$197),$Z$200:$Z$223))</f>
        <v>8848</v>
      </c>
      <c r="P203" s="197"/>
      <c r="Q203" s="185">
        <f t="shared" si="158"/>
        <v>0</v>
      </c>
      <c r="R203" s="185">
        <f t="shared" si="159"/>
        <v>0</v>
      </c>
      <c r="S203" s="185">
        <f t="shared" si="160"/>
        <v>0</v>
      </c>
      <c r="T203" s="185">
        <f t="shared" si="161"/>
        <v>0</v>
      </c>
      <c r="U203" s="185">
        <f t="shared" si="162"/>
        <v>0</v>
      </c>
      <c r="V203" s="185">
        <f t="shared" si="163"/>
        <v>0</v>
      </c>
      <c r="W203" s="185">
        <f t="shared" si="164"/>
        <v>0</v>
      </c>
      <c r="X203" s="185">
        <f t="shared" si="165"/>
        <v>0</v>
      </c>
      <c r="Y203" s="185">
        <f t="shared" si="166"/>
        <v>0</v>
      </c>
      <c r="Z203" s="196">
        <f t="shared" ca="1" si="167"/>
        <v>11474</v>
      </c>
      <c r="AA203" s="185" t="str">
        <f t="shared" ca="1" si="168"/>
        <v>Offererad produktnr. 04Advania Sverige AB</v>
      </c>
      <c r="AB203" s="185"/>
      <c r="AC203" s="185" t="b">
        <f ca="1">IFERROR(IF(D204="",TRUE,
IF(OR(D204=$CB$12,D204=$CB$13),IF(LEFT(AS203,FIND(" ",AS203)-1)=D204,TRUE,FALSE),
IF(OFFSET(Processor!$AB$1,MATCH($AS203,Processor!$AA$2:$AA$23,0),MATCH(LEFT(D204,FIND(" ",D204)-1),Processor!$AC$1:$AG$1,0))&gt;=
OFFSET(Processor!$AB$1,MATCH(D204,Processor!$AA$2:$AA$23,0),MATCH(LEFT(D204,FIND(" ",D204)-1),Processor!$AC$1:$AG$1,0)),TRUE,FALSE))),FALSE)</f>
        <v>1</v>
      </c>
      <c r="AD203" s="185" t="b">
        <f t="shared" si="169"/>
        <v>1</v>
      </c>
      <c r="AE203" s="185" t="b">
        <f t="shared" si="170"/>
        <v>1</v>
      </c>
      <c r="AF203" s="185" t="b">
        <f>IF($D$202="",TRUE,IF(COUNTIF(Processor!$I$2:$I$9,$D$202)&gt;0,AND(AV203&gt;INDEX(Processor!$J$2:$J$9,MATCH($D$202,Processor!$I$2:$I$9,0)),AV203&lt;INDEX(Processor!$K$2:$K$9,MATCH($D$202,Processor!$I$2:$I$9,0))),IF(AV203=$D$202,TRUE,FALSE)))</f>
        <v>1</v>
      </c>
      <c r="AG203" s="185" t="b">
        <f t="shared" si="171"/>
        <v>1</v>
      </c>
      <c r="AH203" s="185" t="b">
        <f t="shared" si="172"/>
        <v>1</v>
      </c>
      <c r="AI203" s="185" t="b">
        <f t="shared" si="173"/>
        <v>1</v>
      </c>
      <c r="AJ203" s="185" t="b">
        <f t="shared" si="174"/>
        <v>1</v>
      </c>
      <c r="AK203" s="185" t="b">
        <f t="shared" si="175"/>
        <v>1</v>
      </c>
      <c r="AL203" s="185" t="b">
        <f>IFERROR(IF($D213="",TRUE,IF(MID(BC203,LEN(BC203)-2,1)*1&gt;=MID($D213,LEN($D213)-2,1)*1,TRUE,FALSE)),FALSE)</f>
        <v>1</v>
      </c>
      <c r="AM203" s="185" t="b">
        <f>IF(D212="",TRUE,IF(BB203&gt;=D212,TRUE,FALSE))</f>
        <v>1</v>
      </c>
      <c r="AN203" s="185"/>
      <c r="AO203" s="185"/>
      <c r="AP203" s="185" t="s">
        <v>201</v>
      </c>
      <c r="AQ203" s="185">
        <v>1</v>
      </c>
      <c r="AR203" s="185" t="str">
        <f t="shared" ca="1" si="176"/>
        <v>1920x1080</v>
      </c>
      <c r="AS203" s="185" t="str">
        <f t="shared" ca="1" si="176"/>
        <v>Intel i7 Gen 12</v>
      </c>
      <c r="AT203" s="185">
        <f t="shared" ca="1" si="176"/>
        <v>16</v>
      </c>
      <c r="AU203" s="185">
        <f t="shared" ca="1" si="176"/>
        <v>512</v>
      </c>
      <c r="AV203" s="185">
        <f t="shared" ca="1" si="176"/>
        <v>14</v>
      </c>
      <c r="AW203" s="185">
        <f t="shared" ca="1" si="176"/>
        <v>4</v>
      </c>
      <c r="AX203" s="185">
        <f t="shared" ca="1" si="176"/>
        <v>2</v>
      </c>
      <c r="AY203" s="185" t="str">
        <f t="shared" ca="1" si="176"/>
        <v>Ja, HDMI-port finns</v>
      </c>
      <c r="AZ203" s="185" t="str">
        <f t="shared" ca="1" si="176"/>
        <v>802.11a/b/g/n/ac/ax</v>
      </c>
      <c r="BA203" s="185">
        <f t="shared" ca="1" si="176"/>
        <v>5.2</v>
      </c>
      <c r="BB203" s="185">
        <f t="shared" ca="1" si="177"/>
        <v>11</v>
      </c>
      <c r="BC203" s="185" t="str">
        <f t="shared" ca="1" si="177"/>
        <v>Version 8.0</v>
      </c>
      <c r="BD203" s="185" t="str">
        <f t="shared" ca="1" si="177"/>
        <v>Ja</v>
      </c>
      <c r="BE203" s="185" t="str">
        <f t="shared" ca="1" si="177"/>
        <v>Windows 11 Pro</v>
      </c>
      <c r="BF203" s="185" t="str">
        <f t="shared" ca="1" si="177"/>
        <v>ProBook 440 G11</v>
      </c>
      <c r="BG203" s="185">
        <f t="shared" ca="1" si="177"/>
        <v>11474</v>
      </c>
      <c r="BH203" s="192">
        <f t="shared" ca="1" si="177"/>
        <v>60</v>
      </c>
      <c r="BI203" s="192">
        <f t="shared" ca="1" si="177"/>
        <v>218</v>
      </c>
      <c r="BJ203" s="192">
        <f t="shared" ca="1" si="177"/>
        <v>251</v>
      </c>
      <c r="BK203" s="192">
        <f t="shared" ca="1" si="177"/>
        <v>1462</v>
      </c>
      <c r="BL203" s="192">
        <f t="shared" ca="1" si="178"/>
        <v>226</v>
      </c>
      <c r="BM203" s="192">
        <f t="shared" ca="1" si="178"/>
        <v>112</v>
      </c>
      <c r="BN203" s="192">
        <f t="shared" ca="1" si="178"/>
        <v>50</v>
      </c>
      <c r="BO203" s="192">
        <f t="shared" ca="1" si="178"/>
        <v>50</v>
      </c>
      <c r="BP203" s="192" t="str">
        <f t="shared" ca="1" si="178"/>
        <v>V7</v>
      </c>
      <c r="BQ203" s="192" t="str">
        <f t="shared" ca="1" si="178"/>
        <v>DICOTA</v>
      </c>
      <c r="BR203" s="192" t="str">
        <f t="shared" ca="1" si="178"/>
        <v>CoreParts</v>
      </c>
      <c r="BS203" s="192" t="str">
        <f t="shared" ca="1" si="178"/>
        <v>HP</v>
      </c>
      <c r="BT203" s="192" t="str">
        <f t="shared" ca="1" si="178"/>
        <v xml:space="preserve"> CSE14-BLK-3E  -Fodral för bärbar dator - 14" - svart</v>
      </c>
      <c r="BU203" s="192" t="str">
        <f t="shared" ca="1" si="178"/>
        <v>D70513 - Sekretessfilter till bärbar dator - 2-vägs - borttagbar - lim - 14 tum bred - svart</v>
      </c>
      <c r="BV203" s="192" t="str">
        <f t="shared" ca="1" si="178"/>
        <v>MBXUSBC-AC0005 - USB-C - strömadapter 45 Watt</v>
      </c>
      <c r="BW203" s="192" t="str">
        <f t="shared" ca="1" si="178"/>
        <v>72C71AA#ABB - Essential - dockningsstation</v>
      </c>
      <c r="BX203" s="192"/>
      <c r="BY203" s="192" t="str">
        <f t="shared" ca="1" si="179"/>
        <v>Advania Sverige AB</v>
      </c>
      <c r="BZ203" s="192" t="str">
        <f t="shared" ca="1" si="179"/>
        <v>HP</v>
      </c>
      <c r="CA203" s="185"/>
      <c r="CB203" s="185" t="s">
        <v>65</v>
      </c>
      <c r="CC203" s="185">
        <v>0</v>
      </c>
      <c r="CD203" s="185"/>
      <c r="CE203" s="185"/>
      <c r="CF203" s="185">
        <v>0</v>
      </c>
      <c r="CG203" s="185"/>
      <c r="CH203" s="185"/>
      <c r="CI203" s="185"/>
      <c r="CJ203" s="186">
        <v>0</v>
      </c>
      <c r="CK203" s="185"/>
      <c r="CL203" s="185"/>
      <c r="CM203" s="185"/>
      <c r="CN203" s="185"/>
    </row>
    <row r="204" spans="2:92" ht="22.5" customHeight="1" outlineLevel="1" x14ac:dyDescent="0.35">
      <c r="C204" s="61" t="s">
        <v>4</v>
      </c>
      <c r="D204" s="64"/>
      <c r="F204" s="80" t="str">
        <f t="shared" si="180"/>
        <v/>
      </c>
      <c r="G204" s="81" t="str">
        <f t="shared" ca="1" si="181"/>
        <v>AMD Ryzen 5</v>
      </c>
      <c r="H204" s="81" t="str">
        <f t="shared" ca="1" si="181"/>
        <v>AMD Ryzen 5</v>
      </c>
      <c r="I204" s="120" t="str">
        <f t="shared" ca="1" si="181"/>
        <v>AMD Ryzen 7</v>
      </c>
      <c r="J204" s="62"/>
      <c r="K204" s="196">
        <f t="shared" ca="1" si="155"/>
        <v>0</v>
      </c>
      <c r="L204" s="185" t="b">
        <f t="shared" si="156"/>
        <v>1</v>
      </c>
      <c r="M204" s="185" t="s">
        <v>167</v>
      </c>
      <c r="N204" s="185" t="e">
        <f t="shared" ca="1" si="157"/>
        <v>#N/A</v>
      </c>
      <c r="O204" s="196" cm="1">
        <f t="array" aca="1" ref="O204" ca="1">MIN(IF(($BY$200:$BY$223=M204)*($AQ$200:$AQ$223=$O$197),$Z$200:$Z$223))</f>
        <v>0</v>
      </c>
      <c r="P204" s="197"/>
      <c r="Q204" s="185">
        <f t="shared" si="158"/>
        <v>0</v>
      </c>
      <c r="R204" s="185">
        <f t="shared" si="159"/>
        <v>0</v>
      </c>
      <c r="S204" s="185">
        <f t="shared" si="160"/>
        <v>0</v>
      </c>
      <c r="T204" s="185">
        <f t="shared" si="161"/>
        <v>0</v>
      </c>
      <c r="U204" s="185">
        <f t="shared" si="162"/>
        <v>0</v>
      </c>
      <c r="V204" s="185">
        <f t="shared" si="163"/>
        <v>0</v>
      </c>
      <c r="W204" s="185">
        <f t="shared" si="164"/>
        <v>0</v>
      </c>
      <c r="X204" s="185">
        <f t="shared" si="165"/>
        <v>0</v>
      </c>
      <c r="Y204" s="185">
        <f t="shared" si="166"/>
        <v>0</v>
      </c>
      <c r="Z204" s="196">
        <f t="shared" ca="1" si="167"/>
        <v>11724</v>
      </c>
      <c r="AA204" s="185" t="str">
        <f t="shared" ca="1" si="168"/>
        <v>Offererad produktnr. 01Atea Sverige AB</v>
      </c>
      <c r="AB204" s="185"/>
      <c r="AC204" s="185" t="b">
        <f ca="1">IFERROR(IF(D204="",TRUE,
IF(OR(D204=$CB$12,D204=$CB$13),IF(LEFT(AS204,FIND(" ",AS204)-1)=D204,TRUE,FALSE),
IF(OFFSET(Processor!$AB$1,MATCH($AS204,Processor!$AA$2:$AA$23,0),MATCH(LEFT(D204,FIND(" ",D204)-1),Processor!$AC$1:$AG$1,0))&gt;=
OFFSET(Processor!$AB$1,MATCH(D204,Processor!$AA$2:$AA$23,0),MATCH(LEFT(D204,FIND(" ",D204)-1),Processor!$AC$1:$AG$1,0)),TRUE,FALSE))),FALSE)</f>
        <v>1</v>
      </c>
      <c r="AD204" s="185" t="b">
        <f t="shared" si="169"/>
        <v>1</v>
      </c>
      <c r="AE204" s="185" t="b">
        <f t="shared" si="170"/>
        <v>1</v>
      </c>
      <c r="AF204" s="185" t="b">
        <f>IF($D$202="",TRUE,IF(COUNTIF(Processor!$I$2:$I$9,$D$202)&gt;0,AND(AV204&gt;INDEX(Processor!$J$2:$J$9,MATCH($D$202,Processor!$I$2:$I$9,0)),AV204&lt;INDEX(Processor!$K$2:$K$9,MATCH($D$202,Processor!$I$2:$I$9,0))),IF(AV204=$D$202,TRUE,FALSE)))</f>
        <v>1</v>
      </c>
      <c r="AG204" s="185" t="b">
        <f t="shared" si="171"/>
        <v>1</v>
      </c>
      <c r="AH204" s="185" t="b">
        <f t="shared" si="172"/>
        <v>1</v>
      </c>
      <c r="AI204" s="185" t="b">
        <f t="shared" si="173"/>
        <v>1</v>
      </c>
      <c r="AJ204" s="185" t="b">
        <f t="shared" si="174"/>
        <v>1</v>
      </c>
      <c r="AK204" s="185" t="b">
        <f t="shared" si="175"/>
        <v>1</v>
      </c>
      <c r="AL204" s="185" t="b">
        <f>IFERROR(IF($D213="",TRUE,IF(MID(BC204,LEN(BC204)-2,1)*1&gt;=MID($D213,LEN($D213)-2,1)*1,TRUE,FALSE)),FALSE)</f>
        <v>1</v>
      </c>
      <c r="AM204" s="185" t="b">
        <f>IF(D212="",TRUE,IF(BB204&gt;=D212,TRUE,FALSE))</f>
        <v>1</v>
      </c>
      <c r="AN204" s="185"/>
      <c r="AO204" s="185"/>
      <c r="AP204" s="185" t="s">
        <v>186</v>
      </c>
      <c r="AQ204" s="185">
        <v>1</v>
      </c>
      <c r="AR204" s="185" t="str">
        <f t="shared" ca="1" si="176"/>
        <v>1920x1080</v>
      </c>
      <c r="AS204" s="185" t="str">
        <f t="shared" ca="1" si="176"/>
        <v>Intel i5 Gen 13</v>
      </c>
      <c r="AT204" s="185">
        <f t="shared" ca="1" si="176"/>
        <v>16</v>
      </c>
      <c r="AU204" s="185">
        <f t="shared" ca="1" si="176"/>
        <v>256</v>
      </c>
      <c r="AV204" s="185">
        <f t="shared" ca="1" si="176"/>
        <v>14</v>
      </c>
      <c r="AW204" s="185">
        <f t="shared" ca="1" si="176"/>
        <v>4</v>
      </c>
      <c r="AX204" s="185">
        <f t="shared" ca="1" si="176"/>
        <v>2</v>
      </c>
      <c r="AY204" s="185" t="str">
        <f t="shared" ca="1" si="176"/>
        <v>Ja, HDMI-port finns</v>
      </c>
      <c r="AZ204" s="185" t="str">
        <f t="shared" ca="1" si="176"/>
        <v>802.11a/b/g/n/ac/ax</v>
      </c>
      <c r="BA204" s="185">
        <f t="shared" ca="1" si="176"/>
        <v>5.2</v>
      </c>
      <c r="BB204" s="185">
        <f t="shared" ca="1" si="177"/>
        <v>8</v>
      </c>
      <c r="BC204" s="185" t="str">
        <f t="shared" ca="1" si="177"/>
        <v>Version 8.0</v>
      </c>
      <c r="BD204" s="185" t="str">
        <f t="shared" ca="1" si="177"/>
        <v>Ja</v>
      </c>
      <c r="BE204" s="185" t="str">
        <f t="shared" ca="1" si="177"/>
        <v>Windows 11 Pro</v>
      </c>
      <c r="BF204" s="185" t="str">
        <f t="shared" ca="1" si="177"/>
        <v>Elitebook 640 G10</v>
      </c>
      <c r="BG204" s="185">
        <f t="shared" ca="1" si="177"/>
        <v>11724</v>
      </c>
      <c r="BH204" s="192">
        <f t="shared" ca="1" si="177"/>
        <v>134</v>
      </c>
      <c r="BI204" s="192">
        <f t="shared" ca="1" si="177"/>
        <v>449</v>
      </c>
      <c r="BJ204" s="192">
        <f t="shared" ca="1" si="177"/>
        <v>241</v>
      </c>
      <c r="BK204" s="192">
        <f t="shared" ca="1" si="177"/>
        <v>1788</v>
      </c>
      <c r="BL204" s="192">
        <f t="shared" ca="1" si="178"/>
        <v>706</v>
      </c>
      <c r="BM204" s="192">
        <f t="shared" ca="1" si="178"/>
        <v>120</v>
      </c>
      <c r="BN204" s="192">
        <f t="shared" ca="1" si="178"/>
        <v>85</v>
      </c>
      <c r="BO204" s="192">
        <f t="shared" ca="1" si="178"/>
        <v>100</v>
      </c>
      <c r="BP204" s="192" t="str">
        <f t="shared" ca="1" si="178"/>
        <v>DELTACO</v>
      </c>
      <c r="BQ204" s="192" t="str">
        <f t="shared" ca="1" si="178"/>
        <v>Targus</v>
      </c>
      <c r="BR204" s="192" t="str">
        <f t="shared" ca="1" si="178"/>
        <v>HP</v>
      </c>
      <c r="BS204" s="192" t="str">
        <f t="shared" ca="1" si="178"/>
        <v>HP</v>
      </c>
      <c r="BT204" s="192" t="str">
        <f t="shared" ca="1" si="178"/>
        <v>Fodral för bärbar dator</v>
      </c>
      <c r="BU204" s="192" t="str">
        <f t="shared" ca="1" si="178"/>
        <v>Targus Privacy Screen 14" Widescreen</v>
      </c>
      <c r="BV204" s="192" t="str">
        <f t="shared" ca="1" si="178"/>
        <v>HP 65W Smart AC Adapter</v>
      </c>
      <c r="BW204" s="192" t="str">
        <f t="shared" ca="1" si="178"/>
        <v>HP USB-C Dock G5 Essential</v>
      </c>
      <c r="BX204" s="192"/>
      <c r="BY204" s="192" t="str">
        <f t="shared" ca="1" si="179"/>
        <v>Atea Sverige AB</v>
      </c>
      <c r="BZ204" s="192" t="str">
        <f t="shared" ca="1" si="179"/>
        <v>HP</v>
      </c>
      <c r="CA204" s="185"/>
      <c r="CB204" s="185" t="s">
        <v>66</v>
      </c>
      <c r="CC204" s="185"/>
      <c r="CD204" s="185"/>
      <c r="CE204" s="185"/>
      <c r="CF204" s="185"/>
      <c r="CG204" s="185"/>
      <c r="CH204" s="185"/>
      <c r="CI204" s="185"/>
      <c r="CJ204" s="185"/>
      <c r="CK204" s="185"/>
      <c r="CL204" s="185"/>
      <c r="CM204" s="185"/>
      <c r="CN204" s="185"/>
    </row>
    <row r="205" spans="2:92" ht="22.5" customHeight="1" outlineLevel="1" x14ac:dyDescent="0.35">
      <c r="C205" s="61" t="s">
        <v>119</v>
      </c>
      <c r="D205" s="64"/>
      <c r="F205" s="80" t="str">
        <f t="shared" si="180"/>
        <v/>
      </c>
      <c r="G205" s="81">
        <f t="shared" ca="1" si="181"/>
        <v>8</v>
      </c>
      <c r="H205" s="81">
        <f t="shared" ca="1" si="181"/>
        <v>8</v>
      </c>
      <c r="I205" s="120">
        <f t="shared" ca="1" si="181"/>
        <v>16</v>
      </c>
      <c r="J205" s="62"/>
      <c r="K205" s="196">
        <f t="shared" ca="1" si="155"/>
        <v>0</v>
      </c>
      <c r="L205" s="185" t="b">
        <f t="shared" si="156"/>
        <v>1</v>
      </c>
      <c r="M205" s="185" t="s">
        <v>546</v>
      </c>
      <c r="N205" s="185" t="str">
        <f t="shared" ca="1" si="157"/>
        <v>Offererad produktnr. 01Qlosr Göteborg AB</v>
      </c>
      <c r="O205" s="196" cm="1">
        <f t="array" aca="1" ref="O205" ca="1">MIN(IF(($BY$200:$BY$223=M205)*($AQ$200:$AQ$223=$O$197),$Z$200:$Z$223))</f>
        <v>6420</v>
      </c>
      <c r="P205" s="197"/>
      <c r="Q205" s="185">
        <f t="shared" si="158"/>
        <v>0</v>
      </c>
      <c r="R205" s="185">
        <f t="shared" si="159"/>
        <v>0</v>
      </c>
      <c r="S205" s="185">
        <f t="shared" si="160"/>
        <v>0</v>
      </c>
      <c r="T205" s="185">
        <f t="shared" si="161"/>
        <v>0</v>
      </c>
      <c r="U205" s="185">
        <f t="shared" si="162"/>
        <v>0</v>
      </c>
      <c r="V205" s="185">
        <f t="shared" si="163"/>
        <v>0</v>
      </c>
      <c r="W205" s="185">
        <f t="shared" si="164"/>
        <v>0</v>
      </c>
      <c r="X205" s="185">
        <f t="shared" si="165"/>
        <v>0</v>
      </c>
      <c r="Y205" s="185">
        <f t="shared" si="166"/>
        <v>0</v>
      </c>
      <c r="Z205" s="196">
        <f t="shared" ca="1" si="167"/>
        <v>14238</v>
      </c>
      <c r="AA205" s="185" t="str">
        <f t="shared" ca="1" si="168"/>
        <v>Offererad produktnr. 02Atea Sverige AB</v>
      </c>
      <c r="AB205" s="185"/>
      <c r="AC205" s="185" t="b">
        <f ca="1">IFERROR(IF(D204="",TRUE,
IF(OR(D204=$CB$12,D204=$CB$13),IF(LEFT(AS205,FIND(" ",AS205)-1)=D204,TRUE,FALSE),
IF(OFFSET(Processor!$AB$1,MATCH($AS205,Processor!$AA$2:$AA$23,0),MATCH(LEFT(D204,FIND(" ",D204)-1),Processor!$AC$1:$AG$1,0))&gt;=
OFFSET(Processor!$AB$1,MATCH(D204,Processor!$AA$2:$AA$23,0),MATCH(LEFT(D204,FIND(" ",D204)-1),Processor!$AC$1:$AG$1,0)),TRUE,FALSE))),FALSE)</f>
        <v>1</v>
      </c>
      <c r="AD205" s="185" t="b">
        <f t="shared" si="169"/>
        <v>1</v>
      </c>
      <c r="AE205" s="185" t="b">
        <f t="shared" si="170"/>
        <v>1</v>
      </c>
      <c r="AF205" s="185" t="b">
        <f>IF($D$202="",TRUE,IF(COUNTIF(Processor!$I$2:$I$9,$D$202)&gt;0,AND(AV205&gt;INDEX(Processor!$J$2:$J$9,MATCH($D$202,Processor!$I$2:$I$9,0)),AV205&lt;INDEX(Processor!$K$2:$K$9,MATCH($D$202,Processor!$I$2:$I$9,0))),IF(AV205=$D$202,TRUE,FALSE)))</f>
        <v>1</v>
      </c>
      <c r="AG205" s="185" t="b">
        <f t="shared" si="171"/>
        <v>1</v>
      </c>
      <c r="AH205" s="185" t="b">
        <f t="shared" si="172"/>
        <v>1</v>
      </c>
      <c r="AI205" s="185" t="b">
        <f t="shared" si="173"/>
        <v>1</v>
      </c>
      <c r="AJ205" s="185" t="b">
        <f t="shared" si="174"/>
        <v>1</v>
      </c>
      <c r="AK205" s="185" t="b">
        <f t="shared" si="175"/>
        <v>1</v>
      </c>
      <c r="AL205" s="185" t="b">
        <f>IFERROR(IF($D213="",TRUE,IF(MID(BC205,LEN(BC205)-2,1)*1&gt;=MID($D213,LEN($D213)-2,1)*1,TRUE,FALSE)),FALSE)</f>
        <v>1</v>
      </c>
      <c r="AM205" s="185" t="b">
        <f>IF(D212="",TRUE,IF(BB205&gt;=D212,TRUE,FALSE))</f>
        <v>1</v>
      </c>
      <c r="AN205" s="185"/>
      <c r="AO205" s="185"/>
      <c r="AP205" s="185" t="s">
        <v>187</v>
      </c>
      <c r="AQ205" s="185">
        <v>1</v>
      </c>
      <c r="AR205" s="185" t="str">
        <f t="shared" ca="1" si="176"/>
        <v>1920x1200</v>
      </c>
      <c r="AS205" s="185" t="str">
        <f t="shared" ca="1" si="176"/>
        <v>Intel i5 Gen 13</v>
      </c>
      <c r="AT205" s="185">
        <f t="shared" ca="1" si="176"/>
        <v>16</v>
      </c>
      <c r="AU205" s="185">
        <f t="shared" ca="1" si="176"/>
        <v>256</v>
      </c>
      <c r="AV205" s="185">
        <f t="shared" ca="1" si="176"/>
        <v>14</v>
      </c>
      <c r="AW205" s="185">
        <f t="shared" ca="1" si="176"/>
        <v>4</v>
      </c>
      <c r="AX205" s="185">
        <f t="shared" ca="1" si="176"/>
        <v>2</v>
      </c>
      <c r="AY205" s="185" t="str">
        <f t="shared" ca="1" si="176"/>
        <v>Ja, HDMI-port finns</v>
      </c>
      <c r="AZ205" s="185" t="str">
        <f t="shared" ca="1" si="176"/>
        <v>802.11a/b/g/n/ac/ax</v>
      </c>
      <c r="BA205" s="185">
        <f t="shared" ca="1" si="176"/>
        <v>5.3</v>
      </c>
      <c r="BB205" s="185">
        <f t="shared" ca="1" si="177"/>
        <v>8</v>
      </c>
      <c r="BC205" s="185" t="str">
        <f t="shared" ca="1" si="177"/>
        <v>Version 8.0</v>
      </c>
      <c r="BD205" s="185" t="str">
        <f t="shared" ca="1" si="177"/>
        <v>Ja</v>
      </c>
      <c r="BE205" s="185" t="str">
        <f t="shared" ca="1" si="177"/>
        <v>Windows 11 Pro</v>
      </c>
      <c r="BF205" s="185" t="str">
        <f t="shared" ca="1" si="177"/>
        <v>Elitebook 840 G10</v>
      </c>
      <c r="BG205" s="185">
        <f t="shared" ca="1" si="177"/>
        <v>14238</v>
      </c>
      <c r="BH205" s="192">
        <f t="shared" ca="1" si="177"/>
        <v>134</v>
      </c>
      <c r="BI205" s="192">
        <f t="shared" ca="1" si="177"/>
        <v>449</v>
      </c>
      <c r="BJ205" s="192">
        <f t="shared" ca="1" si="177"/>
        <v>241</v>
      </c>
      <c r="BK205" s="192">
        <f t="shared" ca="1" si="177"/>
        <v>1788</v>
      </c>
      <c r="BL205" s="192">
        <f t="shared" ca="1" si="178"/>
        <v>2039</v>
      </c>
      <c r="BM205" s="192">
        <f t="shared" ca="1" si="178"/>
        <v>120</v>
      </c>
      <c r="BN205" s="192">
        <f t="shared" ca="1" si="178"/>
        <v>85</v>
      </c>
      <c r="BO205" s="192">
        <f t="shared" ca="1" si="178"/>
        <v>100</v>
      </c>
      <c r="BP205" s="192" t="str">
        <f t="shared" ca="1" si="178"/>
        <v>DELTACO</v>
      </c>
      <c r="BQ205" s="192" t="str">
        <f t="shared" ca="1" si="178"/>
        <v>Targus</v>
      </c>
      <c r="BR205" s="192" t="str">
        <f t="shared" ca="1" si="178"/>
        <v>HP</v>
      </c>
      <c r="BS205" s="192" t="str">
        <f t="shared" ca="1" si="178"/>
        <v>HP</v>
      </c>
      <c r="BT205" s="192" t="str">
        <f t="shared" ca="1" si="178"/>
        <v>Fodral för bärbar dator</v>
      </c>
      <c r="BU205" s="192" t="str">
        <f t="shared" ca="1" si="178"/>
        <v>Targus Privacy Screen 14" Widescreen</v>
      </c>
      <c r="BV205" s="192" t="str">
        <f t="shared" ca="1" si="178"/>
        <v>HP 65W Smart AC Adapter</v>
      </c>
      <c r="BW205" s="192" t="str">
        <f t="shared" ca="1" si="178"/>
        <v>HP USB-C Dock G5 Essential</v>
      </c>
      <c r="BX205" s="192"/>
      <c r="BY205" s="192" t="str">
        <f t="shared" ca="1" si="179"/>
        <v>Atea Sverige AB</v>
      </c>
      <c r="BZ205" s="192" t="str">
        <f t="shared" ca="1" si="179"/>
        <v>HP</v>
      </c>
      <c r="CA205" s="185"/>
      <c r="CB205" s="185" t="s">
        <v>63</v>
      </c>
      <c r="CC205" s="185"/>
      <c r="CD205" s="185"/>
      <c r="CE205" s="185"/>
      <c r="CF205" s="185"/>
      <c r="CG205" s="185"/>
      <c r="CH205" s="185"/>
      <c r="CI205" s="185"/>
      <c r="CJ205" s="186"/>
      <c r="CK205" s="185"/>
      <c r="CL205" s="185"/>
      <c r="CM205" s="185"/>
      <c r="CN205" s="185"/>
    </row>
    <row r="206" spans="2:92" ht="22.5" customHeight="1" outlineLevel="1" x14ac:dyDescent="0.35">
      <c r="C206" s="61" t="s">
        <v>16</v>
      </c>
      <c r="D206" s="64"/>
      <c r="F206" s="80" t="str">
        <f t="shared" si="180"/>
        <v/>
      </c>
      <c r="G206" s="81">
        <f t="shared" ca="1" si="181"/>
        <v>256</v>
      </c>
      <c r="H206" s="81">
        <f t="shared" ca="1" si="181"/>
        <v>256</v>
      </c>
      <c r="I206" s="120">
        <f t="shared" ca="1" si="181"/>
        <v>512</v>
      </c>
      <c r="J206" s="62"/>
      <c r="Q206" s="185">
        <f t="shared" si="158"/>
        <v>0</v>
      </c>
      <c r="R206" s="185">
        <f t="shared" si="159"/>
        <v>0</v>
      </c>
      <c r="S206" s="185">
        <f t="shared" si="160"/>
        <v>0</v>
      </c>
      <c r="T206" s="185">
        <f t="shared" si="161"/>
        <v>0</v>
      </c>
      <c r="U206" s="185">
        <f t="shared" si="162"/>
        <v>0</v>
      </c>
      <c r="V206" s="185">
        <f t="shared" si="163"/>
        <v>0</v>
      </c>
      <c r="W206" s="185">
        <f t="shared" si="164"/>
        <v>0</v>
      </c>
      <c r="X206" s="185">
        <f t="shared" si="165"/>
        <v>0</v>
      </c>
      <c r="Y206" s="185">
        <f t="shared" si="166"/>
        <v>0</v>
      </c>
      <c r="Z206" s="196">
        <f t="shared" ca="1" si="167"/>
        <v>13908</v>
      </c>
      <c r="AA206" s="185" t="str">
        <f t="shared" ca="1" si="168"/>
        <v>Offererad produktnr. 03Atea Sverige AB</v>
      </c>
      <c r="AB206" s="185"/>
      <c r="AC206" s="185" t="b">
        <f ca="1">IFERROR(IF(D204="",TRUE,
IF(OR(D204=$CB$12,D204=$CB$13),IF(LEFT(AS206,FIND(" ",AS206)-1)=D204,TRUE,FALSE),
IF(OFFSET(Processor!$AB$1,MATCH($AS206,Processor!$AA$2:$AA$23,0),MATCH(LEFT(D204,FIND(" ",D204)-1),Processor!$AC$1:$AG$1,0))&gt;=
OFFSET(Processor!$AB$1,MATCH(D204,Processor!$AA$2:$AA$23,0),MATCH(LEFT(D204,FIND(" ",D204)-1),Processor!$AC$1:$AG$1,0)),TRUE,FALSE))),FALSE)</f>
        <v>1</v>
      </c>
      <c r="AD206" s="185" t="b">
        <f t="shared" si="169"/>
        <v>1</v>
      </c>
      <c r="AE206" s="185" t="b">
        <f t="shared" si="170"/>
        <v>1</v>
      </c>
      <c r="AF206" s="185" t="b">
        <f>IF($D$202="",TRUE,IF(COUNTIF(Processor!$I$2:$I$9,$D$202)&gt;0,AND(AV206&gt;INDEX(Processor!$J$2:$J$9,MATCH($D$202,Processor!$I$2:$I$9,0)),AV206&lt;INDEX(Processor!$K$2:$K$9,MATCH($D$202,Processor!$I$2:$I$9,0))),IF(AV206=$D$202,TRUE,FALSE)))</f>
        <v>1</v>
      </c>
      <c r="AG206" s="185" t="b">
        <f t="shared" si="171"/>
        <v>1</v>
      </c>
      <c r="AH206" s="185" t="b">
        <f t="shared" si="172"/>
        <v>1</v>
      </c>
      <c r="AI206" s="185" t="b">
        <f t="shared" si="173"/>
        <v>1</v>
      </c>
      <c r="AJ206" s="185" t="b">
        <f t="shared" si="174"/>
        <v>1</v>
      </c>
      <c r="AK206" s="185" t="b">
        <f t="shared" si="175"/>
        <v>1</v>
      </c>
      <c r="AL206" s="185" t="b">
        <f>IFERROR(IF($D213="",TRUE,IF(MID(BC206,LEN(BC206)-2,1)*1&gt;=MID($D213,LEN($D213)-2,1)*1,TRUE,FALSE)),FALSE)</f>
        <v>1</v>
      </c>
      <c r="AM206" s="185" t="b">
        <f>IF(D212="",TRUE,IF(BB206&gt;=D212,TRUE,FALSE))</f>
        <v>1</v>
      </c>
      <c r="AN206" s="185"/>
      <c r="AO206" s="185"/>
      <c r="AP206" s="185" t="s">
        <v>188</v>
      </c>
      <c r="AQ206" s="185">
        <v>1</v>
      </c>
      <c r="AR206" s="185" t="str">
        <f t="shared" ca="1" si="176"/>
        <v>1920x1080</v>
      </c>
      <c r="AS206" s="185" t="str">
        <f t="shared" ca="1" si="176"/>
        <v>Intel i7 Gen 13</v>
      </c>
      <c r="AT206" s="185">
        <f t="shared" ca="1" si="176"/>
        <v>16</v>
      </c>
      <c r="AU206" s="185">
        <f t="shared" ca="1" si="176"/>
        <v>512</v>
      </c>
      <c r="AV206" s="185">
        <f t="shared" ca="1" si="176"/>
        <v>14</v>
      </c>
      <c r="AW206" s="185">
        <f t="shared" ca="1" si="176"/>
        <v>4</v>
      </c>
      <c r="AX206" s="185">
        <f t="shared" ca="1" si="176"/>
        <v>2</v>
      </c>
      <c r="AY206" s="185" t="str">
        <f t="shared" ca="1" si="176"/>
        <v>Ja, HDMI-port finns</v>
      </c>
      <c r="AZ206" s="185" t="str">
        <f t="shared" ca="1" si="176"/>
        <v>802.11a/b/g/n/ac/ax</v>
      </c>
      <c r="BA206" s="185">
        <f t="shared" ca="1" si="176"/>
        <v>5.3</v>
      </c>
      <c r="BB206" s="185">
        <f t="shared" ca="1" si="177"/>
        <v>8</v>
      </c>
      <c r="BC206" s="185" t="str">
        <f t="shared" ca="1" si="177"/>
        <v>Version 8.0</v>
      </c>
      <c r="BD206" s="185" t="str">
        <f t="shared" ca="1" si="177"/>
        <v>Ja</v>
      </c>
      <c r="BE206" s="185" t="str">
        <f t="shared" ca="1" si="177"/>
        <v>Windows 11 Pro</v>
      </c>
      <c r="BF206" s="185" t="str">
        <f t="shared" ca="1" si="177"/>
        <v>Probook 440 G10</v>
      </c>
      <c r="BG206" s="185">
        <f t="shared" ca="1" si="177"/>
        <v>13908</v>
      </c>
      <c r="BH206" s="192">
        <f t="shared" ca="1" si="177"/>
        <v>134</v>
      </c>
      <c r="BI206" s="192">
        <f t="shared" ca="1" si="177"/>
        <v>449</v>
      </c>
      <c r="BJ206" s="192">
        <f t="shared" ca="1" si="177"/>
        <v>241</v>
      </c>
      <c r="BK206" s="192">
        <f t="shared" ca="1" si="177"/>
        <v>1788</v>
      </c>
      <c r="BL206" s="192">
        <f t="shared" ca="1" si="178"/>
        <v>706</v>
      </c>
      <c r="BM206" s="192">
        <f t="shared" ca="1" si="178"/>
        <v>120</v>
      </c>
      <c r="BN206" s="192">
        <f t="shared" ca="1" si="178"/>
        <v>85</v>
      </c>
      <c r="BO206" s="192">
        <f t="shared" ca="1" si="178"/>
        <v>100</v>
      </c>
      <c r="BP206" s="192" t="str">
        <f t="shared" ca="1" si="178"/>
        <v>DELTACO</v>
      </c>
      <c r="BQ206" s="192" t="str">
        <f t="shared" ca="1" si="178"/>
        <v>Targus</v>
      </c>
      <c r="BR206" s="192" t="str">
        <f t="shared" ca="1" si="178"/>
        <v>HP</v>
      </c>
      <c r="BS206" s="192" t="str">
        <f t="shared" ca="1" si="178"/>
        <v>HP</v>
      </c>
      <c r="BT206" s="192" t="str">
        <f t="shared" ca="1" si="178"/>
        <v>Fodral för bärbar dator</v>
      </c>
      <c r="BU206" s="192" t="str">
        <f t="shared" ca="1" si="178"/>
        <v>Targus Privacy Screen 14" Widescreen</v>
      </c>
      <c r="BV206" s="192" t="str">
        <f t="shared" ca="1" si="178"/>
        <v>HP 65W Smart AC Adapter</v>
      </c>
      <c r="BW206" s="192" t="str">
        <f t="shared" ca="1" si="178"/>
        <v>HP USB-C Dock G5 Essential</v>
      </c>
      <c r="BX206" s="192"/>
      <c r="BY206" s="192" t="str">
        <f t="shared" ca="1" si="179"/>
        <v>Atea Sverige AB</v>
      </c>
      <c r="BZ206" s="192" t="str">
        <f t="shared" ca="1" si="179"/>
        <v>HP</v>
      </c>
      <c r="CA206" s="185"/>
      <c r="CB206" s="185" t="s">
        <v>569</v>
      </c>
      <c r="CC206" s="185"/>
      <c r="CD206" s="185"/>
      <c r="CE206" s="185"/>
      <c r="CF206" s="185"/>
      <c r="CG206" s="185"/>
      <c r="CH206" s="185"/>
      <c r="CI206" s="185"/>
      <c r="CJ206" s="185"/>
      <c r="CK206" s="185"/>
      <c r="CL206" s="185"/>
      <c r="CM206" s="185"/>
      <c r="CN206" s="185"/>
    </row>
    <row r="207" spans="2:92" ht="22.5" customHeight="1" outlineLevel="1" x14ac:dyDescent="0.35">
      <c r="C207" s="61" t="s">
        <v>67</v>
      </c>
      <c r="D207" s="64"/>
      <c r="F207" s="80" t="str">
        <f t="shared" si="180"/>
        <v/>
      </c>
      <c r="G207" s="81">
        <f t="shared" ca="1" si="181"/>
        <v>4</v>
      </c>
      <c r="H207" s="81">
        <f t="shared" ca="1" si="181"/>
        <v>3</v>
      </c>
      <c r="I207" s="120">
        <f t="shared" ca="1" si="181"/>
        <v>4</v>
      </c>
      <c r="J207" s="62"/>
      <c r="Q207" s="185">
        <f t="shared" si="158"/>
        <v>0</v>
      </c>
      <c r="R207" s="185">
        <f t="shared" si="159"/>
        <v>0</v>
      </c>
      <c r="S207" s="185">
        <f t="shared" si="160"/>
        <v>0</v>
      </c>
      <c r="T207" s="185">
        <f t="shared" si="161"/>
        <v>0</v>
      </c>
      <c r="U207" s="185">
        <f t="shared" si="162"/>
        <v>0</v>
      </c>
      <c r="V207" s="185">
        <f t="shared" si="163"/>
        <v>0</v>
      </c>
      <c r="W207" s="185">
        <f t="shared" si="164"/>
        <v>0</v>
      </c>
      <c r="X207" s="185">
        <f t="shared" si="165"/>
        <v>0</v>
      </c>
      <c r="Y207" s="185">
        <f t="shared" si="166"/>
        <v>0</v>
      </c>
      <c r="Z207" s="196">
        <f t="shared" ca="1" si="167"/>
        <v>15588</v>
      </c>
      <c r="AA207" s="185" t="str">
        <f t="shared" ca="1" si="168"/>
        <v>Offererad produktnr. 04Atea Sverige AB</v>
      </c>
      <c r="AB207" s="185"/>
      <c r="AC207" s="185" t="b">
        <f ca="1">IFERROR(IF(D204="",TRUE,
IF(OR(D204=$CB$12,D204=$CB$13),IF(LEFT(AS207,FIND(" ",AS207)-1)=D204,TRUE,FALSE),
IF(OFFSET(Processor!$AB$1,MATCH($AS207,Processor!$AA$2:$AA$23,0),MATCH(LEFT(D204,FIND(" ",D204)-1),Processor!$AC$1:$AG$1,0))&gt;=
OFFSET(Processor!$AB$1,MATCH(D204,Processor!$AA$2:$AA$23,0),MATCH(LEFT(D204,FIND(" ",D204)-1),Processor!$AC$1:$AG$1,0)),TRUE,FALSE))),FALSE)</f>
        <v>1</v>
      </c>
      <c r="AD207" s="185" t="b">
        <f t="shared" si="169"/>
        <v>1</v>
      </c>
      <c r="AE207" s="185" t="b">
        <f t="shared" si="170"/>
        <v>1</v>
      </c>
      <c r="AF207" s="185" t="b">
        <f>IF($D$202="",TRUE,IF(COUNTIF(Processor!$I$2:$I$9,$D$202)&gt;0,AND(AV207&gt;INDEX(Processor!$J$2:$J$9,MATCH($D$202,Processor!$I$2:$I$9,0)),AV207&lt;INDEX(Processor!$K$2:$K$9,MATCH($D$202,Processor!$I$2:$I$9,0))),IF(AV207=$D$202,TRUE,FALSE)))</f>
        <v>1</v>
      </c>
      <c r="AG207" s="185" t="b">
        <f t="shared" si="171"/>
        <v>1</v>
      </c>
      <c r="AH207" s="185" t="b">
        <f t="shared" si="172"/>
        <v>1</v>
      </c>
      <c r="AI207" s="185" t="b">
        <f t="shared" si="173"/>
        <v>1</v>
      </c>
      <c r="AJ207" s="185" t="b">
        <f t="shared" si="174"/>
        <v>1</v>
      </c>
      <c r="AK207" s="185" t="b">
        <f t="shared" si="175"/>
        <v>1</v>
      </c>
      <c r="AL207" s="185" t="b">
        <f>IFERROR(IF($D213="",TRUE,IF(MID(BC207,LEN(BC207)-2,1)*1&gt;=MID($D213,LEN($D213)-2,1)*1,TRUE,FALSE)),FALSE)</f>
        <v>1</v>
      </c>
      <c r="AM207" s="185" t="b">
        <f>IF(D212="",TRUE,IF(BB207&gt;=D212,TRUE,FALSE))</f>
        <v>1</v>
      </c>
      <c r="AN207" s="185"/>
      <c r="AO207" s="185"/>
      <c r="AP207" s="185" t="s">
        <v>189</v>
      </c>
      <c r="AQ207" s="185">
        <v>1</v>
      </c>
      <c r="AR207" s="185" t="str">
        <f t="shared" ca="1" si="176"/>
        <v>1920x1080</v>
      </c>
      <c r="AS207" s="185" t="str">
        <f t="shared" ca="1" si="176"/>
        <v>Intel i7 Gen 13</v>
      </c>
      <c r="AT207" s="185">
        <f t="shared" ca="1" si="176"/>
        <v>16</v>
      </c>
      <c r="AU207" s="185">
        <f t="shared" ca="1" si="176"/>
        <v>512</v>
      </c>
      <c r="AV207" s="185">
        <f t="shared" ca="1" si="176"/>
        <v>14</v>
      </c>
      <c r="AW207" s="185">
        <f t="shared" ca="1" si="176"/>
        <v>4</v>
      </c>
      <c r="AX207" s="185">
        <f t="shared" ca="1" si="176"/>
        <v>2</v>
      </c>
      <c r="AY207" s="185" t="str">
        <f t="shared" ca="1" si="176"/>
        <v>Ja, HDMI-port finns</v>
      </c>
      <c r="AZ207" s="185" t="str">
        <f t="shared" ca="1" si="176"/>
        <v>802.11a/b/g/n/ac/ax</v>
      </c>
      <c r="BA207" s="185">
        <f t="shared" ca="1" si="176"/>
        <v>5.2</v>
      </c>
      <c r="BB207" s="185">
        <f t="shared" ca="1" si="177"/>
        <v>8</v>
      </c>
      <c r="BC207" s="185" t="str">
        <f t="shared" ca="1" si="177"/>
        <v>Version 8.0</v>
      </c>
      <c r="BD207" s="185" t="str">
        <f t="shared" ca="1" si="177"/>
        <v>Ja</v>
      </c>
      <c r="BE207" s="185" t="str">
        <f t="shared" ca="1" si="177"/>
        <v>Windows 11 Pro</v>
      </c>
      <c r="BF207" s="185" t="str">
        <f t="shared" ca="1" si="177"/>
        <v>Elitebook 640 G10</v>
      </c>
      <c r="BG207" s="185">
        <f t="shared" ca="1" si="177"/>
        <v>15588</v>
      </c>
      <c r="BH207" s="192">
        <f t="shared" ca="1" si="177"/>
        <v>134</v>
      </c>
      <c r="BI207" s="192">
        <f t="shared" ca="1" si="177"/>
        <v>449</v>
      </c>
      <c r="BJ207" s="192">
        <f t="shared" ca="1" si="177"/>
        <v>241</v>
      </c>
      <c r="BK207" s="192">
        <f t="shared" ca="1" si="177"/>
        <v>1788</v>
      </c>
      <c r="BL207" s="192">
        <f t="shared" ca="1" si="178"/>
        <v>2039</v>
      </c>
      <c r="BM207" s="192">
        <f t="shared" ca="1" si="178"/>
        <v>120</v>
      </c>
      <c r="BN207" s="192">
        <f t="shared" ca="1" si="178"/>
        <v>85</v>
      </c>
      <c r="BO207" s="192">
        <f t="shared" ca="1" si="178"/>
        <v>100</v>
      </c>
      <c r="BP207" s="192" t="str">
        <f t="shared" ca="1" si="178"/>
        <v>DELTACO</v>
      </c>
      <c r="BQ207" s="192" t="str">
        <f t="shared" ca="1" si="178"/>
        <v>Targus</v>
      </c>
      <c r="BR207" s="192" t="str">
        <f t="shared" ca="1" si="178"/>
        <v>HP</v>
      </c>
      <c r="BS207" s="192" t="str">
        <f t="shared" ca="1" si="178"/>
        <v>HP</v>
      </c>
      <c r="BT207" s="192" t="str">
        <f t="shared" ca="1" si="178"/>
        <v>Fodral för bärbar dator</v>
      </c>
      <c r="BU207" s="192" t="str">
        <f t="shared" ca="1" si="178"/>
        <v>Targus Privacy Screen 14" Widescreen</v>
      </c>
      <c r="BV207" s="192" t="str">
        <f t="shared" ca="1" si="178"/>
        <v>HP 65W Smart AC Adapter</v>
      </c>
      <c r="BW207" s="192" t="str">
        <f t="shared" ca="1" si="178"/>
        <v>HP USB-C Dock G5 Essential</v>
      </c>
      <c r="BX207" s="192"/>
      <c r="BY207" s="192" t="str">
        <f t="shared" ca="1" si="179"/>
        <v>Atea Sverige AB</v>
      </c>
      <c r="BZ207" s="192" t="str">
        <f t="shared" ca="1" si="179"/>
        <v>HP</v>
      </c>
      <c r="CA207" s="185"/>
      <c r="CB207" s="185" t="s">
        <v>711</v>
      </c>
      <c r="CC207" s="185"/>
      <c r="CD207" s="185"/>
      <c r="CE207" s="185"/>
      <c r="CF207" s="185"/>
      <c r="CG207" s="185"/>
      <c r="CH207" s="185"/>
      <c r="CI207" s="185"/>
      <c r="CJ207" s="185"/>
      <c r="CK207" s="185"/>
      <c r="CL207" s="185"/>
      <c r="CM207" s="185"/>
      <c r="CN207" s="185"/>
    </row>
    <row r="208" spans="2:92" ht="22.5" customHeight="1" outlineLevel="1" x14ac:dyDescent="0.35">
      <c r="C208" s="61" t="s">
        <v>74</v>
      </c>
      <c r="D208" s="64"/>
      <c r="F208" s="80" t="str">
        <f t="shared" si="180"/>
        <v/>
      </c>
      <c r="G208" s="81">
        <f t="shared" ca="1" si="181"/>
        <v>1</v>
      </c>
      <c r="H208" s="81">
        <f t="shared" ca="1" si="181"/>
        <v>1</v>
      </c>
      <c r="I208" s="120">
        <f t="shared" ca="1" si="181"/>
        <v>1</v>
      </c>
      <c r="J208" s="62"/>
      <c r="Q208" s="185">
        <f t="shared" si="158"/>
        <v>0</v>
      </c>
      <c r="R208" s="185">
        <f t="shared" si="159"/>
        <v>0</v>
      </c>
      <c r="S208" s="185">
        <f t="shared" si="160"/>
        <v>0</v>
      </c>
      <c r="T208" s="185">
        <f t="shared" si="161"/>
        <v>0</v>
      </c>
      <c r="U208" s="185">
        <f t="shared" si="162"/>
        <v>0</v>
      </c>
      <c r="V208" s="185">
        <f t="shared" si="163"/>
        <v>0</v>
      </c>
      <c r="W208" s="185">
        <f t="shared" si="164"/>
        <v>0</v>
      </c>
      <c r="X208" s="185">
        <f t="shared" si="165"/>
        <v>0</v>
      </c>
      <c r="Y208" s="185">
        <f t="shared" si="166"/>
        <v>0</v>
      </c>
      <c r="Z208" s="196">
        <f t="shared" ca="1" si="167"/>
        <v>7599</v>
      </c>
      <c r="AA208" s="185" t="str">
        <f t="shared" ca="1" si="168"/>
        <v>Offererad produktnr. 01Dustin Sverige AB</v>
      </c>
      <c r="AB208" s="185"/>
      <c r="AC208" s="185" t="b">
        <f ca="1">IFERROR(IF(D204="",TRUE,
IF(OR(D204=$CB$12,D204=$CB$13),IF(LEFT(AS208,FIND(" ",AS208)-1)=D204,TRUE,FALSE),
IF(OFFSET(Processor!$AB$1,MATCH($AS208,Processor!$AA$2:$AA$23,0),MATCH(LEFT(D204,FIND(" ",D204)-1),Processor!$AC$1:$AG$1,0))&gt;=
OFFSET(Processor!$AB$1,MATCH(D204,Processor!$AA$2:$AA$23,0),MATCH(LEFT(D204,FIND(" ",D204)-1),Processor!$AC$1:$AG$1,0)),TRUE,FALSE))),FALSE)</f>
        <v>1</v>
      </c>
      <c r="AD208" s="185" t="b">
        <f t="shared" si="169"/>
        <v>1</v>
      </c>
      <c r="AE208" s="185" t="b">
        <f t="shared" si="170"/>
        <v>1</v>
      </c>
      <c r="AF208" s="185" t="b">
        <f>IF($D$202="",TRUE,IF(COUNTIF(Processor!$I$2:$I$9,$D$202)&gt;0,AND(AV208&gt;INDEX(Processor!$J$2:$J$9,MATCH($D$202,Processor!$I$2:$I$9,0)),AV208&lt;INDEX(Processor!$K$2:$K$9,MATCH($D$202,Processor!$I$2:$I$9,0))),IF(AV208=$D$202,TRUE,FALSE)))</f>
        <v>1</v>
      </c>
      <c r="AG208" s="185" t="b">
        <f t="shared" si="171"/>
        <v>1</v>
      </c>
      <c r="AH208" s="185" t="b">
        <f t="shared" si="172"/>
        <v>1</v>
      </c>
      <c r="AI208" s="185" t="b">
        <f t="shared" si="173"/>
        <v>1</v>
      </c>
      <c r="AJ208" s="185" t="b">
        <f t="shared" si="174"/>
        <v>1</v>
      </c>
      <c r="AK208" s="185" t="b">
        <f t="shared" si="175"/>
        <v>1</v>
      </c>
      <c r="AL208" s="185" t="b">
        <f>IFERROR(IF($D213="",TRUE,IF(MID(BC208,LEN(BC208)-2,1)*1&gt;=MID($D213,LEN($D213)-2,1)*1,TRUE,FALSE)),FALSE)</f>
        <v>1</v>
      </c>
      <c r="AM208" s="185" t="b">
        <f>IF(D212="",TRUE,IF(BB208&gt;=D212,TRUE,FALSE))</f>
        <v>1</v>
      </c>
      <c r="AN208" s="185"/>
      <c r="AO208" s="185"/>
      <c r="AP208" s="185" t="s">
        <v>174</v>
      </c>
      <c r="AQ208" s="185">
        <v>1</v>
      </c>
      <c r="AR208" s="185" t="str">
        <f t="shared" ca="1" si="176"/>
        <v>1920x1080</v>
      </c>
      <c r="AS208" s="185" t="str">
        <f t="shared" ca="1" si="176"/>
        <v>AMD Ryzen 5</v>
      </c>
      <c r="AT208" s="185">
        <f t="shared" ca="1" si="176"/>
        <v>8</v>
      </c>
      <c r="AU208" s="185">
        <f t="shared" ca="1" si="176"/>
        <v>256</v>
      </c>
      <c r="AV208" s="185">
        <f t="shared" ca="1" si="176"/>
        <v>14</v>
      </c>
      <c r="AW208" s="185">
        <f t="shared" ca="1" si="176"/>
        <v>3</v>
      </c>
      <c r="AX208" s="185">
        <f t="shared" ca="1" si="176"/>
        <v>1</v>
      </c>
      <c r="AY208" s="185" t="str">
        <f t="shared" ca="1" si="176"/>
        <v>Ja, HDMI-port finns</v>
      </c>
      <c r="AZ208" s="185" t="str">
        <f t="shared" ca="1" si="176"/>
        <v>802.11a/b/g/n/ac/ax</v>
      </c>
      <c r="BA208" s="185">
        <f t="shared" ca="1" si="176"/>
        <v>5.3</v>
      </c>
      <c r="BB208" s="185">
        <f t="shared" ca="1" si="177"/>
        <v>11</v>
      </c>
      <c r="BC208" s="185" t="str">
        <f t="shared" ca="1" si="177"/>
        <v>Version 8.0</v>
      </c>
      <c r="BD208" s="185" t="str">
        <f t="shared" ca="1" si="177"/>
        <v>Ja</v>
      </c>
      <c r="BE208" s="185" t="str">
        <f t="shared" ca="1" si="177"/>
        <v>Windows 11 Pro</v>
      </c>
      <c r="BF208" s="185" t="str">
        <f t="shared" ca="1" si="177"/>
        <v>ProBook 445 G10</v>
      </c>
      <c r="BG208" s="185">
        <f t="shared" ca="1" si="177"/>
        <v>7599</v>
      </c>
      <c r="BH208" s="192">
        <f t="shared" ca="1" si="177"/>
        <v>123</v>
      </c>
      <c r="BI208" s="192">
        <f t="shared" ca="1" si="177"/>
        <v>425</v>
      </c>
      <c r="BJ208" s="192">
        <f t="shared" ca="1" si="177"/>
        <v>149</v>
      </c>
      <c r="BK208" s="192">
        <f t="shared" ca="1" si="177"/>
        <v>1185</v>
      </c>
      <c r="BL208" s="192">
        <f t="shared" ca="1" si="178"/>
        <v>450</v>
      </c>
      <c r="BM208" s="192">
        <f t="shared" ca="1" si="178"/>
        <v>133</v>
      </c>
      <c r="BN208" s="192">
        <f t="shared" ca="1" si="178"/>
        <v>20</v>
      </c>
      <c r="BO208" s="192">
        <f t="shared" ca="1" si="178"/>
        <v>20</v>
      </c>
      <c r="BP208" s="192" t="str">
        <f t="shared" ca="1" si="178"/>
        <v>Cirafon</v>
      </c>
      <c r="BQ208" s="192" t="str">
        <f t="shared" ca="1" si="178"/>
        <v>Cirafon</v>
      </c>
      <c r="BR208" s="192" t="str">
        <f t="shared" ca="1" si="178"/>
        <v>HP</v>
      </c>
      <c r="BS208" s="192" t="str">
        <f t="shared" ca="1" si="178"/>
        <v>HP</v>
      </c>
      <c r="BT208" s="192" t="str">
        <f t="shared" ca="1" si="178"/>
        <v>LSN8696R2-14.1</v>
      </c>
      <c r="BU208" s="192" t="str">
        <f t="shared" ca="1" si="178"/>
        <v>DPF14-9</v>
      </c>
      <c r="BV208" s="192" t="str">
        <f t="shared" ca="1" si="178"/>
        <v xml:space="preserve">1MZ01AA </v>
      </c>
      <c r="BW208" s="192" t="str">
        <f t="shared" ca="1" si="178"/>
        <v>72C71AA</v>
      </c>
      <c r="BX208" s="192"/>
      <c r="BY208" s="192" t="str">
        <f t="shared" ca="1" si="179"/>
        <v>Dustin Sverige AB</v>
      </c>
      <c r="BZ208" s="192" t="str">
        <f t="shared" ca="1" si="179"/>
        <v>HP</v>
      </c>
      <c r="CA208" s="185"/>
      <c r="CB208" s="185" t="s">
        <v>64</v>
      </c>
      <c r="CC208" s="185"/>
      <c r="CD208" s="185"/>
      <c r="CE208" s="185"/>
      <c r="CF208" s="185"/>
      <c r="CG208" s="185"/>
      <c r="CH208" s="185"/>
      <c r="CI208" s="185"/>
      <c r="CJ208" s="185"/>
      <c r="CK208" s="185"/>
      <c r="CL208" s="185"/>
      <c r="CM208" s="185"/>
      <c r="CN208" s="185"/>
    </row>
    <row r="209" spans="2:92" ht="22.5" customHeight="1" outlineLevel="1" x14ac:dyDescent="0.35">
      <c r="C209" s="61" t="s">
        <v>97</v>
      </c>
      <c r="D209" s="64"/>
      <c r="F209" s="80" t="str">
        <f t="shared" si="180"/>
        <v/>
      </c>
      <c r="G209" s="81" t="str">
        <f t="shared" ca="1" si="181"/>
        <v>Ja, HDMI-port finns</v>
      </c>
      <c r="H209" s="81" t="str">
        <f t="shared" ca="1" si="181"/>
        <v>Ja, HDMI-port finns</v>
      </c>
      <c r="I209" s="120" t="str">
        <f t="shared" ca="1" si="181"/>
        <v>Ja, HDMI-port finns</v>
      </c>
      <c r="J209" s="62"/>
      <c r="Q209" s="185">
        <f t="shared" si="158"/>
        <v>0</v>
      </c>
      <c r="R209" s="185">
        <f t="shared" si="159"/>
        <v>0</v>
      </c>
      <c r="S209" s="185">
        <f t="shared" si="160"/>
        <v>0</v>
      </c>
      <c r="T209" s="185">
        <f t="shared" si="161"/>
        <v>0</v>
      </c>
      <c r="U209" s="185">
        <f t="shared" si="162"/>
        <v>0</v>
      </c>
      <c r="V209" s="185">
        <f t="shared" si="163"/>
        <v>0</v>
      </c>
      <c r="W209" s="185">
        <f t="shared" si="164"/>
        <v>0</v>
      </c>
      <c r="X209" s="185">
        <f t="shared" si="165"/>
        <v>0</v>
      </c>
      <c r="Y209" s="185">
        <f t="shared" si="166"/>
        <v>0</v>
      </c>
      <c r="Z209" s="196">
        <f t="shared" ca="1" si="167"/>
        <v>11900</v>
      </c>
      <c r="AA209" s="185" t="str">
        <f t="shared" ca="1" si="168"/>
        <v>Offererad produktnr. 02Dustin Sverige AB</v>
      </c>
      <c r="AB209" s="185"/>
      <c r="AC209" s="198" t="b">
        <f ca="1">IFERROR(IF(D204="",TRUE,
IF(OR(D204=$CB$12,D204=$CB$13),IF(LEFT(AS209,FIND(" ",AS209)-1)=D204,TRUE,FALSE),
IF(OFFSET(Processor!$AB$1,MATCH($AS209,Processor!$AA$2:$AA$23,0),MATCH(LEFT(D204,FIND(" ",D204)-1),Processor!$AC$1:$AG$1,0))&gt;=
OFFSET(Processor!$AB$1,MATCH(D204,Processor!$AA$2:$AA$23,0),MATCH(LEFT(D204,FIND(" ",D204)-1),Processor!$AC$1:$AG$1,0)),TRUE,FALSE))),FALSE)</f>
        <v>1</v>
      </c>
      <c r="AD209" s="185" t="b">
        <f t="shared" si="169"/>
        <v>1</v>
      </c>
      <c r="AE209" s="185" t="b">
        <f t="shared" si="170"/>
        <v>1</v>
      </c>
      <c r="AF209" s="185" t="b">
        <f>IF($D$202="",TRUE,IF(COUNTIF(Processor!$I$2:$I$9,$D$202)&gt;0,AND(AV209&gt;INDEX(Processor!$J$2:$J$9,MATCH($D$202,Processor!$I$2:$I$9,0)),AV209&lt;INDEX(Processor!$K$2:$K$9,MATCH($D$202,Processor!$I$2:$I$9,0))),IF(AV209=$D$202,TRUE,FALSE)))</f>
        <v>1</v>
      </c>
      <c r="AG209" s="185" t="b">
        <f t="shared" si="171"/>
        <v>1</v>
      </c>
      <c r="AH209" s="185" t="b">
        <f t="shared" si="172"/>
        <v>1</v>
      </c>
      <c r="AI209" s="185" t="b">
        <f t="shared" si="173"/>
        <v>1</v>
      </c>
      <c r="AJ209" s="185" t="b">
        <f t="shared" si="174"/>
        <v>1</v>
      </c>
      <c r="AK209" s="185" t="b">
        <f t="shared" si="175"/>
        <v>1</v>
      </c>
      <c r="AL209" s="185" t="b">
        <f>IFERROR(IF($D213="",TRUE,IF(MID(BC209,LEN(BC209)-2,1)*1&gt;=MID($D213,LEN($D213)-2,1)*1,TRUE,FALSE)),FALSE)</f>
        <v>1</v>
      </c>
      <c r="AM209" s="185" t="b">
        <f>IF(D212="",TRUE,IF(BB209&gt;=D212,TRUE,FALSE))</f>
        <v>1</v>
      </c>
      <c r="AN209" s="185"/>
      <c r="AO209" s="185"/>
      <c r="AP209" s="185" t="s">
        <v>175</v>
      </c>
      <c r="AQ209" s="185">
        <v>1</v>
      </c>
      <c r="AR209" s="185" t="str">
        <f t="shared" ca="1" si="176"/>
        <v>1920x1200</v>
      </c>
      <c r="AS209" s="185" t="str">
        <f t="shared" ca="1" si="176"/>
        <v>Intel i5</v>
      </c>
      <c r="AT209" s="185">
        <f t="shared" ca="1" si="176"/>
        <v>16</v>
      </c>
      <c r="AU209" s="185">
        <f t="shared" ca="1" si="176"/>
        <v>256</v>
      </c>
      <c r="AV209" s="185">
        <f t="shared" ca="1" si="176"/>
        <v>14</v>
      </c>
      <c r="AW209" s="185">
        <f t="shared" ca="1" si="176"/>
        <v>2</v>
      </c>
      <c r="AX209" s="185">
        <f t="shared" ca="1" si="176"/>
        <v>2</v>
      </c>
      <c r="AY209" s="185" t="str">
        <f t="shared" ca="1" si="176"/>
        <v>Ja, HDMI-port finns</v>
      </c>
      <c r="AZ209" s="185" t="str">
        <f t="shared" ca="1" si="176"/>
        <v>802.11a/b/g/n/ac/ax</v>
      </c>
      <c r="BA209" s="185">
        <f t="shared" ca="1" si="176"/>
        <v>5.3</v>
      </c>
      <c r="BB209" s="185">
        <f t="shared" ca="1" si="177"/>
        <v>11</v>
      </c>
      <c r="BC209" s="185" t="str">
        <f t="shared" ca="1" si="177"/>
        <v>Version 8.0</v>
      </c>
      <c r="BD209" s="185" t="str">
        <f t="shared" ca="1" si="177"/>
        <v>Ja</v>
      </c>
      <c r="BE209" s="185" t="str">
        <f t="shared" ca="1" si="177"/>
        <v>Windows 11 Pro</v>
      </c>
      <c r="BF209" s="185" t="str">
        <f t="shared" ca="1" si="177"/>
        <v>Elitebook 840 G9</v>
      </c>
      <c r="BG209" s="185">
        <f t="shared" ca="1" si="177"/>
        <v>11900</v>
      </c>
      <c r="BH209" s="192">
        <f t="shared" ca="1" si="177"/>
        <v>123</v>
      </c>
      <c r="BI209" s="192">
        <f t="shared" ca="1" si="177"/>
        <v>425</v>
      </c>
      <c r="BJ209" s="192">
        <f t="shared" ca="1" si="177"/>
        <v>149</v>
      </c>
      <c r="BK209" s="192">
        <f t="shared" ca="1" si="177"/>
        <v>1185</v>
      </c>
      <c r="BL209" s="192">
        <f t="shared" ca="1" si="178"/>
        <v>450</v>
      </c>
      <c r="BM209" s="192">
        <f t="shared" ca="1" si="178"/>
        <v>133</v>
      </c>
      <c r="BN209" s="192">
        <f t="shared" ca="1" si="178"/>
        <v>20</v>
      </c>
      <c r="BO209" s="192">
        <f t="shared" ca="1" si="178"/>
        <v>20</v>
      </c>
      <c r="BP209" s="192" t="str">
        <f t="shared" ca="1" si="178"/>
        <v>Cirafon</v>
      </c>
      <c r="BQ209" s="192" t="str">
        <f t="shared" ca="1" si="178"/>
        <v>Cirafon</v>
      </c>
      <c r="BR209" s="192" t="str">
        <f t="shared" ca="1" si="178"/>
        <v>HP</v>
      </c>
      <c r="BS209" s="192" t="str">
        <f t="shared" ca="1" si="178"/>
        <v>HP</v>
      </c>
      <c r="BT209" s="192" t="str">
        <f t="shared" ca="1" si="178"/>
        <v>LSN8696R2-14.1</v>
      </c>
      <c r="BU209" s="192" t="str">
        <f t="shared" ca="1" si="178"/>
        <v>DPF14-9</v>
      </c>
      <c r="BV209" s="192" t="str">
        <f t="shared" ca="1" si="178"/>
        <v xml:space="preserve">1MZ01AA </v>
      </c>
      <c r="BW209" s="192" t="str">
        <f t="shared" ca="1" si="178"/>
        <v>72C71AA</v>
      </c>
      <c r="BX209" s="192"/>
      <c r="BY209" s="192" t="str">
        <f t="shared" ca="1" si="179"/>
        <v>Dustin Sverige AB</v>
      </c>
      <c r="BZ209" s="192" t="str">
        <f t="shared" ca="1" si="179"/>
        <v>HP</v>
      </c>
      <c r="CA209" s="185"/>
      <c r="CB209" s="185" t="s">
        <v>571</v>
      </c>
      <c r="CC209" s="185"/>
      <c r="CD209" s="185"/>
      <c r="CE209" s="185"/>
      <c r="CF209" s="185"/>
      <c r="CG209" s="185"/>
      <c r="CH209" s="185"/>
      <c r="CI209" s="185"/>
      <c r="CJ209" s="185"/>
      <c r="CK209" s="185"/>
      <c r="CL209" s="185"/>
      <c r="CM209" s="185"/>
      <c r="CN209" s="185"/>
    </row>
    <row r="210" spans="2:92" ht="22.5" customHeight="1" outlineLevel="1" x14ac:dyDescent="0.35">
      <c r="C210" s="61" t="s">
        <v>103</v>
      </c>
      <c r="D210" s="64"/>
      <c r="F210" s="80" t="str">
        <f t="shared" si="180"/>
        <v/>
      </c>
      <c r="G210" s="81" t="str">
        <f t="shared" ca="1" si="181"/>
        <v>802.11a/b/g/n/ac/ax</v>
      </c>
      <c r="H210" s="81" t="str">
        <f t="shared" ca="1" si="181"/>
        <v>802.11a/b/g/n/ac/ax</v>
      </c>
      <c r="I210" s="120" t="str">
        <f t="shared" ca="1" si="181"/>
        <v>802.11a/b/g/n/ac/ax</v>
      </c>
      <c r="J210" s="62"/>
      <c r="Q210" s="185">
        <f t="shared" si="158"/>
        <v>0</v>
      </c>
      <c r="R210" s="185">
        <f t="shared" si="159"/>
        <v>0</v>
      </c>
      <c r="S210" s="185">
        <f t="shared" si="160"/>
        <v>0</v>
      </c>
      <c r="T210" s="185">
        <f t="shared" si="161"/>
        <v>0</v>
      </c>
      <c r="U210" s="185">
        <f t="shared" si="162"/>
        <v>0</v>
      </c>
      <c r="V210" s="185">
        <f t="shared" si="163"/>
        <v>0</v>
      </c>
      <c r="W210" s="185">
        <f t="shared" si="164"/>
        <v>0</v>
      </c>
      <c r="X210" s="185">
        <f t="shared" si="165"/>
        <v>0</v>
      </c>
      <c r="Y210" s="185">
        <f t="shared" si="166"/>
        <v>0</v>
      </c>
      <c r="Z210" s="196">
        <f t="shared" ca="1" si="167"/>
        <v>10490</v>
      </c>
      <c r="AA210" s="185" t="str">
        <f t="shared" ca="1" si="168"/>
        <v>Offererad produktnr. 03Dustin Sverige AB</v>
      </c>
      <c r="AB210" s="185"/>
      <c r="AC210" s="185" t="b">
        <f ca="1">IFERROR(IF(D204="",TRUE,
IF(OR(D204=$CB$12,D204=$CB$13),IF(LEFT(AS210,FIND(" ",AS210)-1)=D204,TRUE,FALSE),
IF(OFFSET(Processor!$AB$1,MATCH($AS210,Processor!$AA$2:$AA$23,0),MATCH(LEFT(D204,FIND(" ",D204)-1),Processor!$AC$1:$AG$1,0))&gt;=
OFFSET(Processor!$AB$1,MATCH(D204,Processor!$AA$2:$AA$23,0),MATCH(LEFT(D204,FIND(" ",D204)-1),Processor!$AC$1:$AG$1,0)),TRUE,FALSE))),FALSE)</f>
        <v>1</v>
      </c>
      <c r="AD210" s="185" t="b">
        <f t="shared" si="169"/>
        <v>1</v>
      </c>
      <c r="AE210" s="185" t="b">
        <f t="shared" si="170"/>
        <v>1</v>
      </c>
      <c r="AF210" s="185" t="b">
        <f>IF($D$202="",TRUE,IF(COUNTIF(Processor!$I$2:$I$9,$D$202)&gt;0,AND(AV210&gt;INDEX(Processor!$J$2:$J$9,MATCH($D$202,Processor!$I$2:$I$9,0)),AV210&lt;INDEX(Processor!$K$2:$K$9,MATCH($D$202,Processor!$I$2:$I$9,0))),IF(AV210=$D$202,TRUE,FALSE)))</f>
        <v>1</v>
      </c>
      <c r="AG210" s="185" t="b">
        <f t="shared" si="171"/>
        <v>1</v>
      </c>
      <c r="AH210" s="185" t="b">
        <f t="shared" si="172"/>
        <v>1</v>
      </c>
      <c r="AI210" s="185" t="b">
        <f t="shared" si="173"/>
        <v>1</v>
      </c>
      <c r="AJ210" s="185" t="b">
        <f t="shared" si="174"/>
        <v>1</v>
      </c>
      <c r="AK210" s="185" t="b">
        <f t="shared" si="175"/>
        <v>1</v>
      </c>
      <c r="AL210" s="185" t="b">
        <f>IFERROR(IF($D213="",TRUE,IF(MID(BC210,LEN(BC210)-2,1)*1&gt;=MID($D213,LEN($D213)-2,1)*1,TRUE,FALSE)),FALSE)</f>
        <v>1</v>
      </c>
      <c r="AM210" s="185" t="b">
        <f>IF(D212="",TRUE,IF(BB210&gt;=D212,TRUE,FALSE))</f>
        <v>1</v>
      </c>
      <c r="AN210" s="185"/>
      <c r="AO210" s="185"/>
      <c r="AP210" s="185" t="s">
        <v>176</v>
      </c>
      <c r="AQ210" s="185">
        <v>1</v>
      </c>
      <c r="AR210" s="185" t="str">
        <f t="shared" ref="AR210:BA219" ca="1" si="182">IFERROR(INDEX(INDIRECT(AR$195&amp;"!$A$10:CC100000"),MATCH($AP210,INDIRECT(AR$195&amp;"!BH$10:BH100000"),0),MATCH(AR$197,INDIRECT(AR$195&amp;"!a10:CC10"),0)),"False")</f>
        <v>1920x1080</v>
      </c>
      <c r="AS210" s="185" t="str">
        <f t="shared" ca="1" si="182"/>
        <v>Intel i7 Gen 12</v>
      </c>
      <c r="AT210" s="185">
        <f t="shared" ca="1" si="182"/>
        <v>32</v>
      </c>
      <c r="AU210" s="185">
        <f t="shared" ca="1" si="182"/>
        <v>512</v>
      </c>
      <c r="AV210" s="185">
        <f t="shared" ca="1" si="182"/>
        <v>14</v>
      </c>
      <c r="AW210" s="185">
        <f t="shared" ca="1" si="182"/>
        <v>3</v>
      </c>
      <c r="AX210" s="185">
        <f t="shared" ca="1" si="182"/>
        <v>1</v>
      </c>
      <c r="AY210" s="185" t="str">
        <f t="shared" ca="1" si="182"/>
        <v>Ja, HDMI-port finns</v>
      </c>
      <c r="AZ210" s="185" t="str">
        <f t="shared" ca="1" si="182"/>
        <v>802.11a/b/g/n/ac/ax</v>
      </c>
      <c r="BA210" s="185">
        <f t="shared" ca="1" si="182"/>
        <v>5.3</v>
      </c>
      <c r="BB210" s="185">
        <f t="shared" ref="BB210:BK219" ca="1" si="183">IFERROR(INDEX(INDIRECT(BB$195&amp;"!$A$10:CC100000"),MATCH($AP210,INDIRECT(BB$195&amp;"!BH$10:BH100000"),0),MATCH(BB$197,INDIRECT(BB$195&amp;"!a10:CC10"),0)),"False")</f>
        <v>11</v>
      </c>
      <c r="BC210" s="185" t="str">
        <f t="shared" ca="1" si="183"/>
        <v>Version 8.0</v>
      </c>
      <c r="BD210" s="185" t="str">
        <f t="shared" ca="1" si="183"/>
        <v>Ja</v>
      </c>
      <c r="BE210" s="185" t="str">
        <f t="shared" ca="1" si="183"/>
        <v>Windows 11 Pro</v>
      </c>
      <c r="BF210" s="185" t="str">
        <f t="shared" ca="1" si="183"/>
        <v>ProBook 440 G9</v>
      </c>
      <c r="BG210" s="185">
        <f t="shared" ca="1" si="183"/>
        <v>10490</v>
      </c>
      <c r="BH210" s="192">
        <f t="shared" ca="1" si="183"/>
        <v>123</v>
      </c>
      <c r="BI210" s="192">
        <f t="shared" ca="1" si="183"/>
        <v>425</v>
      </c>
      <c r="BJ210" s="192">
        <f t="shared" ca="1" si="183"/>
        <v>149</v>
      </c>
      <c r="BK210" s="192">
        <f t="shared" ca="1" si="183"/>
        <v>1185</v>
      </c>
      <c r="BL210" s="192">
        <f t="shared" ref="BL210:BW219" ca="1" si="184">IFERROR(INDEX(INDIRECT(BL$195&amp;"!$A$10:CC100000"),MATCH($AP210,INDIRECT(BL$195&amp;"!BH$10:BH100000"),0),MATCH(BL$197,INDIRECT(BL$195&amp;"!a10:CC10"),0)),"False")</f>
        <v>450</v>
      </c>
      <c r="BM210" s="192">
        <f t="shared" ca="1" si="184"/>
        <v>133</v>
      </c>
      <c r="BN210" s="192">
        <f t="shared" ca="1" si="184"/>
        <v>20</v>
      </c>
      <c r="BO210" s="192">
        <f t="shared" ca="1" si="184"/>
        <v>20</v>
      </c>
      <c r="BP210" s="192" t="str">
        <f t="shared" ca="1" si="184"/>
        <v>Cirafon</v>
      </c>
      <c r="BQ210" s="192" t="str">
        <f t="shared" ca="1" si="184"/>
        <v>Cirafon</v>
      </c>
      <c r="BR210" s="192" t="str">
        <f t="shared" ca="1" si="184"/>
        <v>HP</v>
      </c>
      <c r="BS210" s="192" t="str">
        <f t="shared" ca="1" si="184"/>
        <v>HP</v>
      </c>
      <c r="BT210" s="192" t="str">
        <f t="shared" ca="1" si="184"/>
        <v>LSN8696R2-14.1</v>
      </c>
      <c r="BU210" s="192" t="str">
        <f t="shared" ca="1" si="184"/>
        <v>DPF14-9</v>
      </c>
      <c r="BV210" s="192" t="str">
        <f t="shared" ca="1" si="184"/>
        <v xml:space="preserve">1MZ01AA </v>
      </c>
      <c r="BW210" s="192" t="str">
        <f t="shared" ca="1" si="184"/>
        <v>72C71AA</v>
      </c>
      <c r="BX210" s="192"/>
      <c r="BY210" s="192" t="str">
        <f t="shared" ca="1" si="179"/>
        <v>Dustin Sverige AB</v>
      </c>
      <c r="BZ210" s="192" t="str">
        <f t="shared" ca="1" si="179"/>
        <v>HP</v>
      </c>
      <c r="CA210" s="185"/>
      <c r="CB210" s="185" t="s">
        <v>710</v>
      </c>
      <c r="CC210" s="185"/>
      <c r="CD210" s="185"/>
      <c r="CE210" s="185"/>
      <c r="CF210" s="185"/>
      <c r="CG210" s="185"/>
      <c r="CH210" s="185"/>
      <c r="CI210" s="185"/>
      <c r="CJ210" s="185"/>
      <c r="CK210" s="185"/>
      <c r="CL210" s="185"/>
      <c r="CM210" s="185"/>
      <c r="CN210" s="185"/>
    </row>
    <row r="211" spans="2:92" ht="33.75" customHeight="1" outlineLevel="1" x14ac:dyDescent="0.35">
      <c r="C211" s="61" t="s">
        <v>75</v>
      </c>
      <c r="D211" s="110"/>
      <c r="F211" s="80" t="str">
        <f t="shared" si="180"/>
        <v/>
      </c>
      <c r="G211" s="81">
        <f t="shared" ca="1" si="181"/>
        <v>5</v>
      </c>
      <c r="H211" s="81">
        <f t="shared" ca="1" si="181"/>
        <v>5.3</v>
      </c>
      <c r="I211" s="120">
        <f t="shared" ca="1" si="181"/>
        <v>5</v>
      </c>
      <c r="J211" s="62"/>
      <c r="Q211" s="185">
        <f t="shared" si="158"/>
        <v>0</v>
      </c>
      <c r="R211" s="185">
        <f t="shared" si="159"/>
        <v>0</v>
      </c>
      <c r="S211" s="185">
        <f t="shared" si="160"/>
        <v>0</v>
      </c>
      <c r="T211" s="185">
        <f t="shared" si="161"/>
        <v>0</v>
      </c>
      <c r="U211" s="185">
        <f t="shared" si="162"/>
        <v>0</v>
      </c>
      <c r="V211" s="185">
        <f t="shared" si="163"/>
        <v>0</v>
      </c>
      <c r="W211" s="185">
        <f t="shared" si="164"/>
        <v>0</v>
      </c>
      <c r="X211" s="185">
        <f t="shared" si="165"/>
        <v>0</v>
      </c>
      <c r="Y211" s="185">
        <f t="shared" si="166"/>
        <v>0</v>
      </c>
      <c r="Z211" s="196">
        <f t="shared" ca="1" si="167"/>
        <v>13790</v>
      </c>
      <c r="AA211" s="185" t="str">
        <f t="shared" ca="1" si="168"/>
        <v>Offererad produktnr. 04Dustin Sverige AB</v>
      </c>
      <c r="AB211" s="185"/>
      <c r="AC211" s="185" t="b">
        <f ca="1">IFERROR(IF(D204="",TRUE,
IF(OR(D204=$CB$12,D204=$CB$13),IF(LEFT(AS211,FIND(" ",AS211)-1)=D204,TRUE,FALSE),
IF(OFFSET(Processor!$AB$1,MATCH($AS211,Processor!$AA$2:$AA$23,0),MATCH(LEFT(D204,FIND(" ",D204)-1),Processor!$AC$1:$AG$1,0))&gt;=
OFFSET(Processor!$AB$1,MATCH(D204,Processor!$AA$2:$AA$23,0),MATCH(LEFT(D204,FIND(" ",D204)-1),Processor!$AC$1:$AG$1,0)),TRUE,FALSE))),FALSE)</f>
        <v>1</v>
      </c>
      <c r="AD211" s="185" t="b">
        <f t="shared" si="169"/>
        <v>1</v>
      </c>
      <c r="AE211" s="185" t="b">
        <f t="shared" si="170"/>
        <v>1</v>
      </c>
      <c r="AF211" s="185" t="b">
        <f>IF($D$202="",TRUE,IF(COUNTIF(Processor!$I$2:$I$9,$D$202)&gt;0,AND(AV211&gt;INDEX(Processor!$J$2:$J$9,MATCH($D$202,Processor!$I$2:$I$9,0)),AV211&lt;INDEX(Processor!$K$2:$K$9,MATCH($D$202,Processor!$I$2:$I$9,0))),IF(AV211=$D$202,TRUE,FALSE)))</f>
        <v>1</v>
      </c>
      <c r="AG211" s="185" t="b">
        <f t="shared" si="171"/>
        <v>1</v>
      </c>
      <c r="AH211" s="185" t="b">
        <f t="shared" si="172"/>
        <v>1</v>
      </c>
      <c r="AI211" s="185" t="b">
        <f t="shared" si="173"/>
        <v>1</v>
      </c>
      <c r="AJ211" s="185" t="b">
        <f t="shared" si="174"/>
        <v>1</v>
      </c>
      <c r="AK211" s="185" t="b">
        <f t="shared" si="175"/>
        <v>1</v>
      </c>
      <c r="AL211" s="185" t="b">
        <f>IFERROR(IF($D213="",TRUE,IF(MID(BC211,LEN(BC211)-2,1)*1&gt;=MID($D213,LEN($D213)-2,1)*1,TRUE,FALSE)),FALSE)</f>
        <v>1</v>
      </c>
      <c r="AM211" s="185" t="b">
        <f>IF(D212="",TRUE,IF(BB211&gt;=D212,TRUE,FALSE))</f>
        <v>1</v>
      </c>
      <c r="AN211" s="185"/>
      <c r="AO211" s="185"/>
      <c r="AP211" s="185" t="s">
        <v>177</v>
      </c>
      <c r="AQ211" s="185">
        <v>1</v>
      </c>
      <c r="AR211" s="185" t="str">
        <f t="shared" ca="1" si="182"/>
        <v>1920x1200</v>
      </c>
      <c r="AS211" s="185" t="str">
        <f t="shared" ca="1" si="182"/>
        <v>Intel i7</v>
      </c>
      <c r="AT211" s="185">
        <f t="shared" ca="1" si="182"/>
        <v>16</v>
      </c>
      <c r="AU211" s="185">
        <f t="shared" ca="1" si="182"/>
        <v>512</v>
      </c>
      <c r="AV211" s="185">
        <f t="shared" ca="1" si="182"/>
        <v>14</v>
      </c>
      <c r="AW211" s="185">
        <f t="shared" ca="1" si="182"/>
        <v>2</v>
      </c>
      <c r="AX211" s="185">
        <f t="shared" ca="1" si="182"/>
        <v>2</v>
      </c>
      <c r="AY211" s="185" t="str">
        <f t="shared" ca="1" si="182"/>
        <v>Ja, HDMI-port finns</v>
      </c>
      <c r="AZ211" s="185" t="str">
        <f t="shared" ca="1" si="182"/>
        <v>802.11a/b/g/n/ac/ax</v>
      </c>
      <c r="BA211" s="185">
        <f t="shared" ca="1" si="182"/>
        <v>5.3</v>
      </c>
      <c r="BB211" s="185">
        <f t="shared" ca="1" si="183"/>
        <v>11</v>
      </c>
      <c r="BC211" s="185" t="str">
        <f t="shared" ca="1" si="183"/>
        <v>Version 8.0</v>
      </c>
      <c r="BD211" s="185" t="str">
        <f t="shared" ca="1" si="183"/>
        <v>Ja</v>
      </c>
      <c r="BE211" s="185" t="str">
        <f t="shared" ca="1" si="183"/>
        <v>Windows 11 Pro</v>
      </c>
      <c r="BF211" s="185" t="str">
        <f t="shared" ca="1" si="183"/>
        <v>EliteBook 840 G9</v>
      </c>
      <c r="BG211" s="185">
        <f t="shared" ca="1" si="183"/>
        <v>13790</v>
      </c>
      <c r="BH211" s="192">
        <f t="shared" ca="1" si="183"/>
        <v>123</v>
      </c>
      <c r="BI211" s="192">
        <f t="shared" ca="1" si="183"/>
        <v>425</v>
      </c>
      <c r="BJ211" s="192">
        <f t="shared" ca="1" si="183"/>
        <v>149</v>
      </c>
      <c r="BK211" s="192">
        <f t="shared" ca="1" si="183"/>
        <v>1185</v>
      </c>
      <c r="BL211" s="192">
        <f t="shared" ca="1" si="184"/>
        <v>450</v>
      </c>
      <c r="BM211" s="192">
        <f t="shared" ca="1" si="184"/>
        <v>133</v>
      </c>
      <c r="BN211" s="192">
        <f t="shared" ca="1" si="184"/>
        <v>20</v>
      </c>
      <c r="BO211" s="192">
        <f t="shared" ca="1" si="184"/>
        <v>20</v>
      </c>
      <c r="BP211" s="192" t="str">
        <f t="shared" ca="1" si="184"/>
        <v>Cirafon</v>
      </c>
      <c r="BQ211" s="192" t="str">
        <f t="shared" ca="1" si="184"/>
        <v>Cirafon</v>
      </c>
      <c r="BR211" s="192" t="str">
        <f t="shared" ca="1" si="184"/>
        <v>HP</v>
      </c>
      <c r="BS211" s="192" t="str">
        <f t="shared" ca="1" si="184"/>
        <v>HP</v>
      </c>
      <c r="BT211" s="192" t="str">
        <f t="shared" ca="1" si="184"/>
        <v>LSN8696R2-14.1</v>
      </c>
      <c r="BU211" s="192" t="str">
        <f t="shared" ca="1" si="184"/>
        <v>DPF14-9</v>
      </c>
      <c r="BV211" s="192" t="str">
        <f t="shared" ca="1" si="184"/>
        <v xml:space="preserve">1MZ01AA </v>
      </c>
      <c r="BW211" s="192" t="str">
        <f t="shared" ca="1" si="184"/>
        <v>72C71AA</v>
      </c>
      <c r="BX211" s="192"/>
      <c r="BY211" s="192" t="str">
        <f t="shared" ca="1" si="179"/>
        <v>Dustin Sverige AB</v>
      </c>
      <c r="BZ211" s="192" t="str">
        <f t="shared" ca="1" si="179"/>
        <v>HP</v>
      </c>
      <c r="CA211" s="185"/>
      <c r="CB211" s="185"/>
      <c r="CC211" s="185"/>
      <c r="CD211" s="185"/>
      <c r="CE211" s="185"/>
      <c r="CF211" s="185"/>
      <c r="CG211" s="185"/>
      <c r="CH211" s="185"/>
      <c r="CI211" s="185"/>
      <c r="CJ211" s="185"/>
      <c r="CK211" s="185"/>
      <c r="CL211" s="185"/>
      <c r="CM211" s="185"/>
      <c r="CN211" s="185"/>
    </row>
    <row r="212" spans="2:92" ht="32.25" customHeight="1" outlineLevel="1" x14ac:dyDescent="0.35">
      <c r="C212" s="61" t="s">
        <v>120</v>
      </c>
      <c r="D212" s="65"/>
      <c r="F212" s="80" t="str">
        <f t="shared" si="180"/>
        <v/>
      </c>
      <c r="G212" s="81">
        <f t="shared" ca="1" si="181"/>
        <v>11</v>
      </c>
      <c r="H212" s="81">
        <f t="shared" ca="1" si="181"/>
        <v>11</v>
      </c>
      <c r="I212" s="121">
        <f t="shared" ca="1" si="181"/>
        <v>11</v>
      </c>
      <c r="J212" s="62"/>
      <c r="Q212" s="185">
        <f t="shared" si="158"/>
        <v>0</v>
      </c>
      <c r="R212" s="185">
        <f t="shared" si="159"/>
        <v>0</v>
      </c>
      <c r="S212" s="185">
        <f t="shared" si="160"/>
        <v>0</v>
      </c>
      <c r="T212" s="185">
        <f t="shared" si="161"/>
        <v>0</v>
      </c>
      <c r="U212" s="185">
        <f t="shared" si="162"/>
        <v>0</v>
      </c>
      <c r="V212" s="185">
        <f t="shared" si="163"/>
        <v>0</v>
      </c>
      <c r="W212" s="185">
        <f t="shared" si="164"/>
        <v>0</v>
      </c>
      <c r="X212" s="185">
        <f t="shared" si="165"/>
        <v>0</v>
      </c>
      <c r="Y212" s="185">
        <f t="shared" si="166"/>
        <v>0</v>
      </c>
      <c r="Z212" s="196">
        <f t="shared" ca="1" si="167"/>
        <v>8848</v>
      </c>
      <c r="AA212" s="185" t="str">
        <f t="shared" ca="1" si="168"/>
        <v>Offererad produktnr. 01Foxway Education AB</v>
      </c>
      <c r="AB212" s="185"/>
      <c r="AC212" s="185" t="b">
        <f ca="1">IFERROR(IF(D204="",TRUE,
IF(OR(D204=$CB$12,D204=$CB$13),IF(LEFT(AS212,FIND(" ",AS212)-1)=D204,TRUE,FALSE),
IF(OFFSET(Processor!$AB$1,MATCH($AS212,Processor!$AA$2:$AA$23,0),MATCH(LEFT(D204,FIND(" ",D204)-1),Processor!$AC$1:$AG$1,0))&gt;=
OFFSET(Processor!$AB$1,MATCH(D204,Processor!$AA$2:$AA$23,0),MATCH(LEFT(D204,FIND(" ",D204)-1),Processor!$AC$1:$AG$1,0)),TRUE,FALSE))),FALSE)</f>
        <v>1</v>
      </c>
      <c r="AD212" s="185" t="b">
        <f t="shared" si="169"/>
        <v>1</v>
      </c>
      <c r="AE212" s="185" t="b">
        <f t="shared" si="170"/>
        <v>1</v>
      </c>
      <c r="AF212" s="185" t="b">
        <f>IF($D$202="",TRUE,IF(COUNTIF(Processor!$I$2:$I$9,$D$202)&gt;0,AND(AV212&gt;INDEX(Processor!$J$2:$J$9,MATCH($D$202,Processor!$I$2:$I$9,0)),AV212&lt;INDEX(Processor!$K$2:$K$9,MATCH($D$202,Processor!$I$2:$I$9,0))),IF(AV212=$D$202,TRUE,FALSE)))</f>
        <v>1</v>
      </c>
      <c r="AG212" s="185" t="b">
        <f t="shared" si="171"/>
        <v>1</v>
      </c>
      <c r="AH212" s="185" t="b">
        <f t="shared" si="172"/>
        <v>1</v>
      </c>
      <c r="AI212" s="185" t="b">
        <f t="shared" si="173"/>
        <v>1</v>
      </c>
      <c r="AJ212" s="185" t="b">
        <f t="shared" si="174"/>
        <v>1</v>
      </c>
      <c r="AK212" s="185" t="b">
        <f t="shared" si="175"/>
        <v>1</v>
      </c>
      <c r="AL212" s="185" t="b">
        <f>IFERROR(IF($D213="",TRUE,IF(MID(BC212,LEN(BC212)-2,1)*1&gt;=MID($D213,LEN($D213)-2,1)*1,TRUE,FALSE)),FALSE)</f>
        <v>1</v>
      </c>
      <c r="AM212" s="185" t="b">
        <f>IF(D212="",TRUE,IF(BB212&gt;=D212,TRUE,FALSE))</f>
        <v>1</v>
      </c>
      <c r="AN212" s="185"/>
      <c r="AO212" s="185"/>
      <c r="AP212" s="185" t="s">
        <v>210</v>
      </c>
      <c r="AQ212" s="185">
        <v>1</v>
      </c>
      <c r="AR212" s="185" t="str">
        <f t="shared" ca="1" si="182"/>
        <v>1920x1080</v>
      </c>
      <c r="AS212" s="185" t="str">
        <f t="shared" ca="1" si="182"/>
        <v>AMD Ryzen 5</v>
      </c>
      <c r="AT212" s="185">
        <f t="shared" ca="1" si="182"/>
        <v>8</v>
      </c>
      <c r="AU212" s="185">
        <f t="shared" ca="1" si="182"/>
        <v>256</v>
      </c>
      <c r="AV212" s="185">
        <f t="shared" ca="1" si="182"/>
        <v>14</v>
      </c>
      <c r="AW212" s="185">
        <f t="shared" ca="1" si="182"/>
        <v>4</v>
      </c>
      <c r="AX212" s="185">
        <f t="shared" ca="1" si="182"/>
        <v>1</v>
      </c>
      <c r="AY212" s="185" t="str">
        <f t="shared" ca="1" si="182"/>
        <v>Ja, HDMI-port finns</v>
      </c>
      <c r="AZ212" s="185" t="str">
        <f t="shared" ca="1" si="182"/>
        <v>802.11a/b/g/n/ac/ax</v>
      </c>
      <c r="BA212" s="185">
        <f t="shared" ca="1" si="182"/>
        <v>5.3</v>
      </c>
      <c r="BB212" s="185">
        <f t="shared" ca="1" si="183"/>
        <v>11</v>
      </c>
      <c r="BC212" s="185" t="str">
        <f t="shared" ca="1" si="183"/>
        <v>Version 8.0</v>
      </c>
      <c r="BD212" s="185" t="str">
        <f t="shared" ca="1" si="183"/>
        <v>Ja</v>
      </c>
      <c r="BE212" s="185" t="str">
        <f t="shared" ca="1" si="183"/>
        <v>Windows 11 Pro</v>
      </c>
      <c r="BF212" s="185" t="str">
        <f t="shared" ca="1" si="183"/>
        <v>ProBook 445 G10</v>
      </c>
      <c r="BG212" s="185">
        <f t="shared" ca="1" si="183"/>
        <v>8848</v>
      </c>
      <c r="BH212" s="192">
        <f t="shared" ca="1" si="183"/>
        <v>78</v>
      </c>
      <c r="BI212" s="192">
        <f t="shared" ca="1" si="183"/>
        <v>252</v>
      </c>
      <c r="BJ212" s="192">
        <f t="shared" ca="1" si="183"/>
        <v>138</v>
      </c>
      <c r="BK212" s="192">
        <f t="shared" ca="1" si="183"/>
        <v>1150</v>
      </c>
      <c r="BL212" s="192">
        <f t="shared" ca="1" si="184"/>
        <v>160</v>
      </c>
      <c r="BM212" s="192">
        <f t="shared" ca="1" si="184"/>
        <v>185</v>
      </c>
      <c r="BN212" s="192">
        <f t="shared" ca="1" si="184"/>
        <v>60</v>
      </c>
      <c r="BO212" s="192">
        <f t="shared" ca="1" si="184"/>
        <v>50</v>
      </c>
      <c r="BP212" s="192" t="str">
        <f t="shared" ca="1" si="184"/>
        <v>V7</v>
      </c>
      <c r="BQ212" s="192" t="str">
        <f t="shared" ca="1" si="184"/>
        <v>Targus</v>
      </c>
      <c r="BR212" s="192" t="str">
        <f t="shared" ca="1" si="184"/>
        <v>HP</v>
      </c>
      <c r="BS212" s="192" t="str">
        <f t="shared" ca="1" si="184"/>
        <v>HP</v>
      </c>
      <c r="BT212" s="192" t="str">
        <f t="shared" ca="1" si="184"/>
        <v>V7 Elite Sleeve 14"</v>
      </c>
      <c r="BU212" s="192" t="str">
        <f t="shared" ca="1" si="184"/>
        <v>Targus Privacy Screen 14"</v>
      </c>
      <c r="BV212" s="192" t="str">
        <f t="shared" ca="1" si="184"/>
        <v>HP 45W Smart AC Adapter</v>
      </c>
      <c r="BW212" s="192" t="str">
        <f t="shared" ca="1" si="184"/>
        <v>HP USB-C Dock G5</v>
      </c>
      <c r="BX212" s="192"/>
      <c r="BY212" s="192" t="str">
        <f t="shared" ca="1" si="179"/>
        <v>Foxway Education AB</v>
      </c>
      <c r="BZ212" s="192" t="str">
        <f t="shared" ca="1" si="179"/>
        <v>HP</v>
      </c>
      <c r="CA212" s="185"/>
      <c r="CB212" s="185"/>
      <c r="CC212" s="185"/>
      <c r="CD212" s="185"/>
      <c r="CE212" s="185"/>
      <c r="CF212" s="185"/>
      <c r="CG212" s="185"/>
      <c r="CH212" s="185"/>
      <c r="CI212" s="185"/>
      <c r="CJ212" s="185"/>
      <c r="CK212" s="185"/>
      <c r="CL212" s="185"/>
      <c r="CM212" s="185"/>
      <c r="CN212" s="185"/>
    </row>
    <row r="213" spans="2:92" ht="24" customHeight="1" outlineLevel="1" x14ac:dyDescent="0.35">
      <c r="C213" s="61" t="s">
        <v>38</v>
      </c>
      <c r="D213" s="64"/>
      <c r="F213" s="80" t="str">
        <f t="shared" si="180"/>
        <v/>
      </c>
      <c r="G213" s="81" t="str">
        <f t="shared" ca="1" si="181"/>
        <v>Version 8.0</v>
      </c>
      <c r="H213" s="81" t="str">
        <f t="shared" ca="1" si="181"/>
        <v>Version 8.0</v>
      </c>
      <c r="I213" s="120" t="str">
        <f t="shared" ca="1" si="181"/>
        <v>Version 8.0</v>
      </c>
      <c r="J213" s="62"/>
      <c r="Q213" s="185">
        <f t="shared" si="158"/>
        <v>0</v>
      </c>
      <c r="R213" s="185">
        <f t="shared" si="159"/>
        <v>0</v>
      </c>
      <c r="S213" s="185">
        <f t="shared" si="160"/>
        <v>0</v>
      </c>
      <c r="T213" s="185">
        <f t="shared" si="161"/>
        <v>0</v>
      </c>
      <c r="U213" s="185">
        <f t="shared" si="162"/>
        <v>0</v>
      </c>
      <c r="V213" s="185">
        <f t="shared" si="163"/>
        <v>0</v>
      </c>
      <c r="W213" s="185">
        <f t="shared" si="164"/>
        <v>0</v>
      </c>
      <c r="X213" s="185">
        <f t="shared" si="165"/>
        <v>0</v>
      </c>
      <c r="Y213" s="185">
        <f t="shared" si="166"/>
        <v>0</v>
      </c>
      <c r="Z213" s="196">
        <f t="shared" ca="1" si="167"/>
        <v>9288</v>
      </c>
      <c r="AA213" s="185" t="str">
        <f t="shared" ca="1" si="168"/>
        <v>Offererad produktnr. 02Foxway Education AB</v>
      </c>
      <c r="AB213" s="185"/>
      <c r="AC213" s="185" t="b">
        <f ca="1">IFERROR(IF(D204="",TRUE,
IF(OR(D204=$CB$12,D204=$CB$13),IF(LEFT(AS213,FIND(" ",AS213)-1)=D204,TRUE,FALSE),
IF(OFFSET(Processor!$AB$1,MATCH($AS213,Processor!$AA$2:$AA$23,0),MATCH(LEFT(D204,FIND(" ",D204)-1),Processor!$AC$1:$AG$1,0))&gt;=
OFFSET(Processor!$AB$1,MATCH(D204,Processor!$AA$2:$AA$23,0),MATCH(LEFT(D204,FIND(" ",D204)-1),Processor!$AC$1:$AG$1,0)),TRUE,FALSE))),FALSE)</f>
        <v>1</v>
      </c>
      <c r="AD213" s="185" t="b">
        <f t="shared" si="169"/>
        <v>1</v>
      </c>
      <c r="AE213" s="185" t="b">
        <f t="shared" si="170"/>
        <v>1</v>
      </c>
      <c r="AF213" s="185" t="b">
        <f>IF($D$202="",TRUE,IF(COUNTIF(Processor!$I$2:$I$9,$D$202)&gt;0,AND(AV213&gt;INDEX(Processor!$J$2:$J$9,MATCH($D$202,Processor!$I$2:$I$9,0)),AV213&lt;INDEX(Processor!$K$2:$K$9,MATCH($D$202,Processor!$I$2:$I$9,0))),IF(AV213=$D$202,TRUE,FALSE)))</f>
        <v>1</v>
      </c>
      <c r="AG213" s="185" t="b">
        <f t="shared" si="171"/>
        <v>1</v>
      </c>
      <c r="AH213" s="185" t="b">
        <f t="shared" si="172"/>
        <v>1</v>
      </c>
      <c r="AI213" s="185" t="b">
        <f t="shared" si="173"/>
        <v>1</v>
      </c>
      <c r="AJ213" s="185" t="b">
        <f t="shared" si="174"/>
        <v>1</v>
      </c>
      <c r="AK213" s="185" t="b">
        <f t="shared" si="175"/>
        <v>1</v>
      </c>
      <c r="AL213" s="185" t="b">
        <f>IFERROR(IF($D213="",TRUE,IF(MID(BC213,LEN(BC213)-2,1)*1&gt;=MID($D213,LEN($D213)-2,1)*1,TRUE,FALSE)),FALSE)</f>
        <v>1</v>
      </c>
      <c r="AM213" s="185" t="b">
        <f>IF(D212="",TRUE,IF(BB213&gt;=D212,TRUE,FALSE))</f>
        <v>1</v>
      </c>
      <c r="AN213" s="185"/>
      <c r="AO213" s="185"/>
      <c r="AP213" s="185" t="s">
        <v>211</v>
      </c>
      <c r="AQ213" s="185">
        <v>1</v>
      </c>
      <c r="AR213" s="185" t="str">
        <f t="shared" ca="1" si="182"/>
        <v>1920x1080</v>
      </c>
      <c r="AS213" s="185" t="str">
        <f t="shared" ca="1" si="182"/>
        <v>AMD Ryzen 5</v>
      </c>
      <c r="AT213" s="185">
        <f t="shared" ca="1" si="182"/>
        <v>8</v>
      </c>
      <c r="AU213" s="185">
        <f t="shared" ca="1" si="182"/>
        <v>256</v>
      </c>
      <c r="AV213" s="185">
        <f t="shared" ca="1" si="182"/>
        <v>14</v>
      </c>
      <c r="AW213" s="185">
        <f t="shared" ca="1" si="182"/>
        <v>3</v>
      </c>
      <c r="AX213" s="185">
        <f t="shared" ca="1" si="182"/>
        <v>1</v>
      </c>
      <c r="AY213" s="185" t="str">
        <f t="shared" ca="1" si="182"/>
        <v>Ja, HDMI-port finns</v>
      </c>
      <c r="AZ213" s="185" t="str">
        <f t="shared" ca="1" si="182"/>
        <v>802.11a/b/g/n/ac</v>
      </c>
      <c r="BA213" s="185">
        <f t="shared" ca="1" si="182"/>
        <v>5</v>
      </c>
      <c r="BB213" s="185">
        <f t="shared" ca="1" si="183"/>
        <v>11</v>
      </c>
      <c r="BC213" s="185" t="str">
        <f t="shared" ca="1" si="183"/>
        <v>Version 8.0</v>
      </c>
      <c r="BD213" s="185" t="str">
        <f t="shared" ca="1" si="183"/>
        <v>Ja</v>
      </c>
      <c r="BE213" s="185" t="str">
        <f t="shared" ca="1" si="183"/>
        <v>Windows 11 Pro</v>
      </c>
      <c r="BF213" s="185" t="str">
        <f t="shared" ca="1" si="183"/>
        <v>E14 G5 AMD</v>
      </c>
      <c r="BG213" s="185">
        <f t="shared" ca="1" si="183"/>
        <v>9288</v>
      </c>
      <c r="BH213" s="192">
        <f t="shared" ca="1" si="183"/>
        <v>78</v>
      </c>
      <c r="BI213" s="192">
        <f t="shared" ca="1" si="183"/>
        <v>252</v>
      </c>
      <c r="BJ213" s="192">
        <f t="shared" ca="1" si="183"/>
        <v>210</v>
      </c>
      <c r="BK213" s="192">
        <f t="shared" ca="1" si="183"/>
        <v>1824</v>
      </c>
      <c r="BL213" s="192">
        <f t="shared" ca="1" si="184"/>
        <v>290</v>
      </c>
      <c r="BM213" s="192">
        <f t="shared" ca="1" si="184"/>
        <v>185</v>
      </c>
      <c r="BN213" s="192">
        <f t="shared" ca="1" si="184"/>
        <v>60</v>
      </c>
      <c r="BO213" s="192">
        <f t="shared" ca="1" si="184"/>
        <v>50</v>
      </c>
      <c r="BP213" s="192" t="str">
        <f t="shared" ca="1" si="184"/>
        <v>V7</v>
      </c>
      <c r="BQ213" s="192" t="str">
        <f t="shared" ca="1" si="184"/>
        <v>Targus</v>
      </c>
      <c r="BR213" s="192" t="str">
        <f t="shared" ca="1" si="184"/>
        <v>Lenovo</v>
      </c>
      <c r="BS213" s="192" t="str">
        <f t="shared" ca="1" si="184"/>
        <v>Lenovo</v>
      </c>
      <c r="BT213" s="192" t="str">
        <f t="shared" ca="1" si="184"/>
        <v>V7 Elite Sleeve 14"</v>
      </c>
      <c r="BU213" s="192" t="str">
        <f t="shared" ca="1" si="184"/>
        <v>Targus Privacy Screen 14"</v>
      </c>
      <c r="BV213" s="192" t="str">
        <f t="shared" ca="1" si="184"/>
        <v>Power adapter USB-C 45w</v>
      </c>
      <c r="BW213" s="192" t="str">
        <f t="shared" ca="1" si="184"/>
        <v>ThinkPad USB-C Dock gen2</v>
      </c>
      <c r="BX213" s="192"/>
      <c r="BY213" s="192" t="str">
        <f t="shared" ca="1" si="179"/>
        <v>Foxway Education AB</v>
      </c>
      <c r="BZ213" s="192" t="str">
        <f t="shared" ca="1" si="179"/>
        <v>Lenovo</v>
      </c>
      <c r="CA213" s="185"/>
      <c r="CB213" s="185"/>
      <c r="CC213" s="185"/>
      <c r="CD213" s="185"/>
      <c r="CE213" s="185"/>
      <c r="CF213" s="185"/>
      <c r="CG213" s="185"/>
      <c r="CH213" s="185"/>
      <c r="CI213" s="185"/>
      <c r="CJ213" s="185"/>
      <c r="CK213" s="185"/>
      <c r="CL213" s="185"/>
      <c r="CM213" s="185"/>
      <c r="CN213" s="185"/>
    </row>
    <row r="214" spans="2:92" ht="24" customHeight="1" outlineLevel="1" x14ac:dyDescent="0.35">
      <c r="C214" s="61" t="s">
        <v>37</v>
      </c>
      <c r="D214" s="64"/>
      <c r="F214" s="80" t="str">
        <f t="shared" si="180"/>
        <v/>
      </c>
      <c r="G214" s="81" t="str">
        <f t="shared" ca="1" si="181"/>
        <v>Ja</v>
      </c>
      <c r="H214" s="81" t="str">
        <f t="shared" ca="1" si="181"/>
        <v>Ja</v>
      </c>
      <c r="I214" s="120" t="str">
        <f t="shared" ca="1" si="181"/>
        <v>Ja</v>
      </c>
      <c r="J214" s="62"/>
      <c r="Q214" s="185">
        <f t="shared" si="158"/>
        <v>0</v>
      </c>
      <c r="R214" s="185">
        <f t="shared" si="159"/>
        <v>0</v>
      </c>
      <c r="S214" s="185">
        <f t="shared" si="160"/>
        <v>0</v>
      </c>
      <c r="T214" s="185">
        <f t="shared" si="161"/>
        <v>0</v>
      </c>
      <c r="U214" s="185">
        <f t="shared" si="162"/>
        <v>0</v>
      </c>
      <c r="V214" s="185">
        <f t="shared" si="163"/>
        <v>0</v>
      </c>
      <c r="W214" s="185">
        <f t="shared" si="164"/>
        <v>0</v>
      </c>
      <c r="X214" s="185">
        <f t="shared" si="165"/>
        <v>0</v>
      </c>
      <c r="Y214" s="185">
        <f t="shared" si="166"/>
        <v>0</v>
      </c>
      <c r="Z214" s="196">
        <f t="shared" ca="1" si="167"/>
        <v>11210</v>
      </c>
      <c r="AA214" s="185" t="str">
        <f t="shared" ca="1" si="168"/>
        <v>Offererad produktnr. 03Foxway Education AB</v>
      </c>
      <c r="AB214" s="185"/>
      <c r="AC214" s="185" t="b">
        <f ca="1">IFERROR(IF(D204="",TRUE,
IF(OR(D204=$CB$12,D204=$CB$13),IF(LEFT(AS214,FIND(" ",AS214)-1)=D204,TRUE,FALSE),
IF(OFFSET(Processor!$AB$1,MATCH($AS214,Processor!$AA$2:$AA$23,0),MATCH(LEFT(D204,FIND(" ",D204)-1),Processor!$AC$1:$AG$1,0))&gt;=
OFFSET(Processor!$AB$1,MATCH(D204,Processor!$AA$2:$AA$23,0),MATCH(LEFT(D204,FIND(" ",D204)-1),Processor!$AC$1:$AG$1,0)),TRUE,FALSE))),FALSE)</f>
        <v>1</v>
      </c>
      <c r="AD214" s="185" t="b">
        <f t="shared" si="169"/>
        <v>1</v>
      </c>
      <c r="AE214" s="185" t="b">
        <f t="shared" si="170"/>
        <v>1</v>
      </c>
      <c r="AF214" s="185" t="b">
        <f>IF($D$202="",TRUE,IF(COUNTIF(Processor!$I$2:$I$9,$D$202)&gt;0,AND(AV214&gt;INDEX(Processor!$J$2:$J$9,MATCH($D$202,Processor!$I$2:$I$9,0)),AV214&lt;INDEX(Processor!$K$2:$K$9,MATCH($D$202,Processor!$I$2:$I$9,0))),IF(AV214=$D$202,TRUE,FALSE)))</f>
        <v>1</v>
      </c>
      <c r="AG214" s="185" t="b">
        <f t="shared" si="171"/>
        <v>1</v>
      </c>
      <c r="AH214" s="185" t="b">
        <f t="shared" si="172"/>
        <v>1</v>
      </c>
      <c r="AI214" s="185" t="b">
        <f t="shared" si="173"/>
        <v>1</v>
      </c>
      <c r="AJ214" s="185" t="b">
        <f t="shared" si="174"/>
        <v>1</v>
      </c>
      <c r="AK214" s="185" t="b">
        <f t="shared" si="175"/>
        <v>1</v>
      </c>
      <c r="AL214" s="185" t="b">
        <f>IFERROR(IF($D213="",TRUE,IF(MID(BC214,LEN(BC214)-2,1)*1&gt;=MID($D213,LEN($D213)-2,1)*1,TRUE,FALSE)),FALSE)</f>
        <v>1</v>
      </c>
      <c r="AM214" s="185" t="b">
        <f>IF(D212="",TRUE,IF(BB214&gt;=D212,TRUE,FALSE))</f>
        <v>1</v>
      </c>
      <c r="AN214" s="185"/>
      <c r="AO214" s="185"/>
      <c r="AP214" s="185" t="s">
        <v>212</v>
      </c>
      <c r="AQ214" s="185">
        <v>1</v>
      </c>
      <c r="AR214" s="185" t="str">
        <f t="shared" ca="1" si="182"/>
        <v>1920x1080</v>
      </c>
      <c r="AS214" s="185" t="str">
        <f t="shared" ca="1" si="182"/>
        <v>AMD Ryzen 7</v>
      </c>
      <c r="AT214" s="185">
        <f t="shared" ca="1" si="182"/>
        <v>16</v>
      </c>
      <c r="AU214" s="185">
        <f t="shared" ca="1" si="182"/>
        <v>512</v>
      </c>
      <c r="AV214" s="185">
        <f t="shared" ca="1" si="182"/>
        <v>14</v>
      </c>
      <c r="AW214" s="185">
        <f t="shared" ca="1" si="182"/>
        <v>4</v>
      </c>
      <c r="AX214" s="185">
        <f t="shared" ca="1" si="182"/>
        <v>2</v>
      </c>
      <c r="AY214" s="185" t="str">
        <f t="shared" ca="1" si="182"/>
        <v>Ja, HDMI-port finns</v>
      </c>
      <c r="AZ214" s="185" t="str">
        <f t="shared" ca="1" si="182"/>
        <v>802.11a/b/g/n/ac/ax</v>
      </c>
      <c r="BA214" s="185">
        <f t="shared" ca="1" si="182"/>
        <v>5.2</v>
      </c>
      <c r="BB214" s="185">
        <f t="shared" ca="1" si="183"/>
        <v>11</v>
      </c>
      <c r="BC214" s="185" t="str">
        <f t="shared" ca="1" si="183"/>
        <v>Version 8.0</v>
      </c>
      <c r="BD214" s="185" t="str">
        <f t="shared" ca="1" si="183"/>
        <v>Ja</v>
      </c>
      <c r="BE214" s="185" t="str">
        <f t="shared" ca="1" si="183"/>
        <v>Windows 11 Pro</v>
      </c>
      <c r="BF214" s="185" t="str">
        <f t="shared" ca="1" si="183"/>
        <v>L14 G4 AMD</v>
      </c>
      <c r="BG214" s="185">
        <f t="shared" ca="1" si="183"/>
        <v>11210</v>
      </c>
      <c r="BH214" s="192">
        <f t="shared" ca="1" si="183"/>
        <v>78</v>
      </c>
      <c r="BI214" s="192">
        <f t="shared" ca="1" si="183"/>
        <v>252</v>
      </c>
      <c r="BJ214" s="192">
        <f t="shared" ca="1" si="183"/>
        <v>210</v>
      </c>
      <c r="BK214" s="192">
        <f t="shared" ca="1" si="183"/>
        <v>1824</v>
      </c>
      <c r="BL214" s="192">
        <f t="shared" ca="1" si="184"/>
        <v>290</v>
      </c>
      <c r="BM214" s="192">
        <f t="shared" ca="1" si="184"/>
        <v>185</v>
      </c>
      <c r="BN214" s="192">
        <f t="shared" ca="1" si="184"/>
        <v>60</v>
      </c>
      <c r="BO214" s="192">
        <f t="shared" ca="1" si="184"/>
        <v>50</v>
      </c>
      <c r="BP214" s="192" t="str">
        <f t="shared" ca="1" si="184"/>
        <v>V7</v>
      </c>
      <c r="BQ214" s="192" t="str">
        <f t="shared" ca="1" si="184"/>
        <v>Targus</v>
      </c>
      <c r="BR214" s="192" t="str">
        <f t="shared" ca="1" si="184"/>
        <v>Lenovo</v>
      </c>
      <c r="BS214" s="192" t="str">
        <f t="shared" ca="1" si="184"/>
        <v>Lenovo</v>
      </c>
      <c r="BT214" s="192" t="str">
        <f t="shared" ca="1" si="184"/>
        <v>V7 Elite Sleeve 14"</v>
      </c>
      <c r="BU214" s="192" t="str">
        <f t="shared" ca="1" si="184"/>
        <v>Targus Privacy Screen 14"</v>
      </c>
      <c r="BV214" s="192" t="str">
        <f t="shared" ca="1" si="184"/>
        <v>Power adapter USB-C 45w</v>
      </c>
      <c r="BW214" s="192" t="str">
        <f t="shared" ca="1" si="184"/>
        <v>ThinkPad USB-C Dock gen2</v>
      </c>
      <c r="BX214" s="192"/>
      <c r="BY214" s="192" t="str">
        <f t="shared" ca="1" si="179"/>
        <v>Foxway Education AB</v>
      </c>
      <c r="BZ214" s="192" t="str">
        <f t="shared" ca="1" si="179"/>
        <v>Lenovo</v>
      </c>
      <c r="CA214" s="185"/>
      <c r="CB214" s="185"/>
      <c r="CC214" s="185"/>
      <c r="CD214" s="185"/>
      <c r="CE214" s="185"/>
      <c r="CF214" s="185"/>
      <c r="CG214" s="185"/>
      <c r="CH214" s="185"/>
      <c r="CI214" s="185"/>
      <c r="CJ214" s="185"/>
      <c r="CK214" s="185"/>
      <c r="CL214" s="185"/>
      <c r="CM214" s="185"/>
      <c r="CN214" s="185"/>
    </row>
    <row r="215" spans="2:92" ht="24" customHeight="1" outlineLevel="1" x14ac:dyDescent="0.35">
      <c r="C215" s="66"/>
      <c r="D215" s="67"/>
      <c r="F215" s="62"/>
      <c r="G215" s="62"/>
      <c r="H215" s="62"/>
      <c r="I215" s="62"/>
      <c r="J215" s="62"/>
      <c r="Q215" s="185">
        <f t="shared" si="158"/>
        <v>0</v>
      </c>
      <c r="R215" s="185">
        <f t="shared" si="159"/>
        <v>0</v>
      </c>
      <c r="S215" s="185">
        <f t="shared" si="160"/>
        <v>0</v>
      </c>
      <c r="T215" s="185">
        <f t="shared" si="161"/>
        <v>0</v>
      </c>
      <c r="U215" s="185">
        <f t="shared" si="162"/>
        <v>0</v>
      </c>
      <c r="V215" s="185">
        <f t="shared" si="163"/>
        <v>0</v>
      </c>
      <c r="W215" s="185">
        <f t="shared" si="164"/>
        <v>0</v>
      </c>
      <c r="X215" s="185">
        <f t="shared" si="165"/>
        <v>0</v>
      </c>
      <c r="Y215" s="185">
        <f t="shared" si="166"/>
        <v>0</v>
      </c>
      <c r="Z215" s="196">
        <f t="shared" ca="1" si="167"/>
        <v>10577</v>
      </c>
      <c r="AA215" s="185" t="str">
        <f t="shared" ca="1" si="168"/>
        <v>Offererad produktnr. 04Foxway Education AB</v>
      </c>
      <c r="AB215" s="185"/>
      <c r="AC215" s="185" t="b">
        <f ca="1">IFERROR(IF(D204="",TRUE,
IF(OR(D204=$CB$12,D204=$CB$13),IF(LEFT(AS215,FIND(" ",AS215)-1)=D204,TRUE,FALSE),
IF(OFFSET(Processor!$AB$1,MATCH($AS215,Processor!$AA$2:$AA$23,0),MATCH(LEFT(D204,FIND(" ",D204)-1),Processor!$AC$1:$AG$1,0))&gt;=
OFFSET(Processor!$AB$1,MATCH(D204,Processor!$AA$2:$AA$23,0),MATCH(LEFT(D204,FIND(" ",D204)-1),Processor!$AC$1:$AG$1,0)),TRUE,FALSE))),FALSE)</f>
        <v>1</v>
      </c>
      <c r="AD215" s="185" t="b">
        <f t="shared" si="169"/>
        <v>1</v>
      </c>
      <c r="AE215" s="185" t="b">
        <f t="shared" si="170"/>
        <v>1</v>
      </c>
      <c r="AF215" s="185" t="b">
        <f>IF($D$202="",TRUE,IF(COUNTIF(Processor!$I$2:$I$9,$D$202)&gt;0,AND(AV215&gt;INDEX(Processor!$J$2:$J$9,MATCH($D$202,Processor!$I$2:$I$9,0)),AV215&lt;INDEX(Processor!$K$2:$K$9,MATCH($D$202,Processor!$I$2:$I$9,0))),IF(AV215=$D$202,TRUE,FALSE)))</f>
        <v>1</v>
      </c>
      <c r="AG215" s="185" t="b">
        <f t="shared" si="171"/>
        <v>1</v>
      </c>
      <c r="AH215" s="185" t="b">
        <f t="shared" si="172"/>
        <v>1</v>
      </c>
      <c r="AI215" s="185" t="b">
        <f t="shared" si="173"/>
        <v>1</v>
      </c>
      <c r="AJ215" s="185" t="b">
        <f t="shared" si="174"/>
        <v>1</v>
      </c>
      <c r="AK215" s="185" t="b">
        <f t="shared" si="175"/>
        <v>1</v>
      </c>
      <c r="AL215" s="185" t="b">
        <f>IFERROR(IF($D213="",TRUE,IF(MID(BC215,LEN(BC215)-2,1)*1&gt;=MID($D213,LEN($D213)-2,1)*1,TRUE,FALSE)),FALSE)</f>
        <v>1</v>
      </c>
      <c r="AM215" s="185" t="b">
        <f>IF(D212="",TRUE,IF(BB215&gt;=D212,TRUE,FALSE))</f>
        <v>1</v>
      </c>
      <c r="AN215" s="185"/>
      <c r="AO215" s="185"/>
      <c r="AP215" s="185" t="s">
        <v>213</v>
      </c>
      <c r="AQ215" s="185">
        <v>1</v>
      </c>
      <c r="AR215" s="185" t="str">
        <f t="shared" ca="1" si="182"/>
        <v>1920x1080</v>
      </c>
      <c r="AS215" s="185" t="str">
        <f t="shared" ca="1" si="182"/>
        <v>Intel i7</v>
      </c>
      <c r="AT215" s="185">
        <f t="shared" ca="1" si="182"/>
        <v>16</v>
      </c>
      <c r="AU215" s="185">
        <f t="shared" ca="1" si="182"/>
        <v>512</v>
      </c>
      <c r="AV215" s="185">
        <f t="shared" ca="1" si="182"/>
        <v>14</v>
      </c>
      <c r="AW215" s="185">
        <f t="shared" ca="1" si="182"/>
        <v>4</v>
      </c>
      <c r="AX215" s="185">
        <f t="shared" ca="1" si="182"/>
        <v>2</v>
      </c>
      <c r="AY215" s="185" t="str">
        <f t="shared" ca="1" si="182"/>
        <v>Ja, HDMI-port finns</v>
      </c>
      <c r="AZ215" s="185" t="str">
        <f t="shared" ca="1" si="182"/>
        <v>802.11a/b/g/n/ac/ax</v>
      </c>
      <c r="BA215" s="185">
        <f t="shared" ca="1" si="182"/>
        <v>5.3</v>
      </c>
      <c r="BB215" s="185">
        <f t="shared" ca="1" si="183"/>
        <v>11</v>
      </c>
      <c r="BC215" s="185" t="str">
        <f t="shared" ca="1" si="183"/>
        <v>Version 8.0</v>
      </c>
      <c r="BD215" s="185" t="str">
        <f t="shared" ca="1" si="183"/>
        <v>Ja</v>
      </c>
      <c r="BE215" s="185" t="str">
        <f t="shared" ca="1" si="183"/>
        <v>Windows 11 Pro</v>
      </c>
      <c r="BF215" s="185" t="str">
        <f t="shared" ca="1" si="183"/>
        <v>Probook 445 G10</v>
      </c>
      <c r="BG215" s="185">
        <f t="shared" ca="1" si="183"/>
        <v>10577</v>
      </c>
      <c r="BH215" s="192">
        <f t="shared" ca="1" si="183"/>
        <v>93</v>
      </c>
      <c r="BI215" s="192">
        <f t="shared" ca="1" si="183"/>
        <v>252</v>
      </c>
      <c r="BJ215" s="192">
        <f t="shared" ca="1" si="183"/>
        <v>138</v>
      </c>
      <c r="BK215" s="192">
        <f t="shared" ca="1" si="183"/>
        <v>1150</v>
      </c>
      <c r="BL215" s="192">
        <f t="shared" ca="1" si="184"/>
        <v>192</v>
      </c>
      <c r="BM215" s="192">
        <f t="shared" ca="1" si="184"/>
        <v>185</v>
      </c>
      <c r="BN215" s="192">
        <f t="shared" ca="1" si="184"/>
        <v>60</v>
      </c>
      <c r="BO215" s="192">
        <f t="shared" ca="1" si="184"/>
        <v>50</v>
      </c>
      <c r="BP215" s="192" t="str">
        <f t="shared" ca="1" si="184"/>
        <v>V7</v>
      </c>
      <c r="BQ215" s="192" t="str">
        <f t="shared" ca="1" si="184"/>
        <v>Targus</v>
      </c>
      <c r="BR215" s="192" t="str">
        <f t="shared" ca="1" si="184"/>
        <v>HP</v>
      </c>
      <c r="BS215" s="192" t="str">
        <f t="shared" ca="1" si="184"/>
        <v>HP</v>
      </c>
      <c r="BT215" s="192" t="str">
        <f t="shared" ca="1" si="184"/>
        <v>V7 Elite Sleeve 14"</v>
      </c>
      <c r="BU215" s="192" t="str">
        <f t="shared" ca="1" si="184"/>
        <v>Targus Privacy Screen 14"</v>
      </c>
      <c r="BV215" s="192" t="str">
        <f t="shared" ca="1" si="184"/>
        <v>HP 45W Smart AC Adapter</v>
      </c>
      <c r="BW215" s="192" t="str">
        <f t="shared" ca="1" si="184"/>
        <v>HP USB-C Dock G5</v>
      </c>
      <c r="BX215" s="192"/>
      <c r="BY215" s="192" t="str">
        <f t="shared" ca="1" si="179"/>
        <v>Foxway Education AB</v>
      </c>
      <c r="BZ215" s="192" t="str">
        <f t="shared" ca="1" si="179"/>
        <v>HP</v>
      </c>
      <c r="CA215" s="185"/>
      <c r="CB215" s="185"/>
      <c r="CC215" s="185"/>
      <c r="CD215" s="185"/>
      <c r="CE215" s="185"/>
      <c r="CF215" s="185"/>
      <c r="CG215" s="185"/>
      <c r="CH215" s="185"/>
      <c r="CI215" s="185"/>
      <c r="CJ215" s="185"/>
      <c r="CK215" s="185"/>
      <c r="CL215" s="185"/>
      <c r="CM215" s="185"/>
      <c r="CN215" s="185"/>
    </row>
    <row r="216" spans="2:92" ht="26.25" customHeight="1" outlineLevel="1" x14ac:dyDescent="0.35">
      <c r="C216" s="212" t="s">
        <v>366</v>
      </c>
      <c r="D216" s="213"/>
      <c r="E216" s="213"/>
      <c r="F216" s="213"/>
      <c r="G216" s="213"/>
      <c r="H216" s="213"/>
      <c r="I216" s="214"/>
      <c r="J216" s="68"/>
      <c r="Q216" s="185">
        <f t="shared" si="158"/>
        <v>0</v>
      </c>
      <c r="R216" s="185">
        <f t="shared" si="159"/>
        <v>0</v>
      </c>
      <c r="S216" s="185">
        <f t="shared" si="160"/>
        <v>0</v>
      </c>
      <c r="T216" s="185">
        <f t="shared" si="161"/>
        <v>0</v>
      </c>
      <c r="U216" s="185">
        <f t="shared" si="162"/>
        <v>0</v>
      </c>
      <c r="V216" s="185">
        <f t="shared" si="163"/>
        <v>0</v>
      </c>
      <c r="W216" s="185">
        <f t="shared" si="164"/>
        <v>0</v>
      </c>
      <c r="X216" s="185">
        <f t="shared" si="165"/>
        <v>0</v>
      </c>
      <c r="Y216" s="185">
        <f t="shared" si="166"/>
        <v>0</v>
      </c>
      <c r="Z216" s="196">
        <f t="shared" ca="1" si="167"/>
        <v>6420</v>
      </c>
      <c r="AA216" s="185" t="str">
        <f t="shared" ca="1" si="168"/>
        <v>Offererad produktnr. 01Qlosr Göteborg AB</v>
      </c>
      <c r="AB216" s="185"/>
      <c r="AC216" s="185" t="b">
        <f ca="1">IFERROR(IF(D204="",TRUE,
IF(OR(D204=$CB$12,D204=$CB$13),IF(LEFT(AS216,FIND(" ",AS216)-1)=D204,TRUE,FALSE),
IF(OFFSET(Processor!$AB$1,MATCH($AS216,Processor!$AA$2:$AA$23,0),MATCH(LEFT(D204,FIND(" ",D204)-1),Processor!$AC$1:$AG$1,0))&gt;=
OFFSET(Processor!$AB$1,MATCH(D204,Processor!$AA$2:$AA$23,0),MATCH(LEFT(D204,FIND(" ",D204)-1),Processor!$AC$1:$AG$1,0)),TRUE,FALSE))),FALSE)</f>
        <v>1</v>
      </c>
      <c r="AD216" s="185" t="b">
        <f t="shared" si="169"/>
        <v>1</v>
      </c>
      <c r="AE216" s="185" t="b">
        <f t="shared" si="170"/>
        <v>1</v>
      </c>
      <c r="AF216" s="185" t="b">
        <f>IF($D$202="",TRUE,IF(COUNTIF(Processor!$I$2:$I$9,$D$202)&gt;0,AND(AV216&gt;INDEX(Processor!$J$2:$J$9,MATCH($D$202,Processor!$I$2:$I$9,0)),AV216&lt;INDEX(Processor!$K$2:$K$9,MATCH($D$202,Processor!$I$2:$I$9,0))),IF(AV216=$D$202,TRUE,FALSE)))</f>
        <v>1</v>
      </c>
      <c r="AG216" s="185" t="b">
        <f t="shared" si="171"/>
        <v>1</v>
      </c>
      <c r="AH216" s="185" t="b">
        <f t="shared" si="172"/>
        <v>1</v>
      </c>
      <c r="AI216" s="185" t="b">
        <f t="shared" si="173"/>
        <v>1</v>
      </c>
      <c r="AJ216" s="185" t="b">
        <f t="shared" si="174"/>
        <v>1</v>
      </c>
      <c r="AK216" s="185" t="b">
        <f t="shared" si="175"/>
        <v>1</v>
      </c>
      <c r="AL216" s="185" t="b">
        <f>IFERROR(IF($D213="",TRUE,IF(MID(BC216,LEN(BC216)-2,1)*1&gt;=MID($D213,LEN($D213)-2,1)*1,TRUE,FALSE)),FALSE)</f>
        <v>1</v>
      </c>
      <c r="AM216" s="185" t="b">
        <f>IF(D212="",TRUE,IF(BB216&gt;=D212,TRUE,FALSE))</f>
        <v>1</v>
      </c>
      <c r="AN216" s="185"/>
      <c r="AO216" s="185"/>
      <c r="AP216" s="185" t="s">
        <v>552</v>
      </c>
      <c r="AQ216" s="185">
        <v>1</v>
      </c>
      <c r="AR216" s="185" t="str">
        <f t="shared" ca="1" si="182"/>
        <v>1920x1080</v>
      </c>
      <c r="AS216" s="185" t="str">
        <f t="shared" ca="1" si="182"/>
        <v>AMD Ryzen 5</v>
      </c>
      <c r="AT216" s="185">
        <f t="shared" ca="1" si="182"/>
        <v>8</v>
      </c>
      <c r="AU216" s="185">
        <f t="shared" ca="1" si="182"/>
        <v>256</v>
      </c>
      <c r="AV216" s="185">
        <f t="shared" ca="1" si="182"/>
        <v>14</v>
      </c>
      <c r="AW216" s="185">
        <f t="shared" ca="1" si="182"/>
        <v>4</v>
      </c>
      <c r="AX216" s="185">
        <f t="shared" ca="1" si="182"/>
        <v>1</v>
      </c>
      <c r="AY216" s="185" t="str">
        <f t="shared" ca="1" si="182"/>
        <v>Ja, HDMI-port finns</v>
      </c>
      <c r="AZ216" s="185" t="str">
        <f t="shared" ca="1" si="182"/>
        <v>802.11a/b/g/n/ac/ax</v>
      </c>
      <c r="BA216" s="185">
        <f t="shared" ca="1" si="182"/>
        <v>5</v>
      </c>
      <c r="BB216" s="185">
        <f t="shared" ca="1" si="183"/>
        <v>11</v>
      </c>
      <c r="BC216" s="185" t="str">
        <f t="shared" ca="1" si="183"/>
        <v>Version 8.0</v>
      </c>
      <c r="BD216" s="185" t="str">
        <f t="shared" ca="1" si="183"/>
        <v>Ja</v>
      </c>
      <c r="BE216" s="185" t="str">
        <f t="shared" ca="1" si="183"/>
        <v>Windows 10 Pro</v>
      </c>
      <c r="BF216" s="185" t="str">
        <f t="shared" ca="1" si="183"/>
        <v>ProBook 445 G8</v>
      </c>
      <c r="BG216" s="185">
        <f t="shared" ca="1" si="183"/>
        <v>6420</v>
      </c>
      <c r="BH216" s="192">
        <f t="shared" ca="1" si="183"/>
        <v>79</v>
      </c>
      <c r="BI216" s="192">
        <f t="shared" ca="1" si="183"/>
        <v>199</v>
      </c>
      <c r="BJ216" s="192">
        <f t="shared" ca="1" si="183"/>
        <v>106</v>
      </c>
      <c r="BK216" s="192">
        <f t="shared" ca="1" si="183"/>
        <v>949</v>
      </c>
      <c r="BL216" s="192">
        <f t="shared" ca="1" si="184"/>
        <v>151</v>
      </c>
      <c r="BM216" s="192">
        <f t="shared" ca="1" si="184"/>
        <v>70</v>
      </c>
      <c r="BN216" s="192">
        <f t="shared" ca="1" si="184"/>
        <v>25</v>
      </c>
      <c r="BO216" s="192">
        <f t="shared" ca="1" si="184"/>
        <v>25</v>
      </c>
      <c r="BP216" s="192" t="str">
        <f t="shared" ca="1" si="184"/>
        <v>HP</v>
      </c>
      <c r="BQ216" s="192" t="str">
        <f t="shared" ca="1" si="184"/>
        <v>HP</v>
      </c>
      <c r="BR216" s="192" t="str">
        <f t="shared" ca="1" si="184"/>
        <v>HP</v>
      </c>
      <c r="BS216" s="192" t="str">
        <f t="shared" ca="1" si="184"/>
        <v>HP</v>
      </c>
      <c r="BT216" s="192" t="str">
        <f t="shared" ca="1" si="184"/>
        <v>GBX2UW01AA</v>
      </c>
      <c r="BU216" s="192" t="str">
        <f t="shared" ca="1" si="184"/>
        <v>GBXJ6E65AA</v>
      </c>
      <c r="BV216" s="192" t="str">
        <f t="shared" ca="1" si="184"/>
        <v>GBXH6Y88AA</v>
      </c>
      <c r="BW216" s="192" t="str">
        <f t="shared" ca="1" si="184"/>
        <v>GBX5TW10AA</v>
      </c>
      <c r="BX216" s="192"/>
      <c r="BY216" s="192" t="str">
        <f t="shared" ca="1" si="179"/>
        <v>Qlosr Göteborg AB</v>
      </c>
      <c r="BZ216" s="192" t="str">
        <f t="shared" ca="1" si="179"/>
        <v>HP</v>
      </c>
      <c r="CA216" s="185"/>
      <c r="CB216" s="185"/>
      <c r="CC216" s="185"/>
      <c r="CD216" s="185"/>
      <c r="CE216" s="185"/>
      <c r="CF216" s="185"/>
      <c r="CG216" s="185"/>
      <c r="CH216" s="185"/>
      <c r="CI216" s="185"/>
      <c r="CJ216" s="185"/>
      <c r="CK216" s="185"/>
      <c r="CL216" s="185"/>
      <c r="CM216" s="185"/>
      <c r="CN216" s="185"/>
    </row>
    <row r="217" spans="2:92" ht="26.25" customHeight="1" outlineLevel="1" x14ac:dyDescent="0.35">
      <c r="B217" s="69" t="s">
        <v>53</v>
      </c>
      <c r="C217" s="115" t="s">
        <v>363</v>
      </c>
      <c r="D217" s="70"/>
      <c r="F217" s="161" t="str">
        <f t="shared" ref="F217:F228" si="185">IF(F$198="Inget antal angivet","",IFERROR(INDEX($AR$199:$BZ$226,MATCH(F$195,$AP$199:$AP$226,0),MATCH($B217,$AR$199:$BZ$199,0)),""))</f>
        <v/>
      </c>
      <c r="G217" s="162">
        <f t="shared" ref="G217:I228" ca="1" si="186">IFERROR(INDEX($AR$199:$BZ$226,MATCH(G$195,$AP$199:$AP$226,0),MATCH($B217,$AR$199:$BZ$199,0)),"")</f>
        <v>79</v>
      </c>
      <c r="H217" s="162">
        <f t="shared" ca="1" si="186"/>
        <v>123</v>
      </c>
      <c r="I217" s="162">
        <f t="shared" ca="1" si="186"/>
        <v>79</v>
      </c>
      <c r="J217" s="62"/>
      <c r="Q217" s="185">
        <f t="shared" si="158"/>
        <v>0</v>
      </c>
      <c r="R217" s="185">
        <f t="shared" si="159"/>
        <v>0</v>
      </c>
      <c r="S217" s="185">
        <f t="shared" si="160"/>
        <v>0</v>
      </c>
      <c r="T217" s="185">
        <f t="shared" si="161"/>
        <v>0</v>
      </c>
      <c r="U217" s="185">
        <f t="shared" si="162"/>
        <v>0</v>
      </c>
      <c r="V217" s="185">
        <f t="shared" si="163"/>
        <v>0</v>
      </c>
      <c r="W217" s="185">
        <f t="shared" si="164"/>
        <v>0</v>
      </c>
      <c r="X217" s="185">
        <f t="shared" si="165"/>
        <v>0</v>
      </c>
      <c r="Y217" s="185">
        <f t="shared" si="166"/>
        <v>0</v>
      </c>
      <c r="Z217" s="196">
        <f t="shared" ca="1" si="167"/>
        <v>9600</v>
      </c>
      <c r="AA217" s="185" t="str">
        <f t="shared" ca="1" si="168"/>
        <v>Offererad produktnr. 02Qlosr Göteborg AB</v>
      </c>
      <c r="AB217" s="185"/>
      <c r="AC217" s="185" t="b">
        <f ca="1">IFERROR(IF(D204="",TRUE,
IF(OR(D204=$CB$12,D204=$CB$13),IF(LEFT(AS217,FIND(" ",AS217)-1)=D204,TRUE,FALSE),
IF(OFFSET(Processor!$AB$1,MATCH($AS217,Processor!$AA$2:$AA$23,0),MATCH(LEFT(D204,FIND(" ",D204)-1),Processor!$AC$1:$AG$1,0))&gt;=
OFFSET(Processor!$AB$1,MATCH(D204,Processor!$AA$2:$AA$23,0),MATCH(LEFT(D204,FIND(" ",D204)-1),Processor!$AC$1:$AG$1,0)),TRUE,FALSE))),FALSE)</f>
        <v>1</v>
      </c>
      <c r="AD217" s="185" t="b">
        <f t="shared" si="169"/>
        <v>1</v>
      </c>
      <c r="AE217" s="185" t="b">
        <f t="shared" si="170"/>
        <v>1</v>
      </c>
      <c r="AF217" s="185" t="b">
        <f>IF($D$202="",TRUE,IF(COUNTIF(Processor!$I$2:$I$9,$D$202)&gt;0,AND(AV217&gt;INDEX(Processor!$J$2:$J$9,MATCH($D$202,Processor!$I$2:$I$9,0)),AV217&lt;INDEX(Processor!$K$2:$K$9,MATCH($D$202,Processor!$I$2:$I$9,0))),IF(AV217=$D$202,TRUE,FALSE)))</f>
        <v>1</v>
      </c>
      <c r="AG217" s="185" t="b">
        <f t="shared" si="171"/>
        <v>1</v>
      </c>
      <c r="AH217" s="185" t="b">
        <f t="shared" si="172"/>
        <v>1</v>
      </c>
      <c r="AI217" s="185" t="b">
        <f t="shared" si="173"/>
        <v>1</v>
      </c>
      <c r="AJ217" s="185" t="b">
        <f t="shared" si="174"/>
        <v>1</v>
      </c>
      <c r="AK217" s="185" t="b">
        <f t="shared" si="175"/>
        <v>1</v>
      </c>
      <c r="AL217" s="185" t="b">
        <f>IFERROR(IF($D213="",TRUE,IF(MID(BC217,LEN(BC217)-2,1)*1&gt;=MID($D213,LEN($D213)-2,1)*1,TRUE,FALSE)),FALSE)</f>
        <v>1</v>
      </c>
      <c r="AM217" s="185" t="b">
        <f>IF(D212="",TRUE,IF(BB217&gt;=D212,TRUE,FALSE))</f>
        <v>1</v>
      </c>
      <c r="AN217" s="185"/>
      <c r="AO217" s="185"/>
      <c r="AP217" s="185" t="s">
        <v>553</v>
      </c>
      <c r="AQ217" s="185">
        <v>1</v>
      </c>
      <c r="AR217" s="185" t="str">
        <f t="shared" ca="1" si="182"/>
        <v>1920x1080</v>
      </c>
      <c r="AS217" s="185" t="str">
        <f t="shared" ca="1" si="182"/>
        <v>Intel i5</v>
      </c>
      <c r="AT217" s="185">
        <f t="shared" ca="1" si="182"/>
        <v>8</v>
      </c>
      <c r="AU217" s="185">
        <f t="shared" ca="1" si="182"/>
        <v>256</v>
      </c>
      <c r="AV217" s="185">
        <f t="shared" ca="1" si="182"/>
        <v>14</v>
      </c>
      <c r="AW217" s="185">
        <f t="shared" ca="1" si="182"/>
        <v>2</v>
      </c>
      <c r="AX217" s="185">
        <f t="shared" ca="1" si="182"/>
        <v>2</v>
      </c>
      <c r="AY217" s="185" t="str">
        <f t="shared" ca="1" si="182"/>
        <v>Ja, HDMI-port finns</v>
      </c>
      <c r="AZ217" s="185" t="str">
        <f t="shared" ca="1" si="182"/>
        <v>802.11a/b/g/n/ac/ax</v>
      </c>
      <c r="BA217" s="185">
        <f t="shared" ca="1" si="182"/>
        <v>5.3</v>
      </c>
      <c r="BB217" s="185">
        <f t="shared" ca="1" si="183"/>
        <v>11</v>
      </c>
      <c r="BC217" s="185" t="str">
        <f t="shared" ca="1" si="183"/>
        <v>Version 8.0</v>
      </c>
      <c r="BD217" s="185" t="str">
        <f t="shared" ca="1" si="183"/>
        <v>Ja</v>
      </c>
      <c r="BE217" s="185" t="str">
        <f t="shared" ca="1" si="183"/>
        <v>Windows 11 Pro</v>
      </c>
      <c r="BF217" s="185" t="str">
        <f t="shared" ca="1" si="183"/>
        <v>Dell Latitude 5440</v>
      </c>
      <c r="BG217" s="185">
        <f t="shared" ca="1" si="183"/>
        <v>9600</v>
      </c>
      <c r="BH217" s="192">
        <f t="shared" ca="1" si="183"/>
        <v>79</v>
      </c>
      <c r="BI217" s="192">
        <f t="shared" ca="1" si="183"/>
        <v>199</v>
      </c>
      <c r="BJ217" s="192">
        <f t="shared" ca="1" si="183"/>
        <v>182</v>
      </c>
      <c r="BK217" s="192">
        <f t="shared" ca="1" si="183"/>
        <v>1138</v>
      </c>
      <c r="BL217" s="192">
        <f t="shared" ca="1" si="184"/>
        <v>151</v>
      </c>
      <c r="BM217" s="192">
        <f t="shared" ca="1" si="184"/>
        <v>70</v>
      </c>
      <c r="BN217" s="192">
        <f t="shared" ca="1" si="184"/>
        <v>25</v>
      </c>
      <c r="BO217" s="192">
        <f t="shared" ca="1" si="184"/>
        <v>25</v>
      </c>
      <c r="BP217" s="192" t="str">
        <f t="shared" ca="1" si="184"/>
        <v>HP</v>
      </c>
      <c r="BQ217" s="192" t="str">
        <f t="shared" ca="1" si="184"/>
        <v>HP</v>
      </c>
      <c r="BR217" s="192" t="str">
        <f t="shared" ca="1" si="184"/>
        <v>Dell</v>
      </c>
      <c r="BS217" s="192" t="str">
        <f t="shared" ca="1" si="184"/>
        <v>HP</v>
      </c>
      <c r="BT217" s="192" t="str">
        <f t="shared" ca="1" si="184"/>
        <v>GBX3E2U7AA</v>
      </c>
      <c r="BU217" s="192" t="str">
        <f t="shared" ca="1" si="184"/>
        <v>GBXJ6E65AA</v>
      </c>
      <c r="BV217" s="192" t="str">
        <f t="shared" ca="1" si="184"/>
        <v>GBXUSBC65W-2</v>
      </c>
      <c r="BW217" s="192" t="str">
        <f t="shared" ca="1" si="184"/>
        <v>GBX5TW10AA</v>
      </c>
      <c r="BX217" s="192"/>
      <c r="BY217" s="192" t="str">
        <f t="shared" ca="1" si="179"/>
        <v>Qlosr Göteborg AB</v>
      </c>
      <c r="BZ217" s="192" t="str">
        <f t="shared" ca="1" si="179"/>
        <v>Dell</v>
      </c>
      <c r="CA217" s="185"/>
      <c r="CB217" s="185"/>
      <c r="CC217" s="185"/>
      <c r="CD217" s="185"/>
      <c r="CE217" s="185"/>
      <c r="CF217" s="185"/>
      <c r="CG217" s="185"/>
      <c r="CH217" s="185"/>
      <c r="CI217" s="185"/>
      <c r="CJ217" s="185"/>
      <c r="CK217" s="185"/>
      <c r="CL217" s="185"/>
      <c r="CM217" s="185"/>
      <c r="CN217" s="185"/>
    </row>
    <row r="218" spans="2:92" ht="26.25" customHeight="1" outlineLevel="1" x14ac:dyDescent="0.35">
      <c r="B218" s="69" t="s">
        <v>340</v>
      </c>
      <c r="C218" s="96" t="s">
        <v>51</v>
      </c>
      <c r="D218" s="131" t="str">
        <f>IF("Ska Ingå"=D217,"Ska Ingå","")</f>
        <v/>
      </c>
      <c r="F218" s="84" t="str">
        <f t="shared" si="185"/>
        <v/>
      </c>
      <c r="G218" s="85" t="str">
        <f t="shared" ca="1" si="186"/>
        <v>HP</v>
      </c>
      <c r="H218" s="85" t="str">
        <f t="shared" ca="1" si="186"/>
        <v>Cirafon</v>
      </c>
      <c r="I218" s="85" t="str">
        <f t="shared" ca="1" si="186"/>
        <v>HP</v>
      </c>
      <c r="J218" s="62"/>
      <c r="Q218" s="185">
        <f t="shared" si="158"/>
        <v>0</v>
      </c>
      <c r="R218" s="185">
        <f t="shared" si="159"/>
        <v>0</v>
      </c>
      <c r="S218" s="185">
        <f t="shared" si="160"/>
        <v>0</v>
      </c>
      <c r="T218" s="185">
        <f t="shared" si="161"/>
        <v>0</v>
      </c>
      <c r="U218" s="185">
        <f t="shared" si="162"/>
        <v>0</v>
      </c>
      <c r="V218" s="185">
        <f t="shared" si="163"/>
        <v>0</v>
      </c>
      <c r="W218" s="185">
        <f t="shared" si="164"/>
        <v>0</v>
      </c>
      <c r="X218" s="185">
        <f t="shared" si="165"/>
        <v>0</v>
      </c>
      <c r="Y218" s="185">
        <f t="shared" si="166"/>
        <v>0</v>
      </c>
      <c r="Z218" s="196">
        <f t="shared" ca="1" si="167"/>
        <v>7640</v>
      </c>
      <c r="AA218" s="185" t="str">
        <f t="shared" ca="1" si="168"/>
        <v>Offererad produktnr. 03Qlosr Göteborg AB</v>
      </c>
      <c r="AB218" s="185"/>
      <c r="AC218" s="185" t="b">
        <f ca="1">IFERROR(IF(D204="",TRUE,
IF(OR(D204=$CB$12,D204=$CB$13),IF(LEFT(AS218,FIND(" ",AS218)-1)=D204,TRUE,FALSE),
IF(OFFSET(Processor!$AB$1,MATCH($AS218,Processor!$AA$2:$AA$23,0),MATCH(LEFT(D204,FIND(" ",D204)-1),Processor!$AC$1:$AG$1,0))&gt;=
OFFSET(Processor!$AB$1,MATCH(D204,Processor!$AA$2:$AA$23,0),MATCH(LEFT(D204,FIND(" ",D204)-1),Processor!$AC$1:$AG$1,0)),TRUE,FALSE))),FALSE)</f>
        <v>1</v>
      </c>
      <c r="AD218" s="185" t="b">
        <f t="shared" si="169"/>
        <v>1</v>
      </c>
      <c r="AE218" s="185" t="b">
        <f t="shared" si="170"/>
        <v>1</v>
      </c>
      <c r="AF218" s="185" t="b">
        <f>IF($D$202="",TRUE,IF(COUNTIF(Processor!$I$2:$I$9,$D$202)&gt;0,AND(AV218&gt;INDEX(Processor!$J$2:$J$9,MATCH($D$202,Processor!$I$2:$I$9,0)),AV218&lt;INDEX(Processor!$K$2:$K$9,MATCH($D$202,Processor!$I$2:$I$9,0))),IF(AV218=$D$202,TRUE,FALSE)))</f>
        <v>1</v>
      </c>
      <c r="AG218" s="185" t="b">
        <f t="shared" si="171"/>
        <v>1</v>
      </c>
      <c r="AH218" s="185" t="b">
        <f t="shared" si="172"/>
        <v>1</v>
      </c>
      <c r="AI218" s="185" t="b">
        <f t="shared" si="173"/>
        <v>1</v>
      </c>
      <c r="AJ218" s="185" t="b">
        <f t="shared" si="174"/>
        <v>1</v>
      </c>
      <c r="AK218" s="185" t="b">
        <f t="shared" si="175"/>
        <v>1</v>
      </c>
      <c r="AL218" s="185" t="b">
        <f>IFERROR(IF($D213="",TRUE,IF(MID(BC218,LEN(BC218)-2,1)*1&gt;=MID($D213,LEN($D213)-2,1)*1,TRUE,FALSE)),FALSE)</f>
        <v>1</v>
      </c>
      <c r="AM218" s="185" t="b">
        <f>IF(D212="",TRUE,IF(BB218&gt;=D212,TRUE,FALSE))</f>
        <v>1</v>
      </c>
      <c r="AN218" s="185"/>
      <c r="AO218" s="185"/>
      <c r="AP218" s="185" t="s">
        <v>554</v>
      </c>
      <c r="AQ218" s="185">
        <v>1</v>
      </c>
      <c r="AR218" s="185" t="str">
        <f t="shared" ca="1" si="182"/>
        <v>1920x1080</v>
      </c>
      <c r="AS218" s="185" t="str">
        <f t="shared" ca="1" si="182"/>
        <v>AMD Ryzen 7</v>
      </c>
      <c r="AT218" s="185">
        <f t="shared" ca="1" si="182"/>
        <v>16</v>
      </c>
      <c r="AU218" s="185">
        <f t="shared" ca="1" si="182"/>
        <v>512</v>
      </c>
      <c r="AV218" s="185">
        <f t="shared" ca="1" si="182"/>
        <v>14</v>
      </c>
      <c r="AW218" s="185">
        <f t="shared" ca="1" si="182"/>
        <v>4</v>
      </c>
      <c r="AX218" s="185">
        <f t="shared" ca="1" si="182"/>
        <v>1</v>
      </c>
      <c r="AY218" s="185" t="str">
        <f t="shared" ca="1" si="182"/>
        <v>Ja, HDMI-port finns</v>
      </c>
      <c r="AZ218" s="185" t="str">
        <f t="shared" ca="1" si="182"/>
        <v>802.11a/b/g/n/ac/ax</v>
      </c>
      <c r="BA218" s="185">
        <f t="shared" ca="1" si="182"/>
        <v>5</v>
      </c>
      <c r="BB218" s="185">
        <f t="shared" ca="1" si="183"/>
        <v>11</v>
      </c>
      <c r="BC218" s="185" t="str">
        <f t="shared" ca="1" si="183"/>
        <v>Version 8.0</v>
      </c>
      <c r="BD218" s="185" t="str">
        <f t="shared" ca="1" si="183"/>
        <v>Ja</v>
      </c>
      <c r="BE218" s="185" t="str">
        <f t="shared" ca="1" si="183"/>
        <v>Windows 10 Pro</v>
      </c>
      <c r="BF218" s="185" t="str">
        <f t="shared" ca="1" si="183"/>
        <v>ProBook 445 G8</v>
      </c>
      <c r="BG218" s="185">
        <f t="shared" ca="1" si="183"/>
        <v>7640</v>
      </c>
      <c r="BH218" s="192">
        <f t="shared" ca="1" si="183"/>
        <v>79</v>
      </c>
      <c r="BI218" s="192">
        <f t="shared" ca="1" si="183"/>
        <v>199</v>
      </c>
      <c r="BJ218" s="192">
        <f t="shared" ca="1" si="183"/>
        <v>106</v>
      </c>
      <c r="BK218" s="192">
        <f t="shared" ca="1" si="183"/>
        <v>949</v>
      </c>
      <c r="BL218" s="192">
        <f t="shared" ca="1" si="184"/>
        <v>151</v>
      </c>
      <c r="BM218" s="192">
        <f t="shared" ca="1" si="184"/>
        <v>70</v>
      </c>
      <c r="BN218" s="192">
        <f t="shared" ca="1" si="184"/>
        <v>25</v>
      </c>
      <c r="BO218" s="192">
        <f t="shared" ca="1" si="184"/>
        <v>25</v>
      </c>
      <c r="BP218" s="192" t="str">
        <f t="shared" ca="1" si="184"/>
        <v>HP</v>
      </c>
      <c r="BQ218" s="192" t="str">
        <f t="shared" ca="1" si="184"/>
        <v>HP</v>
      </c>
      <c r="BR218" s="192" t="str">
        <f t="shared" ca="1" si="184"/>
        <v>HP</v>
      </c>
      <c r="BS218" s="192" t="str">
        <f t="shared" ca="1" si="184"/>
        <v>HP</v>
      </c>
      <c r="BT218" s="192" t="str">
        <f t="shared" ca="1" si="184"/>
        <v>GBX2UW01AA</v>
      </c>
      <c r="BU218" s="192" t="str">
        <f t="shared" ca="1" si="184"/>
        <v>GBXJ6E65AA</v>
      </c>
      <c r="BV218" s="192" t="str">
        <f t="shared" ca="1" si="184"/>
        <v>GBXH6Y88AA</v>
      </c>
      <c r="BW218" s="192" t="str">
        <f t="shared" ca="1" si="184"/>
        <v>GBX5TW10AA</v>
      </c>
      <c r="BX218" s="192"/>
      <c r="BY218" s="192" t="str">
        <f t="shared" ca="1" si="179"/>
        <v>Qlosr Göteborg AB</v>
      </c>
      <c r="BZ218" s="192" t="str">
        <f t="shared" ca="1" si="179"/>
        <v>HP</v>
      </c>
      <c r="CA218" s="185"/>
      <c r="CB218" s="185"/>
      <c r="CC218" s="185"/>
      <c r="CD218" s="185"/>
      <c r="CE218" s="185"/>
      <c r="CF218" s="185"/>
      <c r="CG218" s="185"/>
      <c r="CH218" s="185"/>
      <c r="CI218" s="185"/>
      <c r="CJ218" s="185"/>
      <c r="CK218" s="185"/>
      <c r="CL218" s="185"/>
      <c r="CM218" s="185"/>
      <c r="CN218" s="185"/>
    </row>
    <row r="219" spans="2:92" ht="67.5" customHeight="1" outlineLevel="1" x14ac:dyDescent="0.35">
      <c r="B219" s="69" t="s">
        <v>345</v>
      </c>
      <c r="C219" s="97" t="s">
        <v>52</v>
      </c>
      <c r="D219" s="132" t="str">
        <f>IF("Ska Ingå"=D217,"Ska Ingå","")</f>
        <v/>
      </c>
      <c r="F219" s="86" t="str">
        <f t="shared" si="185"/>
        <v/>
      </c>
      <c r="G219" s="87" t="str">
        <f t="shared" ca="1" si="186"/>
        <v>GBX2UW01AA</v>
      </c>
      <c r="H219" s="87" t="str">
        <f t="shared" ca="1" si="186"/>
        <v>LSN8696R2-14.1</v>
      </c>
      <c r="I219" s="87" t="str">
        <f t="shared" ca="1" si="186"/>
        <v>GBX2UW01AA</v>
      </c>
      <c r="J219" s="62"/>
      <c r="Q219" s="185">
        <f t="shared" si="158"/>
        <v>0</v>
      </c>
      <c r="R219" s="185">
        <f t="shared" si="159"/>
        <v>0</v>
      </c>
      <c r="S219" s="185">
        <f t="shared" si="160"/>
        <v>0</v>
      </c>
      <c r="T219" s="185">
        <f t="shared" si="161"/>
        <v>0</v>
      </c>
      <c r="U219" s="185">
        <f t="shared" si="162"/>
        <v>0</v>
      </c>
      <c r="V219" s="185">
        <f t="shared" si="163"/>
        <v>0</v>
      </c>
      <c r="W219" s="185">
        <f t="shared" si="164"/>
        <v>0</v>
      </c>
      <c r="X219" s="185">
        <f t="shared" si="165"/>
        <v>0</v>
      </c>
      <c r="Y219" s="185">
        <f t="shared" si="166"/>
        <v>0</v>
      </c>
      <c r="Z219" s="196">
        <f t="shared" ca="1" si="167"/>
        <v>8299</v>
      </c>
      <c r="AA219" s="185" t="str">
        <f t="shared" ca="1" si="168"/>
        <v>Offererad produktnr. 04Qlosr Göteborg AB</v>
      </c>
      <c r="AB219" s="185"/>
      <c r="AC219" s="185" t="b">
        <f ca="1">IFERROR(IF(D204="",TRUE,
IF(OR(D204=$CB$12,D204=$CB$13),IF(LEFT(AS219,FIND(" ",AS219)-1)=D204,TRUE,FALSE),
IF(OFFSET(Processor!$AB$1,MATCH($AS219,Processor!$AA$2:$AA$23,0),MATCH(LEFT(D204,FIND(" ",D204)-1),Processor!$AC$1:$AG$1,0))&gt;=
OFFSET(Processor!$AB$1,MATCH(D204,Processor!$AA$2:$AA$23,0),MATCH(LEFT(D204,FIND(" ",D204)-1),Processor!$AC$1:$AG$1,0)),TRUE,FALSE))),FALSE)</f>
        <v>1</v>
      </c>
      <c r="AD219" s="185" t="b">
        <f t="shared" si="169"/>
        <v>1</v>
      </c>
      <c r="AE219" s="185" t="b">
        <f t="shared" si="170"/>
        <v>1</v>
      </c>
      <c r="AF219" s="185" t="b">
        <f>IF($D$202="",TRUE,IF(COUNTIF(Processor!$I$2:$I$9,$D$202)&gt;0,AND(AV219&gt;INDEX(Processor!$J$2:$J$9,MATCH($D$202,Processor!$I$2:$I$9,0)),AV219&lt;INDEX(Processor!$K$2:$K$9,MATCH($D$202,Processor!$I$2:$I$9,0))),IF(AV219=$D$202,TRUE,FALSE)))</f>
        <v>1</v>
      </c>
      <c r="AG219" s="185" t="b">
        <f t="shared" si="171"/>
        <v>1</v>
      </c>
      <c r="AH219" s="185" t="b">
        <f t="shared" si="172"/>
        <v>1</v>
      </c>
      <c r="AI219" s="185" t="b">
        <f t="shared" si="173"/>
        <v>1</v>
      </c>
      <c r="AJ219" s="185" t="b">
        <f t="shared" si="174"/>
        <v>1</v>
      </c>
      <c r="AK219" s="185" t="b">
        <f t="shared" si="175"/>
        <v>1</v>
      </c>
      <c r="AL219" s="185" t="b">
        <f>IFERROR(IF($D213="",TRUE,IF(MID(BC219,LEN(BC219)-2,1)*1&gt;=MID($D213,LEN($D213)-2,1)*1,TRUE,FALSE)),FALSE)</f>
        <v>1</v>
      </c>
      <c r="AM219" s="185" t="b">
        <f>IF(D212="",TRUE,IF(BB219&gt;=D212,TRUE,FALSE))</f>
        <v>1</v>
      </c>
      <c r="AN219" s="185"/>
      <c r="AO219" s="185"/>
      <c r="AP219" s="185" t="s">
        <v>555</v>
      </c>
      <c r="AQ219" s="185">
        <v>1</v>
      </c>
      <c r="AR219" s="185" t="str">
        <f t="shared" ca="1" si="182"/>
        <v>1920x1080</v>
      </c>
      <c r="AS219" s="185" t="str">
        <f t="shared" ca="1" si="182"/>
        <v>Intel i7</v>
      </c>
      <c r="AT219" s="185">
        <f t="shared" ca="1" si="182"/>
        <v>16</v>
      </c>
      <c r="AU219" s="185">
        <f t="shared" ca="1" si="182"/>
        <v>512</v>
      </c>
      <c r="AV219" s="185">
        <f t="shared" ca="1" si="182"/>
        <v>14</v>
      </c>
      <c r="AW219" s="185">
        <f t="shared" ca="1" si="182"/>
        <v>4</v>
      </c>
      <c r="AX219" s="185">
        <f t="shared" ca="1" si="182"/>
        <v>1</v>
      </c>
      <c r="AY219" s="185" t="str">
        <f t="shared" ca="1" si="182"/>
        <v>Ja, HDMI-port finns</v>
      </c>
      <c r="AZ219" s="185" t="str">
        <f t="shared" ca="1" si="182"/>
        <v>802.11a/b/g/n/ac/ax</v>
      </c>
      <c r="BA219" s="185">
        <f t="shared" ca="1" si="182"/>
        <v>5</v>
      </c>
      <c r="BB219" s="185">
        <f t="shared" ca="1" si="183"/>
        <v>11</v>
      </c>
      <c r="BC219" s="185" t="str">
        <f t="shared" ca="1" si="183"/>
        <v>Version 8.0</v>
      </c>
      <c r="BD219" s="185" t="str">
        <f t="shared" ca="1" si="183"/>
        <v>Ja</v>
      </c>
      <c r="BE219" s="185" t="str">
        <f t="shared" ca="1" si="183"/>
        <v>Windows 10 Pro</v>
      </c>
      <c r="BF219" s="185" t="str">
        <f t="shared" ca="1" si="183"/>
        <v>ProBook 440 G8</v>
      </c>
      <c r="BG219" s="185">
        <f t="shared" ca="1" si="183"/>
        <v>8299</v>
      </c>
      <c r="BH219" s="192">
        <f t="shared" ca="1" si="183"/>
        <v>79</v>
      </c>
      <c r="BI219" s="192">
        <f t="shared" ca="1" si="183"/>
        <v>199</v>
      </c>
      <c r="BJ219" s="192">
        <f t="shared" ca="1" si="183"/>
        <v>106</v>
      </c>
      <c r="BK219" s="192">
        <f t="shared" ca="1" si="183"/>
        <v>949</v>
      </c>
      <c r="BL219" s="192">
        <f t="shared" ca="1" si="184"/>
        <v>151</v>
      </c>
      <c r="BM219" s="192">
        <f t="shared" ca="1" si="184"/>
        <v>70</v>
      </c>
      <c r="BN219" s="192">
        <f t="shared" ca="1" si="184"/>
        <v>25</v>
      </c>
      <c r="BO219" s="192">
        <f t="shared" ca="1" si="184"/>
        <v>25</v>
      </c>
      <c r="BP219" s="192" t="str">
        <f t="shared" ca="1" si="184"/>
        <v>HP</v>
      </c>
      <c r="BQ219" s="192" t="str">
        <f t="shared" ca="1" si="184"/>
        <v>HP</v>
      </c>
      <c r="BR219" s="192" t="str">
        <f t="shared" ca="1" si="184"/>
        <v>HP</v>
      </c>
      <c r="BS219" s="192" t="str">
        <f t="shared" ca="1" si="184"/>
        <v>HP</v>
      </c>
      <c r="BT219" s="192" t="str">
        <f t="shared" ca="1" si="184"/>
        <v>GBX2UW01AA</v>
      </c>
      <c r="BU219" s="192" t="str">
        <f t="shared" ca="1" si="184"/>
        <v>GBXJ6E65AA</v>
      </c>
      <c r="BV219" s="192" t="str">
        <f t="shared" ca="1" si="184"/>
        <v>GBXH6Y88AA</v>
      </c>
      <c r="BW219" s="192" t="str">
        <f t="shared" ca="1" si="184"/>
        <v>GBX5TW10AA</v>
      </c>
      <c r="BX219" s="192"/>
      <c r="BY219" s="192" t="str">
        <f t="shared" ca="1" si="179"/>
        <v>Qlosr Göteborg AB</v>
      </c>
      <c r="BZ219" s="192" t="str">
        <f t="shared" ca="1" si="179"/>
        <v>HP</v>
      </c>
      <c r="CA219" s="185"/>
      <c r="CB219" s="185"/>
      <c r="CC219" s="185"/>
      <c r="CD219" s="185"/>
      <c r="CE219" s="185"/>
      <c r="CF219" s="185"/>
      <c r="CG219" s="185"/>
      <c r="CH219" s="185"/>
      <c r="CI219" s="185"/>
      <c r="CJ219" s="185"/>
      <c r="CK219" s="185"/>
      <c r="CL219" s="185"/>
      <c r="CM219" s="185"/>
      <c r="CN219" s="185"/>
    </row>
    <row r="220" spans="2:92" ht="26.25" customHeight="1" outlineLevel="1" x14ac:dyDescent="0.35">
      <c r="B220" s="69" t="s">
        <v>54</v>
      </c>
      <c r="C220" s="98" t="s">
        <v>77</v>
      </c>
      <c r="D220" s="70"/>
      <c r="F220" s="157" t="str">
        <f t="shared" si="185"/>
        <v/>
      </c>
      <c r="G220" s="158">
        <f t="shared" ca="1" si="186"/>
        <v>199</v>
      </c>
      <c r="H220" s="158">
        <f t="shared" ca="1" si="186"/>
        <v>425</v>
      </c>
      <c r="I220" s="158">
        <f t="shared" ca="1" si="186"/>
        <v>199</v>
      </c>
      <c r="J220" s="62"/>
      <c r="BH220" s="63"/>
      <c r="BI220" s="63"/>
      <c r="BJ220" s="63"/>
      <c r="BK220" s="63"/>
      <c r="BL220" s="63"/>
      <c r="BM220" s="63"/>
      <c r="BN220" s="63"/>
      <c r="BO220" s="63"/>
      <c r="BP220" s="63"/>
      <c r="BQ220" s="63"/>
      <c r="BR220" s="63"/>
      <c r="BS220" s="63"/>
      <c r="BT220" s="63"/>
      <c r="BU220" s="63"/>
      <c r="BV220" s="63"/>
      <c r="BW220" s="63"/>
      <c r="BX220" s="63"/>
      <c r="BY220" s="63"/>
      <c r="BZ220" s="63"/>
      <c r="CA220" s="185"/>
      <c r="CB220" s="185"/>
      <c r="CC220" s="185"/>
      <c r="CD220" s="185"/>
      <c r="CE220" s="185"/>
      <c r="CF220" s="185"/>
      <c r="CG220" s="185"/>
      <c r="CH220" s="185"/>
      <c r="CI220" s="185"/>
      <c r="CJ220" s="185"/>
      <c r="CK220" s="185"/>
      <c r="CL220" s="185"/>
      <c r="CM220" s="185"/>
      <c r="CN220" s="185"/>
    </row>
    <row r="221" spans="2:92" ht="26.25" customHeight="1" outlineLevel="1" x14ac:dyDescent="0.35">
      <c r="B221" s="69" t="s">
        <v>341</v>
      </c>
      <c r="C221" s="61" t="s">
        <v>51</v>
      </c>
      <c r="D221" s="131" t="str">
        <f>IF("Ska Ingå"=D220,"Ska Ingå","")</f>
        <v/>
      </c>
      <c r="F221" s="88" t="str">
        <f t="shared" si="185"/>
        <v/>
      </c>
      <c r="G221" s="89" t="str">
        <f t="shared" ca="1" si="186"/>
        <v>HP</v>
      </c>
      <c r="H221" s="89" t="str">
        <f t="shared" ca="1" si="186"/>
        <v>Cirafon</v>
      </c>
      <c r="I221" s="89" t="str">
        <f t="shared" ca="1" si="186"/>
        <v>HP</v>
      </c>
      <c r="J221" s="62"/>
      <c r="BH221" s="63"/>
      <c r="BI221" s="63"/>
      <c r="BJ221" s="63"/>
      <c r="BK221" s="63"/>
      <c r="BL221" s="63"/>
      <c r="BM221" s="63"/>
      <c r="BN221" s="63"/>
      <c r="BO221" s="63"/>
      <c r="BP221" s="63"/>
      <c r="BQ221" s="63"/>
      <c r="BR221" s="63"/>
      <c r="BS221" s="63"/>
      <c r="BT221" s="63"/>
      <c r="BU221" s="63"/>
      <c r="BV221" s="63"/>
      <c r="BW221" s="63"/>
      <c r="BX221" s="63"/>
      <c r="BY221" s="63"/>
      <c r="BZ221" s="63"/>
      <c r="CA221" s="185"/>
      <c r="CB221" s="185"/>
      <c r="CC221" s="185"/>
      <c r="CD221" s="185"/>
      <c r="CE221" s="185"/>
      <c r="CF221" s="185"/>
      <c r="CG221" s="185"/>
      <c r="CH221" s="185"/>
      <c r="CI221" s="185"/>
      <c r="CJ221" s="185"/>
      <c r="CK221" s="185"/>
      <c r="CL221" s="185"/>
      <c r="CM221" s="185"/>
      <c r="CN221" s="185"/>
    </row>
    <row r="222" spans="2:92" ht="68.25" customHeight="1" outlineLevel="1" x14ac:dyDescent="0.35">
      <c r="B222" s="69" t="s">
        <v>346</v>
      </c>
      <c r="C222" s="99" t="s">
        <v>52</v>
      </c>
      <c r="D222" s="132" t="str">
        <f>IF("Ska Ingå"=D220,"Ska Ingå","")</f>
        <v/>
      </c>
      <c r="F222" s="90" t="str">
        <f t="shared" si="185"/>
        <v/>
      </c>
      <c r="G222" s="91" t="str">
        <f t="shared" ca="1" si="186"/>
        <v>GBXJ6E65AA</v>
      </c>
      <c r="H222" s="91" t="str">
        <f t="shared" ca="1" si="186"/>
        <v>DPF14-9</v>
      </c>
      <c r="I222" s="91" t="str">
        <f t="shared" ca="1" si="186"/>
        <v>GBXJ6E65AA</v>
      </c>
      <c r="J222" s="62"/>
      <c r="BH222" s="63"/>
      <c r="BI222" s="63"/>
      <c r="BJ222" s="63"/>
      <c r="BK222" s="63"/>
      <c r="BL222" s="63"/>
      <c r="BM222" s="63"/>
      <c r="BN222" s="63"/>
      <c r="BO222" s="63"/>
      <c r="BP222" s="63"/>
      <c r="BQ222" s="63"/>
      <c r="BR222" s="63"/>
      <c r="BS222" s="63"/>
      <c r="BT222" s="63"/>
      <c r="BU222" s="63"/>
      <c r="BV222" s="63"/>
      <c r="BW222" s="63"/>
      <c r="BX222" s="63"/>
      <c r="BY222" s="63"/>
      <c r="BZ222" s="63"/>
      <c r="CA222" s="185"/>
      <c r="CB222" s="185"/>
      <c r="CC222" s="185"/>
      <c r="CD222" s="185"/>
      <c r="CE222" s="185"/>
      <c r="CF222" s="185"/>
      <c r="CG222" s="185"/>
      <c r="CH222" s="185"/>
      <c r="CI222" s="185"/>
      <c r="CJ222" s="185"/>
      <c r="CK222" s="185"/>
      <c r="CL222" s="185"/>
      <c r="CM222" s="185"/>
      <c r="CN222" s="185"/>
    </row>
    <row r="223" spans="2:92" ht="31.5" customHeight="1" outlineLevel="1" x14ac:dyDescent="0.35">
      <c r="B223" s="69" t="s">
        <v>55</v>
      </c>
      <c r="C223" s="95" t="s">
        <v>371</v>
      </c>
      <c r="D223" s="70"/>
      <c r="F223" s="159" t="str">
        <f t="shared" si="185"/>
        <v/>
      </c>
      <c r="G223" s="160">
        <f t="shared" ca="1" si="186"/>
        <v>106</v>
      </c>
      <c r="H223" s="160">
        <f t="shared" ca="1" si="186"/>
        <v>149</v>
      </c>
      <c r="I223" s="160">
        <f t="shared" ca="1" si="186"/>
        <v>106</v>
      </c>
      <c r="J223" s="62"/>
      <c r="BH223" s="63"/>
      <c r="BI223" s="63"/>
      <c r="BJ223" s="63"/>
      <c r="BK223" s="63"/>
      <c r="BL223" s="63"/>
      <c r="BM223" s="63"/>
      <c r="BN223" s="63"/>
      <c r="BO223" s="63"/>
      <c r="BP223" s="63"/>
      <c r="BQ223" s="63"/>
      <c r="BR223" s="63"/>
      <c r="BS223" s="63"/>
      <c r="BT223" s="63"/>
      <c r="BU223" s="63"/>
      <c r="BV223" s="63"/>
      <c r="BW223" s="63"/>
      <c r="BX223" s="63"/>
      <c r="BY223" s="63"/>
      <c r="BZ223" s="63"/>
      <c r="CA223" s="185"/>
      <c r="CB223" s="185"/>
      <c r="CC223" s="185"/>
      <c r="CD223" s="185"/>
      <c r="CE223" s="185"/>
      <c r="CF223" s="185"/>
      <c r="CG223" s="185"/>
      <c r="CH223" s="185"/>
      <c r="CI223" s="185"/>
      <c r="CJ223" s="185"/>
      <c r="CK223" s="185"/>
      <c r="CL223" s="185"/>
      <c r="CM223" s="185"/>
      <c r="CN223" s="185"/>
    </row>
    <row r="224" spans="2:92" ht="26.25" customHeight="1" outlineLevel="1" x14ac:dyDescent="0.35">
      <c r="B224" s="69" t="s">
        <v>342</v>
      </c>
      <c r="C224" s="96" t="s">
        <v>51</v>
      </c>
      <c r="D224" s="131" t="str">
        <f>IF("Ska Ingå"=D223,"Ska Ingå","")</f>
        <v/>
      </c>
      <c r="F224" s="84" t="str">
        <f t="shared" si="185"/>
        <v/>
      </c>
      <c r="G224" s="85" t="str">
        <f t="shared" ca="1" si="186"/>
        <v>HP</v>
      </c>
      <c r="H224" s="85" t="str">
        <f t="shared" ca="1" si="186"/>
        <v>HP</v>
      </c>
      <c r="I224" s="85" t="str">
        <f t="shared" ca="1" si="186"/>
        <v>HP</v>
      </c>
      <c r="J224" s="62"/>
    </row>
    <row r="225" spans="2:78" ht="67.5" customHeight="1" outlineLevel="1" x14ac:dyDescent="0.35">
      <c r="B225" s="69" t="s">
        <v>347</v>
      </c>
      <c r="C225" s="97" t="s">
        <v>52</v>
      </c>
      <c r="D225" s="132" t="str">
        <f>IF("Ska Ingå"=D223,"Ska Ingå","")</f>
        <v/>
      </c>
      <c r="F225" s="86" t="str">
        <f t="shared" si="185"/>
        <v/>
      </c>
      <c r="G225" s="87" t="str">
        <f t="shared" ca="1" si="186"/>
        <v>GBXH6Y88AA</v>
      </c>
      <c r="H225" s="87" t="str">
        <f t="shared" ca="1" si="186"/>
        <v xml:space="preserve">1MZ01AA </v>
      </c>
      <c r="I225" s="87" t="str">
        <f t="shared" ca="1" si="186"/>
        <v>GBXH6Y88AA</v>
      </c>
      <c r="J225" s="62"/>
    </row>
    <row r="226" spans="2:78" ht="26.25" customHeight="1" outlineLevel="1" x14ac:dyDescent="0.35">
      <c r="B226" s="69" t="s">
        <v>59</v>
      </c>
      <c r="C226" s="98" t="s">
        <v>364</v>
      </c>
      <c r="D226" s="70"/>
      <c r="F226" s="157" t="str">
        <f t="shared" si="185"/>
        <v/>
      </c>
      <c r="G226" s="158">
        <f t="shared" ca="1" si="186"/>
        <v>949</v>
      </c>
      <c r="H226" s="158">
        <f t="shared" ca="1" si="186"/>
        <v>1185</v>
      </c>
      <c r="I226" s="158">
        <f t="shared" ca="1" si="186"/>
        <v>949</v>
      </c>
      <c r="J226" s="62"/>
      <c r="BH226" s="63"/>
      <c r="BI226" s="63"/>
      <c r="BJ226" s="63"/>
      <c r="BK226" s="63"/>
      <c r="BL226" s="63"/>
      <c r="BM226" s="63"/>
      <c r="BN226" s="63"/>
      <c r="BO226" s="63"/>
      <c r="BP226" s="63"/>
      <c r="BQ226" s="63"/>
      <c r="BR226" s="63"/>
      <c r="BS226" s="63"/>
      <c r="BT226" s="63"/>
      <c r="BU226" s="63"/>
      <c r="BV226" s="63"/>
      <c r="BW226" s="63"/>
      <c r="BX226" s="63"/>
      <c r="BY226" s="63"/>
      <c r="BZ226" s="63"/>
    </row>
    <row r="227" spans="2:78" ht="26.25" customHeight="1" outlineLevel="1" x14ac:dyDescent="0.35">
      <c r="B227" s="69" t="s">
        <v>343</v>
      </c>
      <c r="C227" s="61" t="s">
        <v>51</v>
      </c>
      <c r="D227" s="131" t="str">
        <f>IF("Ska Ingå"=D226,"Ska Ingå","")</f>
        <v/>
      </c>
      <c r="F227" s="88" t="str">
        <f t="shared" si="185"/>
        <v/>
      </c>
      <c r="G227" s="89" t="str">
        <f t="shared" ca="1" si="186"/>
        <v>HP</v>
      </c>
      <c r="H227" s="89" t="str">
        <f t="shared" ca="1" si="186"/>
        <v>HP</v>
      </c>
      <c r="I227" s="89" t="str">
        <f t="shared" ca="1" si="186"/>
        <v>HP</v>
      </c>
      <c r="J227" s="62"/>
    </row>
    <row r="228" spans="2:78" ht="67.5" customHeight="1" outlineLevel="1" x14ac:dyDescent="0.35">
      <c r="B228" s="69" t="s">
        <v>348</v>
      </c>
      <c r="C228" s="99" t="s">
        <v>52</v>
      </c>
      <c r="D228" s="132" t="str">
        <f>IF("Ska Ingå"=D226,"Ska Ingå","")</f>
        <v/>
      </c>
      <c r="F228" s="90" t="str">
        <f t="shared" si="185"/>
        <v/>
      </c>
      <c r="G228" s="91" t="str">
        <f t="shared" ca="1" si="186"/>
        <v>GBX5TW10AA</v>
      </c>
      <c r="H228" s="91" t="str">
        <f t="shared" ca="1" si="186"/>
        <v>72C71AA</v>
      </c>
      <c r="I228" s="91" t="str">
        <f t="shared" ca="1" si="186"/>
        <v>GBX5TW10AA</v>
      </c>
      <c r="J228" s="62"/>
      <c r="BH228" s="63"/>
      <c r="BI228" s="63"/>
      <c r="BJ228" s="63"/>
      <c r="BK228" s="63"/>
      <c r="BL228" s="63"/>
      <c r="BM228" s="63"/>
      <c r="BN228" s="63"/>
      <c r="BO228" s="63"/>
      <c r="BP228" s="63"/>
      <c r="BQ228" s="63"/>
      <c r="BR228" s="63"/>
      <c r="BS228" s="63"/>
      <c r="BT228" s="63"/>
      <c r="BU228" s="63"/>
      <c r="BV228" s="63"/>
      <c r="BW228" s="63"/>
      <c r="BX228" s="63"/>
      <c r="BY228" s="63"/>
      <c r="BZ228" s="63"/>
    </row>
    <row r="229" spans="2:78" ht="26.25" customHeight="1" outlineLevel="1" x14ac:dyDescent="0.35">
      <c r="B229" s="69"/>
      <c r="C229" s="212" t="s">
        <v>365</v>
      </c>
      <c r="D229" s="215"/>
      <c r="E229" s="213"/>
      <c r="F229" s="213"/>
      <c r="G229" s="213"/>
      <c r="H229" s="213"/>
      <c r="I229" s="214"/>
      <c r="J229" s="62"/>
      <c r="BH229" s="63"/>
      <c r="BI229" s="63"/>
      <c r="BJ229" s="63"/>
      <c r="BK229" s="63"/>
      <c r="BL229" s="63"/>
      <c r="BM229" s="63"/>
      <c r="BN229" s="63"/>
      <c r="BO229" s="63"/>
      <c r="BP229" s="63"/>
      <c r="BQ229" s="63"/>
      <c r="BR229" s="63"/>
      <c r="BS229" s="63"/>
      <c r="BT229" s="63"/>
      <c r="BU229" s="63"/>
      <c r="BV229" s="63"/>
      <c r="BW229" s="63"/>
      <c r="BX229" s="63"/>
      <c r="BY229" s="63"/>
      <c r="BZ229" s="63"/>
    </row>
    <row r="230" spans="2:78" ht="26.25" customHeight="1" outlineLevel="1" x14ac:dyDescent="0.35">
      <c r="B230" s="71" t="s">
        <v>228</v>
      </c>
      <c r="C230" s="115" t="s">
        <v>367</v>
      </c>
      <c r="D230" s="70"/>
      <c r="F230" s="151" t="str">
        <f>IF(F$198="Inget antal angivet","",IFERROR(INDEX($AR$199:$BZ$226,MATCH(F$195,$AP$199:$AP$226,0),MATCH($B230,$AR$199:$BZ$199,0)),""))</f>
        <v/>
      </c>
      <c r="G230" s="152">
        <f t="shared" ref="G230:I233" ca="1" si="187">IFERROR(INDEX($AR$199:$BZ$226,MATCH(G$195,$AP$199:$AP$226,0),MATCH($B230,$AR$199:$BZ$199,0)),"")</f>
        <v>151</v>
      </c>
      <c r="H230" s="152">
        <f t="shared" ca="1" si="187"/>
        <v>450</v>
      </c>
      <c r="I230" s="152">
        <f t="shared" ca="1" si="187"/>
        <v>151</v>
      </c>
      <c r="J230" s="62"/>
    </row>
    <row r="231" spans="2:78" ht="26.25" customHeight="1" outlineLevel="1" x14ac:dyDescent="0.35">
      <c r="B231" s="71" t="s">
        <v>229</v>
      </c>
      <c r="C231" s="61" t="s">
        <v>368</v>
      </c>
      <c r="D231" s="70"/>
      <c r="F231" s="153" t="str">
        <f>IF(F$198="Inget antal angivet","",IFERROR(INDEX($AR$199:$BZ$226,MATCH(F$195,$AP$199:$AP$226,0),MATCH($B231,$AR$199:$BZ$199,0)),""))</f>
        <v/>
      </c>
      <c r="G231" s="154">
        <f t="shared" ca="1" si="187"/>
        <v>70</v>
      </c>
      <c r="H231" s="154">
        <f t="shared" ca="1" si="187"/>
        <v>133</v>
      </c>
      <c r="I231" s="154">
        <f t="shared" ca="1" si="187"/>
        <v>70</v>
      </c>
      <c r="J231" s="62"/>
    </row>
    <row r="232" spans="2:78" ht="26.25" customHeight="1" outlineLevel="1" x14ac:dyDescent="0.35">
      <c r="B232" s="71" t="s">
        <v>230</v>
      </c>
      <c r="C232" s="96" t="s">
        <v>369</v>
      </c>
      <c r="D232" s="70"/>
      <c r="F232" s="155" t="str">
        <f>IF(F$198="Inget antal angivet","",IFERROR(INDEX($AR$199:$BZ$226,MATCH(F$195,$AP$199:$AP$226,0),MATCH($B232,$AR$199:$BZ$199,0)),""))</f>
        <v/>
      </c>
      <c r="G232" s="156">
        <f t="shared" ca="1" si="187"/>
        <v>25</v>
      </c>
      <c r="H232" s="156">
        <f t="shared" ca="1" si="187"/>
        <v>20</v>
      </c>
      <c r="I232" s="156">
        <f t="shared" ca="1" si="187"/>
        <v>25</v>
      </c>
      <c r="J232" s="62"/>
    </row>
    <row r="233" spans="2:78" ht="26.25" customHeight="1" outlineLevel="1" x14ac:dyDescent="0.35">
      <c r="B233" s="71" t="s">
        <v>231</v>
      </c>
      <c r="C233" s="61" t="s">
        <v>370</v>
      </c>
      <c r="D233" s="70"/>
      <c r="F233" s="153" t="str">
        <f>IF(F$198="Inget antal angivet","",IFERROR(INDEX($AR$199:$BZ$226,MATCH(F$195,$AP$199:$AP$226,0),MATCH($B233,$AR$199:$BZ$199,0)),""))</f>
        <v/>
      </c>
      <c r="G233" s="154">
        <f t="shared" ca="1" si="187"/>
        <v>25</v>
      </c>
      <c r="H233" s="154">
        <f t="shared" ca="1" si="187"/>
        <v>20</v>
      </c>
      <c r="I233" s="154">
        <f t="shared" ca="1" si="187"/>
        <v>25</v>
      </c>
      <c r="J233" s="62"/>
    </row>
    <row r="234" spans="2:78" ht="24" customHeight="1" outlineLevel="1" x14ac:dyDescent="0.35"/>
    <row r="235" spans="2:78" ht="24" customHeight="1" x14ac:dyDescent="0.35"/>
    <row r="236" spans="2:78" ht="24" customHeight="1" x14ac:dyDescent="0.35">
      <c r="D236" s="72" t="s">
        <v>233</v>
      </c>
      <c r="F236" s="216" t="s">
        <v>362</v>
      </c>
      <c r="G236" s="216"/>
      <c r="H236" s="216"/>
      <c r="I236" s="217"/>
      <c r="J236" s="73"/>
    </row>
    <row r="237" spans="2:78" ht="24" customHeight="1" x14ac:dyDescent="0.35">
      <c r="D237" s="74"/>
      <c r="F237" s="202" t="str">
        <f ca="1">IFERROR(INDEX($Z$200:$Z$226,MATCH(F195,$AA$200:$AA$226,0))*D237,"")</f>
        <v/>
      </c>
      <c r="G237" s="202">
        <f ca="1">IFERROR(P200 *D237,"")</f>
        <v>0</v>
      </c>
      <c r="H237" s="202">
        <f ca="1">IFERROR(P201 *D237,"")</f>
        <v>0</v>
      </c>
      <c r="I237" s="202">
        <f ca="1">IFERROR(P202 * D237,"")</f>
        <v>0</v>
      </c>
      <c r="J237" s="54"/>
    </row>
    <row r="239" spans="2:78" ht="15" thickBot="1" x14ac:dyDescent="0.4">
      <c r="C239" s="174"/>
      <c r="D239" s="174"/>
      <c r="E239" s="174"/>
      <c r="F239" s="174"/>
      <c r="G239" s="174"/>
      <c r="H239" s="174"/>
      <c r="I239" s="174"/>
    </row>
    <row r="240" spans="2:78" ht="15" thickTop="1" x14ac:dyDescent="0.35"/>
    <row r="242" spans="2:92" ht="59.25" customHeight="1" collapsed="1" x14ac:dyDescent="0.35">
      <c r="C242" s="53"/>
      <c r="D242" s="53"/>
      <c r="F242" s="169" t="e">
        <f ca="1">N246</f>
        <v>#N/A</v>
      </c>
      <c r="G242" s="169" t="str">
        <f ca="1">INDEX(AA247:AA273,MATCH(P247,Z247:Z273,0))</f>
        <v>Offererad produktnr. 01Qlosr Göteborg AB</v>
      </c>
      <c r="H242" s="169" t="str">
        <f ca="1">INDEX(AA247:AA273,MATCH(P248,Z247:Z273,0))</f>
        <v>Offererad produktnr. 01Dustin Sverige AB</v>
      </c>
      <c r="I242" s="169" t="str">
        <f ca="1">INDEX(AA247:AA273,MATCH(P249,Z247:Z273,0))</f>
        <v>Offererad produktnr. 03Qlosr Göteborg AB</v>
      </c>
      <c r="J242" s="54"/>
      <c r="AR242" s="12" t="s">
        <v>124</v>
      </c>
      <c r="AS242" s="12" t="s">
        <v>124</v>
      </c>
      <c r="AT242" s="12" t="s">
        <v>124</v>
      </c>
      <c r="AU242" s="12" t="s">
        <v>124</v>
      </c>
      <c r="AV242" s="12" t="s">
        <v>124</v>
      </c>
      <c r="AW242" s="12" t="s">
        <v>124</v>
      </c>
      <c r="AX242" s="12" t="s">
        <v>124</v>
      </c>
      <c r="AY242" s="12" t="s">
        <v>124</v>
      </c>
      <c r="AZ242" s="12" t="s">
        <v>124</v>
      </c>
      <c r="BA242" s="12" t="s">
        <v>124</v>
      </c>
      <c r="BB242" s="12" t="s">
        <v>124</v>
      </c>
      <c r="BC242" s="12" t="s">
        <v>124</v>
      </c>
      <c r="BD242" s="12" t="s">
        <v>124</v>
      </c>
      <c r="BE242" s="12" t="s">
        <v>124</v>
      </c>
      <c r="BF242" s="12" t="s">
        <v>124</v>
      </c>
      <c r="BG242" s="12" t="s">
        <v>124</v>
      </c>
      <c r="BH242" s="12" t="s">
        <v>124</v>
      </c>
      <c r="BI242" s="12" t="s">
        <v>124</v>
      </c>
      <c r="BJ242" s="12" t="s">
        <v>124</v>
      </c>
      <c r="BK242" s="12" t="s">
        <v>124</v>
      </c>
      <c r="BL242" s="12" t="s">
        <v>124</v>
      </c>
      <c r="BM242" s="12" t="s">
        <v>124</v>
      </c>
      <c r="BN242" s="12" t="s">
        <v>124</v>
      </c>
      <c r="BO242" s="12" t="s">
        <v>124</v>
      </c>
      <c r="BP242" s="12" t="s">
        <v>124</v>
      </c>
      <c r="BQ242" s="12" t="s">
        <v>124</v>
      </c>
      <c r="BR242" s="12" t="s">
        <v>124</v>
      </c>
      <c r="BS242" s="12" t="s">
        <v>124</v>
      </c>
      <c r="BT242" s="12" t="s">
        <v>124</v>
      </c>
      <c r="BU242" s="12" t="s">
        <v>124</v>
      </c>
      <c r="BV242" s="12" t="s">
        <v>124</v>
      </c>
      <c r="BW242" s="12" t="s">
        <v>124</v>
      </c>
      <c r="BX242" s="12"/>
      <c r="BY242" s="12" t="s">
        <v>124</v>
      </c>
      <c r="BZ242" s="12" t="s">
        <v>124</v>
      </c>
      <c r="CA242" s="12"/>
      <c r="CB242" s="12"/>
      <c r="CC242" s="12"/>
      <c r="CD242" s="12"/>
      <c r="CE242" s="12"/>
      <c r="CF242" s="12"/>
      <c r="CG242" s="12"/>
      <c r="CH242" s="12"/>
      <c r="CI242" s="12"/>
      <c r="CJ242" s="12"/>
      <c r="CK242" s="12"/>
      <c r="CL242" s="12"/>
      <c r="CM242" s="12"/>
      <c r="CN242" s="12"/>
    </row>
    <row r="243" spans="2:92" ht="33" customHeight="1" thickBot="1" x14ac:dyDescent="0.4">
      <c r="C243" s="53"/>
      <c r="D243" s="53"/>
      <c r="F243" s="140" t="s">
        <v>446</v>
      </c>
      <c r="G243" s="205" t="s">
        <v>447</v>
      </c>
      <c r="H243" s="205"/>
      <c r="I243" s="205"/>
      <c r="J243" s="54"/>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row>
    <row r="244" spans="2:92" ht="22.5" customHeight="1" thickBot="1" x14ac:dyDescent="0.4">
      <c r="B244" t="str">
        <f ca="1" xml:space="preserve"> "Produkt "  &amp; B245</f>
        <v>Produkt 6</v>
      </c>
      <c r="C244" s="206" t="str">
        <f>IF(F245="Ingen produkt motsvarar","Felmeddelande",IF(COUNTIF($P$1:$P$6,TRUE)&gt;0,"","Felmeddelande"))</f>
        <v/>
      </c>
      <c r="D244" s="207"/>
      <c r="F244" s="208" t="s">
        <v>271</v>
      </c>
      <c r="G244" s="209"/>
      <c r="H244" s="209"/>
      <c r="I244" s="209"/>
      <c r="J244" s="55"/>
      <c r="O244">
        <v>1</v>
      </c>
      <c r="AR244" s="13" t="str">
        <f t="shared" ref="AR244:BF244" si="188">AR246</f>
        <v>Upplösning</v>
      </c>
      <c r="AS244" s="13" t="str">
        <f t="shared" si="188"/>
        <v>Processor</v>
      </c>
      <c r="AT244" s="13" t="str">
        <f t="shared" si="188"/>
        <v>Internminne (GB)</v>
      </c>
      <c r="AU244" s="13" t="str">
        <f t="shared" si="188"/>
        <v>Hårddisk</v>
      </c>
      <c r="AV244" s="13" t="str">
        <f t="shared" si="188"/>
        <v>Skärmstorlek (tum)</v>
      </c>
      <c r="AW244" s="13" t="str">
        <f t="shared" si="188"/>
        <v>Portar USB</v>
      </c>
      <c r="AX244" s="13" t="str">
        <f t="shared" si="188"/>
        <v>Portar USB C</v>
      </c>
      <c r="AY244" s="13" t="str">
        <f t="shared" si="188"/>
        <v>Portar HDMI/Display</v>
      </c>
      <c r="AZ244" s="13" t="str">
        <f t="shared" si="188"/>
        <v>Kommunikation WLAN</v>
      </c>
      <c r="BA244" s="13" t="str">
        <f t="shared" si="188"/>
        <v>Kommunikation Bluetooth</v>
      </c>
      <c r="BB244" s="13" t="str">
        <f t="shared" si="188"/>
        <v>Batteritid (tim)</v>
      </c>
      <c r="BC244" s="13" t="str">
        <f t="shared" si="188"/>
        <v>Energiprestanda</v>
      </c>
      <c r="BD244" s="13" t="str">
        <f t="shared" si="188"/>
        <v>Låsskydd</v>
      </c>
      <c r="BE244" s="13" t="str">
        <f t="shared" si="188"/>
        <v>Operativsystem</v>
      </c>
      <c r="BF244" s="13" t="str">
        <f t="shared" si="188"/>
        <v>Modellbenämning</v>
      </c>
      <c r="BG244" t="s">
        <v>224</v>
      </c>
      <c r="BH244" s="56" t="s">
        <v>53</v>
      </c>
      <c r="BI244" s="56" t="s">
        <v>54</v>
      </c>
      <c r="BJ244" s="56" t="s">
        <v>55</v>
      </c>
      <c r="BK244" s="56" t="s">
        <v>59</v>
      </c>
      <c r="BL244" s="57" t="s">
        <v>228</v>
      </c>
      <c r="BM244" s="57" t="s">
        <v>229</v>
      </c>
      <c r="BN244" s="57" t="s">
        <v>230</v>
      </c>
      <c r="BO244" s="57" t="s">
        <v>231</v>
      </c>
      <c r="BP244" s="57" t="s">
        <v>340</v>
      </c>
      <c r="BQ244" s="57" t="s">
        <v>341</v>
      </c>
      <c r="BR244" s="57" t="s">
        <v>342</v>
      </c>
      <c r="BS244" s="57" t="s">
        <v>343</v>
      </c>
      <c r="BT244" s="57" t="s">
        <v>345</v>
      </c>
      <c r="BU244" s="57" t="s">
        <v>346</v>
      </c>
      <c r="BV244" s="57" t="s">
        <v>347</v>
      </c>
      <c r="BW244" s="57" t="s">
        <v>348</v>
      </c>
      <c r="BX244" s="57"/>
      <c r="BY244" s="57" t="s">
        <v>6</v>
      </c>
      <c r="BZ244" s="4" t="s">
        <v>51</v>
      </c>
      <c r="CA244" s="13"/>
      <c r="CB244" s="13"/>
      <c r="CC244" s="13"/>
      <c r="CD244" s="13"/>
      <c r="CE244" s="13"/>
      <c r="CF244" s="13"/>
      <c r="CG244" s="13"/>
      <c r="CH244" s="13"/>
      <c r="CI244" s="13"/>
      <c r="CJ244" s="13"/>
      <c r="CK244" s="13"/>
      <c r="CL244" s="13"/>
      <c r="CM244" s="13"/>
      <c r="CN244" s="13"/>
    </row>
    <row r="245" spans="2:92" ht="22.5" customHeight="1" x14ac:dyDescent="0.35">
      <c r="B245">
        <f ca="1">COUNTIF($F$6:F248,"Produkt I varukorg*")</f>
        <v>6</v>
      </c>
      <c r="C245" t="s">
        <v>474</v>
      </c>
      <c r="F245" s="187" t="str" cm="1">
        <f t="array" ref="F245">IF(D284&lt;1,"Inget antal angivet",IFERROR(INDEX($Z247:$Z273,MATCH(F242,$AA247:$AA273,0),0),"Ingen produkt motsvarar"))</f>
        <v>Inget antal angivet</v>
      </c>
      <c r="G245" s="188">
        <f ca="1">IFERROR(P247,"Ingen produkt motsvarar")</f>
        <v>6420</v>
      </c>
      <c r="H245" s="188">
        <f ca="1">IFERROR(P248,"")</f>
        <v>7599</v>
      </c>
      <c r="I245" s="188">
        <f ca="1">IFERROR(P249,"")</f>
        <v>7640</v>
      </c>
      <c r="J245" s="54"/>
      <c r="AA245" t="str">
        <f>IF(COUNTIF(AB245:AK245,FALSE)&gt;0,AP245,"")</f>
        <v/>
      </c>
      <c r="AB245" t="b">
        <f>IF($D$250="",TRUE,IF(AR245=$D$250,TRUE,FALSE))</f>
        <v>1</v>
      </c>
      <c r="AC245" t="b">
        <f>IF(D247="",TRUE,IF(AS245=$D$251,TRUE,FALSE))</f>
        <v>1</v>
      </c>
      <c r="AD245" t="b">
        <f>IF(D250="",TRUE,IF(AT245=D250,TRUE,FALSE))</f>
        <v>1</v>
      </c>
      <c r="AE245" t="b">
        <f>IF(D251="",TRUE,IF(AU245=D251,TRUE,FALSE))</f>
        <v>1</v>
      </c>
      <c r="AF245" t="b">
        <f>IF(D252="",TRUE,IF(AV245=D252,TRUE,FALSE))</f>
        <v>1</v>
      </c>
      <c r="AG245" t="b">
        <f>IF(D253="",TRUE,IF(AW245=D253,TRUE,FALSE))</f>
        <v>1</v>
      </c>
      <c r="AH245" t="b">
        <f>IF(D249="",TRUE,IF(AX245=D249,TRUE,FALSE))</f>
        <v>1</v>
      </c>
      <c r="AI245" t="b">
        <f>IF(D254="",TRUE,IF(AY245=D254,TRUE,FALSE))</f>
        <v>1</v>
      </c>
      <c r="AJ245" t="b">
        <f>IF(D255="",TRUE,IF(AZ245=D255,TRUE,FALSE))</f>
        <v>1</v>
      </c>
      <c r="AK245" t="b">
        <f>IF(D256="",TRUE,IF(BA245=D256,TRUE,FALSE))</f>
        <v>1</v>
      </c>
      <c r="AP245" t="s">
        <v>126</v>
      </c>
      <c r="AR245" s="58" t="str">
        <f t="shared" ref="AR245:BW245" ca="1" si="189">IFERROR(INDEX(INDIRECT(AR$242&amp;"!$A$10:CC100000"),MATCH($AP245,INDIRECT(AR$242&amp;"!BH$10:BH100000"),0),MATCH(AR$244,INDIRECT(AR$242&amp;"!a10:CC10"),0)),"False")</f>
        <v>False</v>
      </c>
      <c r="AS245" s="58" t="str">
        <f t="shared" ca="1" si="189"/>
        <v>False</v>
      </c>
      <c r="AT245" s="58" t="str">
        <f t="shared" ca="1" si="189"/>
        <v>False</v>
      </c>
      <c r="AU245" s="58" t="str">
        <f t="shared" ca="1" si="189"/>
        <v>False</v>
      </c>
      <c r="AV245" s="58" t="str">
        <f t="shared" ca="1" si="189"/>
        <v>False</v>
      </c>
      <c r="AW245" s="58" t="str">
        <f t="shared" ca="1" si="189"/>
        <v>False</v>
      </c>
      <c r="AX245" s="58" t="str">
        <f t="shared" ca="1" si="189"/>
        <v>False</v>
      </c>
      <c r="AY245" s="58" t="str">
        <f t="shared" ca="1" si="189"/>
        <v>False</v>
      </c>
      <c r="AZ245" s="58" t="str">
        <f t="shared" ca="1" si="189"/>
        <v>False</v>
      </c>
      <c r="BA245" s="58" t="str">
        <f t="shared" ca="1" si="189"/>
        <v>False</v>
      </c>
      <c r="BB245" s="58" t="str">
        <f t="shared" ca="1" si="189"/>
        <v>False</v>
      </c>
      <c r="BC245" s="58" t="str">
        <f t="shared" ca="1" si="189"/>
        <v>False</v>
      </c>
      <c r="BD245" s="58" t="str">
        <f t="shared" ca="1" si="189"/>
        <v>False</v>
      </c>
      <c r="BE245" s="58" t="str">
        <f t="shared" ca="1" si="189"/>
        <v>False</v>
      </c>
      <c r="BF245" s="58" t="str">
        <f t="shared" ca="1" si="189"/>
        <v>False</v>
      </c>
      <c r="BG245" s="58" t="str">
        <f t="shared" ca="1" si="189"/>
        <v>False</v>
      </c>
      <c r="BH245" s="58" t="str">
        <f t="shared" ca="1" si="189"/>
        <v>False</v>
      </c>
      <c r="BI245" s="58" t="str">
        <f t="shared" ca="1" si="189"/>
        <v>False</v>
      </c>
      <c r="BJ245" s="58" t="str">
        <f t="shared" ca="1" si="189"/>
        <v>False</v>
      </c>
      <c r="BK245" s="58" t="str">
        <f t="shared" ca="1" si="189"/>
        <v>False</v>
      </c>
      <c r="BL245" s="58" t="str">
        <f t="shared" ca="1" si="189"/>
        <v>False</v>
      </c>
      <c r="BM245" s="58" t="str">
        <f t="shared" ca="1" si="189"/>
        <v>False</v>
      </c>
      <c r="BN245" s="58" t="str">
        <f t="shared" ca="1" si="189"/>
        <v>False</v>
      </c>
      <c r="BO245" s="58" t="str">
        <f t="shared" ca="1" si="189"/>
        <v>False</v>
      </c>
      <c r="BP245" s="58" t="str">
        <f t="shared" ca="1" si="189"/>
        <v>False</v>
      </c>
      <c r="BQ245" s="58" t="str">
        <f t="shared" ca="1" si="189"/>
        <v>False</v>
      </c>
      <c r="BR245" s="58" t="str">
        <f t="shared" ca="1" si="189"/>
        <v>False</v>
      </c>
      <c r="BS245" s="58" t="str">
        <f t="shared" ca="1" si="189"/>
        <v>False</v>
      </c>
      <c r="BT245" s="58" t="str">
        <f t="shared" ca="1" si="189"/>
        <v>False</v>
      </c>
      <c r="BU245" s="58" t="str">
        <f t="shared" ca="1" si="189"/>
        <v>False</v>
      </c>
      <c r="BV245" s="58" t="str">
        <f t="shared" ca="1" si="189"/>
        <v>False</v>
      </c>
      <c r="BW245" s="58" t="str">
        <f t="shared" ca="1" si="189"/>
        <v>False</v>
      </c>
      <c r="BX245" s="58"/>
      <c r="BY245" s="58" t="str">
        <f ca="1">IFERROR(INDEX(INDIRECT(BY$242&amp;"!$A$10:CC100000"),MATCH($AP245,INDIRECT(BY$242&amp;"!BH$10:BH100000"),0),MATCH(BY$244,INDIRECT(BY$242&amp;"!a10:CC10"),0)),"False")</f>
        <v>False</v>
      </c>
      <c r="BZ245" s="58" t="str">
        <f ca="1">IFERROR(INDEX(INDIRECT(BZ$242&amp;"!$A$10:CC100000"),MATCH($AP245,INDIRECT(BZ$242&amp;"!BH$10:BH100000"),0),MATCH(BZ$244,INDIRECT(BZ$242&amp;"!a10:CC10"),0)),"False")</f>
        <v>False</v>
      </c>
      <c r="CA245" s="58"/>
      <c r="CB245" s="58"/>
      <c r="CC245" s="58"/>
      <c r="CD245" s="58"/>
      <c r="CE245" s="58"/>
      <c r="CF245" s="58"/>
      <c r="CG245" s="58"/>
      <c r="CH245" s="58"/>
      <c r="CI245" s="58"/>
      <c r="CJ245" s="58"/>
      <c r="CK245" s="58"/>
      <c r="CL245" s="58"/>
      <c r="CM245" s="58"/>
      <c r="CN245" s="58"/>
    </row>
    <row r="246" spans="2:92" ht="22.5" customHeight="1" x14ac:dyDescent="0.35">
      <c r="C246" s="210" t="str">
        <f ca="1" xml:space="preserve"> "Bärbar dator (A) "  &amp; RIGHT("00" &amp; B245,2)</f>
        <v>Bärbar dator (A) 06</v>
      </c>
      <c r="D246" s="211"/>
      <c r="F246" s="59" t="str">
        <f>IF(F$245="Inget antal angivet","",IFERROR(INDEX($AR$246:$BZ$273,MATCH(F$242,$AP$246:$AP$273,0),MATCH("Modellbenämning",$AR$246:$BZ$246,0)),""))</f>
        <v/>
      </c>
      <c r="G246" s="59" t="str">
        <f ca="1">IFERROR(INDEX($AR$246:$BZ$273,MATCH(G$242,$AP$246:$AP$273,0),MATCH("Modellbenämning",$AR$246:$BZ$246,0)),"")</f>
        <v>ProBook 445 G8</v>
      </c>
      <c r="H246" s="59" t="str">
        <f ca="1">IFERROR(INDEX($AR$246:$BZ$273,MATCH(H$242,$AP$246:$AP$273,0),MATCH("Modellbenämning",$AR$246:$BZ$246,0)),"")</f>
        <v>ProBook 445 G10</v>
      </c>
      <c r="I246" s="59" t="str">
        <f ca="1">IFERROR(INDEX($AR$246:$BZ$273,MATCH(I$242,$AP$246:$AP$273,0),MATCH("Modellbenämning",$AR$246:$BZ$246,0)),"")</f>
        <v>ProBook 445 G8</v>
      </c>
      <c r="J246" s="60"/>
      <c r="K246" s="195"/>
      <c r="L246" s="195"/>
      <c r="M246" s="195"/>
      <c r="N246" s="195" t="e">
        <f ca="1">INDEX($N$247:$N$252,MATCH(Överblick!$L$2,$M$247:$M$252,0))</f>
        <v>#N/A</v>
      </c>
      <c r="O246" s="195"/>
      <c r="P246" s="195"/>
      <c r="Q246" s="195"/>
      <c r="R246" s="195">
        <v>1</v>
      </c>
      <c r="S246" s="195">
        <v>2</v>
      </c>
      <c r="T246" s="195">
        <v>3</v>
      </c>
      <c r="U246" s="195">
        <v>4</v>
      </c>
      <c r="V246" s="195">
        <v>5</v>
      </c>
      <c r="W246" s="195">
        <v>6</v>
      </c>
      <c r="X246" s="195">
        <v>7</v>
      </c>
      <c r="Y246" s="195">
        <v>8</v>
      </c>
      <c r="Z246" s="195"/>
      <c r="AA246" s="195" t="s">
        <v>122</v>
      </c>
      <c r="AB246" s="195" t="s">
        <v>2</v>
      </c>
      <c r="AC246" s="195" t="s">
        <v>4</v>
      </c>
      <c r="AD246" s="195" t="s">
        <v>119</v>
      </c>
      <c r="AE246" s="195" t="s">
        <v>16</v>
      </c>
      <c r="AF246" s="195" t="s">
        <v>7</v>
      </c>
      <c r="AG246" s="195" t="s">
        <v>67</v>
      </c>
      <c r="AH246" s="195" t="s">
        <v>74</v>
      </c>
      <c r="AI246" s="195" t="s">
        <v>97</v>
      </c>
      <c r="AJ246" s="195" t="s">
        <v>103</v>
      </c>
      <c r="AK246" s="195" t="s">
        <v>75</v>
      </c>
      <c r="AL246" s="195" t="s">
        <v>38</v>
      </c>
      <c r="AM246" s="195" t="s">
        <v>120</v>
      </c>
      <c r="AN246" s="195"/>
      <c r="AO246" s="195"/>
      <c r="AP246" s="195" t="s">
        <v>222</v>
      </c>
      <c r="AQ246" s="195">
        <v>1</v>
      </c>
      <c r="AR246" s="195" t="s">
        <v>2</v>
      </c>
      <c r="AS246" s="195" t="s">
        <v>4</v>
      </c>
      <c r="AT246" s="195" t="s">
        <v>119</v>
      </c>
      <c r="AU246" s="195" t="s">
        <v>16</v>
      </c>
      <c r="AV246" s="195" t="s">
        <v>7</v>
      </c>
      <c r="AW246" s="195" t="s">
        <v>67</v>
      </c>
      <c r="AX246" s="195" t="s">
        <v>74</v>
      </c>
      <c r="AY246" s="195" t="s">
        <v>97</v>
      </c>
      <c r="AZ246" s="195" t="s">
        <v>103</v>
      </c>
      <c r="BA246" s="195" t="s">
        <v>75</v>
      </c>
      <c r="BB246" s="195" t="s">
        <v>120</v>
      </c>
      <c r="BC246" s="195" t="s">
        <v>38</v>
      </c>
      <c r="BD246" s="195" t="s">
        <v>37</v>
      </c>
      <c r="BE246" s="195" t="s">
        <v>3</v>
      </c>
      <c r="BF246" s="195" t="s">
        <v>52</v>
      </c>
      <c r="BG246" s="195" t="s">
        <v>25</v>
      </c>
      <c r="BH246" s="195" t="s">
        <v>53</v>
      </c>
      <c r="BI246" s="195" t="s">
        <v>54</v>
      </c>
      <c r="BJ246" s="195" t="s">
        <v>55</v>
      </c>
      <c r="BK246" s="195" t="s">
        <v>59</v>
      </c>
      <c r="BL246" s="195" t="s">
        <v>228</v>
      </c>
      <c r="BM246" s="195" t="s">
        <v>229</v>
      </c>
      <c r="BN246" s="195" t="s">
        <v>230</v>
      </c>
      <c r="BO246" s="195" t="s">
        <v>231</v>
      </c>
      <c r="BP246" s="195" t="s">
        <v>340</v>
      </c>
      <c r="BQ246" s="195" t="s">
        <v>341</v>
      </c>
      <c r="BR246" s="195" t="s">
        <v>342</v>
      </c>
      <c r="BS246" s="195" t="s">
        <v>343</v>
      </c>
      <c r="BT246" s="195" t="s">
        <v>345</v>
      </c>
      <c r="BU246" s="195" t="s">
        <v>346</v>
      </c>
      <c r="BV246" s="195" t="s">
        <v>347</v>
      </c>
      <c r="BW246" s="195" t="s">
        <v>348</v>
      </c>
      <c r="BX246" s="195"/>
      <c r="BY246" s="195" t="s">
        <v>6</v>
      </c>
      <c r="BZ246" s="195" t="s">
        <v>51</v>
      </c>
      <c r="CA246" s="184" t="s">
        <v>2</v>
      </c>
      <c r="CB246" s="184" t="s">
        <v>4</v>
      </c>
      <c r="CC246" s="184" t="s">
        <v>119</v>
      </c>
      <c r="CD246" s="184" t="s">
        <v>16</v>
      </c>
      <c r="CE246" s="184" t="s">
        <v>7</v>
      </c>
      <c r="CF246" s="184" t="s">
        <v>67</v>
      </c>
      <c r="CG246" s="184" t="s">
        <v>74</v>
      </c>
      <c r="CH246" s="184" t="s">
        <v>97</v>
      </c>
      <c r="CI246" s="184" t="s">
        <v>103</v>
      </c>
      <c r="CJ246" s="184" t="s">
        <v>75</v>
      </c>
      <c r="CK246" s="184" t="s">
        <v>120</v>
      </c>
      <c r="CL246" s="184" t="s">
        <v>38</v>
      </c>
      <c r="CM246" s="184" t="s">
        <v>37</v>
      </c>
      <c r="CN246" s="184" t="s">
        <v>3</v>
      </c>
    </row>
    <row r="247" spans="2:92" ht="22.5" customHeight="1" outlineLevel="1" x14ac:dyDescent="0.35">
      <c r="C247" s="210" t="s">
        <v>261</v>
      </c>
      <c r="D247" s="211"/>
      <c r="F247" s="82" t="str">
        <f>IF(F$245="Inget antal angivet","",IFERROR(INDEX($AR$246:$BZ$273,MATCH(F$242,$AP$246:$AP$273,0),MATCH("Varumärke",$AR$246:$BZ$246,0)),""))</f>
        <v/>
      </c>
      <c r="G247" s="83" t="str">
        <f ca="1">IFERROR(INDEX($AR$246:$BZ$273,MATCH(G$242,$AP$246:$AP$273,0),MATCH("Varumärke",$AR$246:$BZ$246,0)),"")</f>
        <v>HP</v>
      </c>
      <c r="H247" s="83" t="str">
        <f ca="1">IFERROR(INDEX($AR$246:$BZ$273,MATCH(H$242,$AP$246:$AP$273,0),MATCH("Varumärke",$AR$246:$BZ$246,0)),"")</f>
        <v>HP</v>
      </c>
      <c r="I247" s="119" t="str">
        <f ca="1">IFERROR(INDEX($AR$246:$BZ$273,MATCH(I$242,$AP$246:$AP$273,0),MATCH("Varumärke",$AR$246:$BZ$246,0)),"")</f>
        <v>HP</v>
      </c>
      <c r="J247" s="62"/>
      <c r="K247" s="196">
        <f t="shared" ref="K247:K252" ca="1" si="190">O247*$D$284</f>
        <v>0</v>
      </c>
      <c r="L247" s="185" t="b">
        <f t="shared" ref="L247:L252" si="191">IF($D$284=0,TRUE,IF(K247=0,FALSE,TRUE))</f>
        <v>1</v>
      </c>
      <c r="M247" s="185" t="s">
        <v>162</v>
      </c>
      <c r="N247" s="185" t="str">
        <f t="shared" ref="N247:N252" ca="1" si="192">INDEX($AA$247:$AA$273,MATCH(O247,$Z$247:$Z$273,0))</f>
        <v>Offererad produktnr. 01Advania Sverige AB</v>
      </c>
      <c r="O247" s="196" cm="1">
        <f t="array" aca="1" ref="O247" ca="1">MIN(IF(($BY$247:$BY$270=M247)*($AQ$247:$AQ$270=$O$244),$Z$247:$Z$270))</f>
        <v>8880</v>
      </c>
      <c r="P247" s="197">
        <f ca="1">SMALL($Z$247:$Z$273,1)</f>
        <v>6420</v>
      </c>
      <c r="Q247" s="185">
        <f t="shared" ref="Q247:Q266" si="193">SUM(R247:Y247)</f>
        <v>0</v>
      </c>
      <c r="R247" s="185">
        <f t="shared" ref="R247:R266" si="194">IF($D$264="",0,BH247)</f>
        <v>0</v>
      </c>
      <c r="S247" s="185">
        <f t="shared" ref="S247:S266" si="195">IF($D$267="",0,BI247)</f>
        <v>0</v>
      </c>
      <c r="T247" s="185">
        <f t="shared" ref="T247:T266" si="196">IF($D$270="",0,BJ247)</f>
        <v>0</v>
      </c>
      <c r="U247" s="185">
        <f t="shared" ref="U247:U266" si="197">IF($D$273="",0,BK247)</f>
        <v>0</v>
      </c>
      <c r="V247" s="185">
        <f t="shared" ref="V247:V266" si="198">IF($D$277="",0,BL247)</f>
        <v>0</v>
      </c>
      <c r="W247" s="185">
        <f t="shared" ref="W247:W266" si="199">IF($D$278="",0,BM247)</f>
        <v>0</v>
      </c>
      <c r="X247" s="185">
        <f t="shared" ref="X247:X266" si="200">IF($D$279="",0,BN247)</f>
        <v>0</v>
      </c>
      <c r="Y247" s="185">
        <f t="shared" ref="Y247:Y266" si="201">IF($D$280="",0,BO247)</f>
        <v>0</v>
      </c>
      <c r="Z247" s="196">
        <f t="shared" ref="Z247:Z266" ca="1" si="202">IF(AA247="","",SUM(BG247,R247:Y247))</f>
        <v>8880</v>
      </c>
      <c r="AA247" s="185" t="str">
        <f t="shared" ref="AA247:AA266" ca="1" si="203">IF(COUNTIF(AB247:AO247,FALSE)&gt;0,"",AP247)</f>
        <v>Offererad produktnr. 01Advania Sverige AB</v>
      </c>
      <c r="AB247" s="185"/>
      <c r="AC247" s="185" t="b">
        <f ca="1">IFERROR(IF(D251="",TRUE,
IF(OR(D251=$CB$12,D251=$CB$13),IF(LEFT(AS247,FIND(" ",AS247)-1)=D251,TRUE,FALSE),
IF(OFFSET(Processor!$AB$1,MATCH($AS247,Processor!$AA$2:$AA$23,0),MATCH(LEFT(D251,FIND(" ",D251)-1),Processor!$AC$1:$AG$1,0))&gt;=
OFFSET(Processor!$AB$1,MATCH(D251,Processor!$AA$2:$AA$23,0),MATCH(LEFT(D251,FIND(" ",D251)-1),Processor!$AC$1:$AG$1,0)),TRUE,FALSE))),FALSE)</f>
        <v>1</v>
      </c>
      <c r="AD247" s="185" t="b">
        <f t="shared" ref="AD247:AD266" si="204">IF($D$252="",TRUE,IF(AT247&gt;=$D$252,TRUE,FALSE))</f>
        <v>1</v>
      </c>
      <c r="AE247" s="185" t="b">
        <f t="shared" ref="AE247:AE266" si="205">IF($D$253="",TRUE,IF(AU247&gt;=$D$253,TRUE,FALSE))</f>
        <v>1</v>
      </c>
      <c r="AF247" s="185" t="b">
        <f>IF($D$249="",TRUE,IF(COUNTIF(Processor!$I$2:$I$9,$D$249)&gt;0,AND(AV247&gt;INDEX(Processor!$J$2:$J$9,MATCH($D$249,Processor!$I$2:$I$9,0)),AV247&lt;INDEX(Processor!$K$2:$K$9,MATCH($D$249,Processor!$I$2:$I$9,0))),IF(AV247=$D$249,TRUE,FALSE)))</f>
        <v>1</v>
      </c>
      <c r="AG247" s="185" t="b">
        <f t="shared" ref="AG247:AG266" si="206">IF($D$254="",TRUE,IF(AW247&gt;=$D$254,TRUE,FALSE))</f>
        <v>1</v>
      </c>
      <c r="AH247" s="185" t="b">
        <f t="shared" ref="AH247:AH266" si="207">IF($D$255="",TRUE,IF(AX247&gt;=$D$255,TRUE,FALSE))</f>
        <v>1</v>
      </c>
      <c r="AI247" s="185" t="b">
        <f t="shared" ref="AI247:AI266" si="208">IF($D$256="",TRUE,IF(AY247=$D$256,TRUE,FALSE))</f>
        <v>1</v>
      </c>
      <c r="AJ247" s="185" t="b">
        <f t="shared" ref="AJ247:AJ266" si="209">IF($D$257="",TRUE,IF($D$257="802.11a/b/g/n/ac",TRUE,IF(AZ247&gt;=$D$257,TRUE,FALSE)))</f>
        <v>1</v>
      </c>
      <c r="AK247" s="185" t="b">
        <f t="shared" ref="AK247:AK266" si="210">IF($D$258="",TRUE,IF(BA247&gt;=$D$258,TRUE,FALSE))</f>
        <v>1</v>
      </c>
      <c r="AL247" s="185" t="b">
        <f>IFERROR(IF($D260="",TRUE,IF(MID(BC247,LEN(BC247)-2,1)*1&gt;=MID($D260,LEN($D260)-2,1)*1,TRUE,FALSE)),FALSE)</f>
        <v>1</v>
      </c>
      <c r="AM247" s="185" t="b">
        <f>IF(D259="",TRUE,IF(BB247&gt;=D259,TRUE,FALSE))</f>
        <v>1</v>
      </c>
      <c r="AN247" s="185"/>
      <c r="AO247" s="185"/>
      <c r="AP247" s="185" t="s">
        <v>198</v>
      </c>
      <c r="AQ247" s="185">
        <v>1</v>
      </c>
      <c r="AR247" s="185" t="str">
        <f t="shared" ref="AR247:BA256" ca="1" si="211">IFERROR(INDEX(INDIRECT(AR$242&amp;"!$A$10:CC100000"),MATCH($AP247,INDIRECT(AR$242&amp;"!BH$10:BH100000"),0),MATCH(AR$244,INDIRECT(AR$242&amp;"!a10:CC10"),0)),"False")</f>
        <v>1920x1080</v>
      </c>
      <c r="AS247" s="185" t="str">
        <f t="shared" ca="1" si="211"/>
        <v>AMD Ryzen 5</v>
      </c>
      <c r="AT247" s="185">
        <f t="shared" ca="1" si="211"/>
        <v>16</v>
      </c>
      <c r="AU247" s="185">
        <f t="shared" ca="1" si="211"/>
        <v>256</v>
      </c>
      <c r="AV247" s="185">
        <f t="shared" ca="1" si="211"/>
        <v>14</v>
      </c>
      <c r="AW247" s="185">
        <f t="shared" ca="1" si="211"/>
        <v>4</v>
      </c>
      <c r="AX247" s="185">
        <f t="shared" ca="1" si="211"/>
        <v>1</v>
      </c>
      <c r="AY247" s="185" t="str">
        <f t="shared" ca="1" si="211"/>
        <v>Ja, HDMI-port finns</v>
      </c>
      <c r="AZ247" s="185" t="str">
        <f t="shared" ca="1" si="211"/>
        <v>802.11a/b/g/n/ac/ax</v>
      </c>
      <c r="BA247" s="185">
        <f t="shared" ca="1" si="211"/>
        <v>5.3</v>
      </c>
      <c r="BB247" s="185">
        <f t="shared" ref="BB247:BK256" ca="1" si="212">IFERROR(INDEX(INDIRECT(BB$242&amp;"!$A$10:CC100000"),MATCH($AP247,INDIRECT(BB$242&amp;"!BH$10:BH100000"),0),MATCH(BB$244,INDIRECT(BB$242&amp;"!a10:CC10"),0)),"False")</f>
        <v>11</v>
      </c>
      <c r="BC247" s="185" t="str">
        <f t="shared" ca="1" si="212"/>
        <v>Version 8.0</v>
      </c>
      <c r="BD247" s="185" t="str">
        <f t="shared" ca="1" si="212"/>
        <v>Ja</v>
      </c>
      <c r="BE247" s="185" t="str">
        <f t="shared" ca="1" si="212"/>
        <v>Windows 11 Pro</v>
      </c>
      <c r="BF247" s="185" t="str">
        <f t="shared" ca="1" si="212"/>
        <v>ProBook 445 G10</v>
      </c>
      <c r="BG247" s="185">
        <f t="shared" ca="1" si="212"/>
        <v>8880</v>
      </c>
      <c r="BH247" s="192">
        <f t="shared" ca="1" si="212"/>
        <v>60</v>
      </c>
      <c r="BI247" s="192">
        <f t="shared" ca="1" si="212"/>
        <v>218</v>
      </c>
      <c r="BJ247" s="192">
        <f t="shared" ca="1" si="212"/>
        <v>251</v>
      </c>
      <c r="BK247" s="192">
        <f t="shared" ca="1" si="212"/>
        <v>1462</v>
      </c>
      <c r="BL247" s="192">
        <f t="shared" ref="BL247:BW256" ca="1" si="213">IFERROR(INDEX(INDIRECT(BL$242&amp;"!$A$10:CC100000"),MATCH($AP247,INDIRECT(BL$242&amp;"!BH$10:BH100000"),0),MATCH(BL$244,INDIRECT(BL$242&amp;"!a10:CC10"),0)),"False")</f>
        <v>226</v>
      </c>
      <c r="BM247" s="192">
        <f t="shared" ca="1" si="213"/>
        <v>112</v>
      </c>
      <c r="BN247" s="192">
        <f t="shared" ca="1" si="213"/>
        <v>50</v>
      </c>
      <c r="BO247" s="192">
        <f t="shared" ca="1" si="213"/>
        <v>50</v>
      </c>
      <c r="BP247" s="192" t="str">
        <f t="shared" ca="1" si="213"/>
        <v>V7</v>
      </c>
      <c r="BQ247" s="192" t="str">
        <f t="shared" ca="1" si="213"/>
        <v>PORT Designs</v>
      </c>
      <c r="BR247" s="192" t="str">
        <f t="shared" ca="1" si="213"/>
        <v>CoreParts</v>
      </c>
      <c r="BS247" s="192" t="str">
        <f t="shared" ca="1" si="213"/>
        <v>HP</v>
      </c>
      <c r="BT247" s="192" t="str">
        <f t="shared" ca="1" si="213"/>
        <v xml:space="preserve"> CSE14-BLK-3E  -Fodral för bärbar dator - 14" - svart</v>
      </c>
      <c r="BU247" s="192" t="str">
        <f t="shared" ca="1" si="213"/>
        <v>900003 - Professional - filter för personlig integritet - 14"</v>
      </c>
      <c r="BV247" s="192" t="str">
        <f t="shared" ca="1" si="213"/>
        <v>MBXUSBC-AC0005 - USB-C - strömadapter 45 Watt</v>
      </c>
      <c r="BW247" s="192" t="str">
        <f t="shared" ca="1" si="213"/>
        <v>72C71AA#ABB - Essential - dockningsstation</v>
      </c>
      <c r="BX247" s="192"/>
      <c r="BY247" s="192" t="str">
        <f t="shared" ref="BY247:BZ266" ca="1" si="214">IFERROR(INDEX(INDIRECT(BY$242&amp;"!$A$10:CC100000"),MATCH($AP247,INDIRECT(BY$242&amp;"!BH$10:BH100000"),0),MATCH(BY$244,INDIRECT(BY$242&amp;"!a10:CC10"),0)),"False")</f>
        <v>Advania Sverige AB</v>
      </c>
      <c r="BZ247" s="192" t="str">
        <f t="shared" ca="1" si="214"/>
        <v>HP</v>
      </c>
      <c r="CA247" s="185" t="s">
        <v>71</v>
      </c>
      <c r="CB247" s="185" t="s">
        <v>687</v>
      </c>
      <c r="CC247" s="185">
        <v>8</v>
      </c>
      <c r="CD247" s="185">
        <v>256</v>
      </c>
      <c r="CE247" s="185">
        <v>14</v>
      </c>
      <c r="CF247" s="185">
        <v>3</v>
      </c>
      <c r="CG247" s="185">
        <v>1</v>
      </c>
      <c r="CH247" s="185" t="s">
        <v>84</v>
      </c>
      <c r="CI247" s="185" t="s">
        <v>86</v>
      </c>
      <c r="CJ247" s="186">
        <v>5.3</v>
      </c>
      <c r="CK247" s="185">
        <v>11</v>
      </c>
      <c r="CL247" s="185" t="s">
        <v>686</v>
      </c>
      <c r="CM247" s="185" t="s">
        <v>69</v>
      </c>
      <c r="CN247" s="185" t="s">
        <v>567</v>
      </c>
    </row>
    <row r="248" spans="2:92" ht="22.5" customHeight="1" outlineLevel="1" x14ac:dyDescent="0.35">
      <c r="C248" s="61" t="s">
        <v>3</v>
      </c>
      <c r="D248" s="64"/>
      <c r="F248" s="80" t="str">
        <f t="shared" ref="F248:F261" si="215">IF(F$245="Inget antal angivet","",IFERROR(INDEX($AR$246:$BZ$273,MATCH(F$242,$AP$246:$AP$273,0),MATCH($C248,$AR$246:$BZ$246,0)),""))</f>
        <v/>
      </c>
      <c r="G248" s="81" t="str">
        <f t="shared" ref="G248:I261" ca="1" si="216">IFERROR(INDEX($AR$246:$BZ$273,MATCH(G$242,$AP$246:$AP$273,0),MATCH($C248,$AR$246:$BZ$246,0)),"")</f>
        <v>Windows 10 Pro</v>
      </c>
      <c r="H248" s="81" t="str">
        <f t="shared" ca="1" si="216"/>
        <v>Windows 11 Pro</v>
      </c>
      <c r="I248" s="120" t="str">
        <f t="shared" ca="1" si="216"/>
        <v>Windows 10 Pro</v>
      </c>
      <c r="J248" s="62"/>
      <c r="K248" s="196">
        <f t="shared" ca="1" si="190"/>
        <v>0</v>
      </c>
      <c r="L248" s="185" t="b">
        <f t="shared" si="191"/>
        <v>1</v>
      </c>
      <c r="M248" s="185" t="s">
        <v>150</v>
      </c>
      <c r="N248" s="185" t="str">
        <f t="shared" ca="1" si="192"/>
        <v>Offererad produktnr. 01Atea Sverige AB</v>
      </c>
      <c r="O248" s="196" cm="1">
        <f t="array" aca="1" ref="O248" ca="1">MIN(IF(($BY$247:$BY$270=M248)*($AQ$247:$AQ$270=$O$244),$Z$247:$Z$270))</f>
        <v>11724</v>
      </c>
      <c r="P248" s="197">
        <f ca="1">SMALL($Z$247:$Z$273,2)</f>
        <v>7599</v>
      </c>
      <c r="Q248" s="185">
        <f t="shared" si="193"/>
        <v>0</v>
      </c>
      <c r="R248" s="185">
        <f t="shared" si="194"/>
        <v>0</v>
      </c>
      <c r="S248" s="185">
        <f t="shared" si="195"/>
        <v>0</v>
      </c>
      <c r="T248" s="185">
        <f t="shared" si="196"/>
        <v>0</v>
      </c>
      <c r="U248" s="185">
        <f t="shared" si="197"/>
        <v>0</v>
      </c>
      <c r="V248" s="185">
        <f t="shared" si="198"/>
        <v>0</v>
      </c>
      <c r="W248" s="185">
        <f t="shared" si="199"/>
        <v>0</v>
      </c>
      <c r="X248" s="185">
        <f t="shared" si="200"/>
        <v>0</v>
      </c>
      <c r="Y248" s="185">
        <f t="shared" si="201"/>
        <v>0</v>
      </c>
      <c r="Z248" s="196">
        <f t="shared" ca="1" si="202"/>
        <v>9324</v>
      </c>
      <c r="AA248" s="185" t="str">
        <f t="shared" ca="1" si="203"/>
        <v>Offererad produktnr. 02Advania Sverige AB</v>
      </c>
      <c r="AB248" s="185"/>
      <c r="AC248" s="185" t="b">
        <f ca="1">IFERROR(IF(D251="",TRUE,
IF(OR(D251=$CB$12,D251=$CB$13),IF(LEFT(AS248,FIND(" ",AS248)-1)=D251,TRUE,FALSE),
IF(OFFSET(Processor!$AB$1,MATCH($AS248,Processor!$AA$2:$AA$23,0),MATCH(LEFT(D251,FIND(" ",D251)-1),Processor!$AC$1:$AG$1,0))&gt;=
OFFSET(Processor!$AB$1,MATCH(D251,Processor!$AA$2:$AA$23,0),MATCH(LEFT(D251,FIND(" ",D251)-1),Processor!$AC$1:$AG$1,0)),TRUE,FALSE))),FALSE)</f>
        <v>1</v>
      </c>
      <c r="AD248" s="185" t="b">
        <f t="shared" si="204"/>
        <v>1</v>
      </c>
      <c r="AE248" s="185" t="b">
        <f t="shared" si="205"/>
        <v>1</v>
      </c>
      <c r="AF248" s="185" t="b">
        <f>IF($D$249="",TRUE,IF(COUNTIF(Processor!$I$2:$I$9,$D$249)&gt;0,AND(AV248&gt;INDEX(Processor!$J$2:$J$9,MATCH($D$249,Processor!$I$2:$I$9,0)),AV248&lt;INDEX(Processor!$K$2:$K$9,MATCH($D$249,Processor!$I$2:$I$9,0))),IF(AV248=$D$249,TRUE,FALSE)))</f>
        <v>1</v>
      </c>
      <c r="AG248" s="185" t="b">
        <f t="shared" si="206"/>
        <v>1</v>
      </c>
      <c r="AH248" s="185" t="b">
        <f t="shared" si="207"/>
        <v>1</v>
      </c>
      <c r="AI248" s="185" t="b">
        <f t="shared" si="208"/>
        <v>1</v>
      </c>
      <c r="AJ248" s="185" t="b">
        <f t="shared" si="209"/>
        <v>1</v>
      </c>
      <c r="AK248" s="185" t="b">
        <f t="shared" si="210"/>
        <v>1</v>
      </c>
      <c r="AL248" s="185" t="b">
        <f>IFERROR(IF($D260="",TRUE,IF(MID(BC248,LEN(BC248)-2,1)*1&gt;=MID($D260,LEN($D260)-2,1)*1,TRUE,FALSE)),FALSE)</f>
        <v>1</v>
      </c>
      <c r="AM248" s="185" t="b">
        <f>IF(D259="",TRUE,IF(BB248&gt;=D259,TRUE,FALSE))</f>
        <v>1</v>
      </c>
      <c r="AN248" s="185"/>
      <c r="AO248" s="185"/>
      <c r="AP248" s="185" t="s">
        <v>199</v>
      </c>
      <c r="AQ248" s="185">
        <v>1</v>
      </c>
      <c r="AR248" s="185" t="str">
        <f t="shared" ca="1" si="211"/>
        <v>1920x1080</v>
      </c>
      <c r="AS248" s="185" t="str">
        <f t="shared" ca="1" si="211"/>
        <v>Intel i5 Gen 12</v>
      </c>
      <c r="AT248" s="185">
        <f t="shared" ca="1" si="211"/>
        <v>16</v>
      </c>
      <c r="AU248" s="185">
        <f t="shared" ca="1" si="211"/>
        <v>256</v>
      </c>
      <c r="AV248" s="185">
        <f t="shared" ca="1" si="211"/>
        <v>14</v>
      </c>
      <c r="AW248" s="185">
        <f t="shared" ca="1" si="211"/>
        <v>4</v>
      </c>
      <c r="AX248" s="185">
        <f t="shared" ca="1" si="211"/>
        <v>1</v>
      </c>
      <c r="AY248" s="185" t="str">
        <f t="shared" ca="1" si="211"/>
        <v>Ja, HDMI-port finns</v>
      </c>
      <c r="AZ248" s="185" t="str">
        <f t="shared" ca="1" si="211"/>
        <v>802.11a/b/g/n/ac</v>
      </c>
      <c r="BA248" s="185">
        <f t="shared" ca="1" si="211"/>
        <v>5.2</v>
      </c>
      <c r="BB248" s="185">
        <f t="shared" ca="1" si="212"/>
        <v>11</v>
      </c>
      <c r="BC248" s="185" t="str">
        <f t="shared" ca="1" si="212"/>
        <v>Version 8.0</v>
      </c>
      <c r="BD248" s="185" t="str">
        <f t="shared" ca="1" si="212"/>
        <v>Ja</v>
      </c>
      <c r="BE248" s="185" t="str">
        <f t="shared" ca="1" si="212"/>
        <v>Windows 11 Pro</v>
      </c>
      <c r="BF248" s="185" t="str">
        <f t="shared" ca="1" si="212"/>
        <v>ProBook 440 G10</v>
      </c>
      <c r="BG248" s="185">
        <f t="shared" ca="1" si="212"/>
        <v>9324</v>
      </c>
      <c r="BH248" s="192">
        <f t="shared" ca="1" si="212"/>
        <v>60</v>
      </c>
      <c r="BI248" s="192">
        <f t="shared" ca="1" si="212"/>
        <v>218</v>
      </c>
      <c r="BJ248" s="192">
        <f t="shared" ca="1" si="212"/>
        <v>251</v>
      </c>
      <c r="BK248" s="192">
        <f t="shared" ca="1" si="212"/>
        <v>1462</v>
      </c>
      <c r="BL248" s="192">
        <f t="shared" ca="1" si="213"/>
        <v>226</v>
      </c>
      <c r="BM248" s="192">
        <f t="shared" ca="1" si="213"/>
        <v>112</v>
      </c>
      <c r="BN248" s="192">
        <f t="shared" ca="1" si="213"/>
        <v>50</v>
      </c>
      <c r="BO248" s="192">
        <f t="shared" ca="1" si="213"/>
        <v>50</v>
      </c>
      <c r="BP248" s="192" t="str">
        <f t="shared" ca="1" si="213"/>
        <v>V7</v>
      </c>
      <c r="BQ248" s="192" t="str">
        <f t="shared" ca="1" si="213"/>
        <v>PORT Designs</v>
      </c>
      <c r="BR248" s="192" t="str">
        <f t="shared" ca="1" si="213"/>
        <v>CoreParts</v>
      </c>
      <c r="BS248" s="192" t="str">
        <f t="shared" ca="1" si="213"/>
        <v>HP</v>
      </c>
      <c r="BT248" s="192" t="str">
        <f t="shared" ca="1" si="213"/>
        <v xml:space="preserve"> CSE14-BLK-3E  -Fodral för bärbar dator - 14" - svart</v>
      </c>
      <c r="BU248" s="192" t="str">
        <f t="shared" ca="1" si="213"/>
        <v>900003 - Professional - filter för personlig integritet - 14"</v>
      </c>
      <c r="BV248" s="192" t="str">
        <f t="shared" ca="1" si="213"/>
        <v>MBXUSBC-AC0005 - USB-C - strömadapter 45 Watt</v>
      </c>
      <c r="BW248" s="192" t="str">
        <f t="shared" ca="1" si="213"/>
        <v>72C71AA#ABB - Essential - dockningsstation</v>
      </c>
      <c r="BX248" s="192"/>
      <c r="BY248" s="192" t="str">
        <f t="shared" ca="1" si="214"/>
        <v>Advania Sverige AB</v>
      </c>
      <c r="BZ248" s="192" t="str">
        <f t="shared" ca="1" si="214"/>
        <v>HP</v>
      </c>
      <c r="CA248" s="185" t="s">
        <v>163</v>
      </c>
      <c r="CB248" s="185" t="s">
        <v>688</v>
      </c>
      <c r="CC248" s="185">
        <v>16</v>
      </c>
      <c r="CD248" s="185">
        <v>512</v>
      </c>
      <c r="CE248" s="185">
        <v>0</v>
      </c>
      <c r="CF248" s="185">
        <v>4</v>
      </c>
      <c r="CG248" s="185">
        <v>2</v>
      </c>
      <c r="CH248" s="185">
        <v>0</v>
      </c>
      <c r="CI248" s="185" t="s">
        <v>79</v>
      </c>
      <c r="CJ248" s="186">
        <v>5.2</v>
      </c>
      <c r="CK248" s="185">
        <v>8</v>
      </c>
      <c r="CL248" s="185" t="s">
        <v>527</v>
      </c>
      <c r="CM248" s="185">
        <v>0</v>
      </c>
      <c r="CN248" s="185" t="s">
        <v>80</v>
      </c>
    </row>
    <row r="249" spans="2:92" ht="22.5" customHeight="1" outlineLevel="1" x14ac:dyDescent="0.35">
      <c r="C249" s="61" t="s">
        <v>7</v>
      </c>
      <c r="D249" s="64"/>
      <c r="F249" s="80" t="str">
        <f t="shared" si="215"/>
        <v/>
      </c>
      <c r="G249" s="81">
        <f t="shared" ca="1" si="216"/>
        <v>14</v>
      </c>
      <c r="H249" s="81">
        <f t="shared" ca="1" si="216"/>
        <v>14</v>
      </c>
      <c r="I249" s="120">
        <f t="shared" ca="1" si="216"/>
        <v>14</v>
      </c>
      <c r="J249" s="62"/>
      <c r="K249" s="196">
        <f t="shared" ca="1" si="190"/>
        <v>0</v>
      </c>
      <c r="L249" s="185" t="b">
        <f t="shared" si="191"/>
        <v>1</v>
      </c>
      <c r="M249" s="185" t="s">
        <v>128</v>
      </c>
      <c r="N249" s="185" t="str">
        <f t="shared" ca="1" si="192"/>
        <v>Offererad produktnr. 01Dustin Sverige AB</v>
      </c>
      <c r="O249" s="196" cm="1">
        <f t="array" aca="1" ref="O249" ca="1">MIN(IF(($BY$247:$BY$270=M249)*($AQ$247:$AQ$270=$O$244),$Z$247:$Z$270))</f>
        <v>7599</v>
      </c>
      <c r="P249" s="197">
        <f ca="1">SMALL($Z$247:$Z$273,3)</f>
        <v>7640</v>
      </c>
      <c r="Q249" s="185">
        <f t="shared" si="193"/>
        <v>0</v>
      </c>
      <c r="R249" s="185">
        <f t="shared" si="194"/>
        <v>0</v>
      </c>
      <c r="S249" s="185">
        <f t="shared" si="195"/>
        <v>0</v>
      </c>
      <c r="T249" s="185">
        <f t="shared" si="196"/>
        <v>0</v>
      </c>
      <c r="U249" s="185">
        <f t="shared" si="197"/>
        <v>0</v>
      </c>
      <c r="V249" s="185">
        <f t="shared" si="198"/>
        <v>0</v>
      </c>
      <c r="W249" s="185">
        <f t="shared" si="199"/>
        <v>0</v>
      </c>
      <c r="X249" s="185">
        <f t="shared" si="200"/>
        <v>0</v>
      </c>
      <c r="Y249" s="185">
        <f t="shared" si="201"/>
        <v>0</v>
      </c>
      <c r="Z249" s="196">
        <f t="shared" ca="1" si="202"/>
        <v>10608</v>
      </c>
      <c r="AA249" s="185" t="str">
        <f t="shared" ca="1" si="203"/>
        <v>Offererad produktnr. 03Advania Sverige AB</v>
      </c>
      <c r="AB249" s="185"/>
      <c r="AC249" s="185" t="b">
        <f ca="1">IFERROR(IF(D251="",TRUE,
IF(OR(D251=$CB$12,D251=$CB$13),IF(LEFT(AS249,FIND(" ",AS249)-1)=D251,TRUE,FALSE),
IF(OFFSET(Processor!$AB$1,MATCH($AS249,Processor!$AA$2:$AA$23,0),MATCH(LEFT(D251,FIND(" ",D251)-1),Processor!$AC$1:$AG$1,0))&gt;=
OFFSET(Processor!$AB$1,MATCH(D251,Processor!$AA$2:$AA$23,0),MATCH(LEFT(D251,FIND(" ",D251)-1),Processor!$AC$1:$AG$1,0)),TRUE,FALSE))),FALSE)</f>
        <v>1</v>
      </c>
      <c r="AD249" s="185" t="b">
        <f t="shared" si="204"/>
        <v>1</v>
      </c>
      <c r="AE249" s="185" t="b">
        <f t="shared" si="205"/>
        <v>1</v>
      </c>
      <c r="AF249" s="185" t="b">
        <f>IF($D$249="",TRUE,IF(COUNTIF(Processor!$I$2:$I$9,$D$249)&gt;0,AND(AV249&gt;INDEX(Processor!$J$2:$J$9,MATCH($D$249,Processor!$I$2:$I$9,0)),AV249&lt;INDEX(Processor!$K$2:$K$9,MATCH($D$249,Processor!$I$2:$I$9,0))),IF(AV249=$D$249,TRUE,FALSE)))</f>
        <v>1</v>
      </c>
      <c r="AG249" s="185" t="b">
        <f t="shared" si="206"/>
        <v>1</v>
      </c>
      <c r="AH249" s="185" t="b">
        <f t="shared" si="207"/>
        <v>1</v>
      </c>
      <c r="AI249" s="185" t="b">
        <f t="shared" si="208"/>
        <v>1</v>
      </c>
      <c r="AJ249" s="185" t="b">
        <f t="shared" si="209"/>
        <v>1</v>
      </c>
      <c r="AK249" s="185" t="b">
        <f t="shared" si="210"/>
        <v>1</v>
      </c>
      <c r="AL249" s="185" t="b">
        <f>IFERROR(IF($D260="",TRUE,IF(MID(BC249,LEN(BC249)-2,1)*1&gt;=MID($D260,LEN($D260)-2,1)*1,TRUE,FALSE)),FALSE)</f>
        <v>1</v>
      </c>
      <c r="AM249" s="185" t="b">
        <f>IF(D259="",TRUE,IF(BB249&gt;=D259,TRUE,FALSE))</f>
        <v>1</v>
      </c>
      <c r="AN249" s="185"/>
      <c r="AO249" s="185"/>
      <c r="AP249" s="185" t="s">
        <v>200</v>
      </c>
      <c r="AQ249" s="185">
        <v>1</v>
      </c>
      <c r="AR249" s="185" t="str">
        <f t="shared" ca="1" si="211"/>
        <v>1920x1080</v>
      </c>
      <c r="AS249" s="185" t="str">
        <f t="shared" ca="1" si="211"/>
        <v>AMD Ryzen 7</v>
      </c>
      <c r="AT249" s="185">
        <f t="shared" ca="1" si="211"/>
        <v>16</v>
      </c>
      <c r="AU249" s="185">
        <f t="shared" ca="1" si="211"/>
        <v>512</v>
      </c>
      <c r="AV249" s="185">
        <f t="shared" ca="1" si="211"/>
        <v>14</v>
      </c>
      <c r="AW249" s="185">
        <f t="shared" ca="1" si="211"/>
        <v>4</v>
      </c>
      <c r="AX249" s="185">
        <f t="shared" ca="1" si="211"/>
        <v>1</v>
      </c>
      <c r="AY249" s="185" t="str">
        <f t="shared" ca="1" si="211"/>
        <v>Ja, HDMI-port finns</v>
      </c>
      <c r="AZ249" s="185" t="str">
        <f t="shared" ca="1" si="211"/>
        <v>802.11a/b/g/n/ac/ax</v>
      </c>
      <c r="BA249" s="185">
        <f t="shared" ca="1" si="211"/>
        <v>5.2</v>
      </c>
      <c r="BB249" s="185">
        <f t="shared" ca="1" si="212"/>
        <v>11</v>
      </c>
      <c r="BC249" s="185" t="str">
        <f t="shared" ca="1" si="212"/>
        <v>Version 8.0</v>
      </c>
      <c r="BD249" s="185" t="str">
        <f t="shared" ca="1" si="212"/>
        <v>Ja</v>
      </c>
      <c r="BE249" s="185" t="str">
        <f t="shared" ca="1" si="212"/>
        <v>Windows 11 Pro</v>
      </c>
      <c r="BF249" s="185" t="str">
        <f t="shared" ca="1" si="212"/>
        <v>HP ProBook 445 G10</v>
      </c>
      <c r="BG249" s="185">
        <f t="shared" ca="1" si="212"/>
        <v>10608</v>
      </c>
      <c r="BH249" s="192">
        <f t="shared" ca="1" si="212"/>
        <v>60</v>
      </c>
      <c r="BI249" s="192">
        <f t="shared" ca="1" si="212"/>
        <v>218</v>
      </c>
      <c r="BJ249" s="192">
        <f t="shared" ca="1" si="212"/>
        <v>251</v>
      </c>
      <c r="BK249" s="192">
        <f t="shared" ca="1" si="212"/>
        <v>1462</v>
      </c>
      <c r="BL249" s="192">
        <f t="shared" ca="1" si="213"/>
        <v>226</v>
      </c>
      <c r="BM249" s="192">
        <f t="shared" ca="1" si="213"/>
        <v>112</v>
      </c>
      <c r="BN249" s="192">
        <f t="shared" ca="1" si="213"/>
        <v>50</v>
      </c>
      <c r="BO249" s="192">
        <f t="shared" ca="1" si="213"/>
        <v>50</v>
      </c>
      <c r="BP249" s="192" t="str">
        <f t="shared" ca="1" si="213"/>
        <v>V7</v>
      </c>
      <c r="BQ249" s="192" t="str">
        <f t="shared" ca="1" si="213"/>
        <v>PORT Designs</v>
      </c>
      <c r="BR249" s="192" t="str">
        <f t="shared" ca="1" si="213"/>
        <v>CoreParts</v>
      </c>
      <c r="BS249" s="192" t="str">
        <f t="shared" ca="1" si="213"/>
        <v>HP</v>
      </c>
      <c r="BT249" s="192" t="str">
        <f t="shared" ca="1" si="213"/>
        <v xml:space="preserve"> CSE14-BLK-3E  -Fodral för bärbar dator - 14" - svart</v>
      </c>
      <c r="BU249" s="192" t="str">
        <f t="shared" ca="1" si="213"/>
        <v>900003 - Professional - filter för personlig integritet - 14"</v>
      </c>
      <c r="BV249" s="192" t="str">
        <f t="shared" ca="1" si="213"/>
        <v>MBXUSBC-AC0005 - USB-C - strömadapter 45 Watt</v>
      </c>
      <c r="BW249" s="192" t="str">
        <f t="shared" ca="1" si="213"/>
        <v>72C71AA#ABB - Essential - dockningsstation</v>
      </c>
      <c r="BX249" s="192"/>
      <c r="BY249" s="192" t="str">
        <f t="shared" ca="1" si="214"/>
        <v>Advania Sverige AB</v>
      </c>
      <c r="BZ249" s="192" t="str">
        <f t="shared" ca="1" si="214"/>
        <v>HP</v>
      </c>
      <c r="CA249" s="185">
        <v>0</v>
      </c>
      <c r="CB249" s="185"/>
      <c r="CC249" s="185">
        <v>32</v>
      </c>
      <c r="CD249" s="185">
        <v>0</v>
      </c>
      <c r="CE249" s="185"/>
      <c r="CF249" s="185">
        <v>2</v>
      </c>
      <c r="CG249" s="185">
        <v>0</v>
      </c>
      <c r="CH249" s="185"/>
      <c r="CI249" s="185">
        <v>0</v>
      </c>
      <c r="CJ249" s="186">
        <v>5</v>
      </c>
      <c r="CK249" s="185">
        <v>0</v>
      </c>
      <c r="CL249" s="185">
        <v>0</v>
      </c>
      <c r="CM249" s="185"/>
      <c r="CN249" s="185">
        <v>0</v>
      </c>
    </row>
    <row r="250" spans="2:92" ht="22.5" customHeight="1" outlineLevel="1" x14ac:dyDescent="0.35">
      <c r="C250" s="61" t="s">
        <v>2</v>
      </c>
      <c r="D250" s="64"/>
      <c r="F250" s="80" t="str">
        <f t="shared" si="215"/>
        <v/>
      </c>
      <c r="G250" s="81" t="str">
        <f t="shared" ca="1" si="216"/>
        <v>1920x1080</v>
      </c>
      <c r="H250" s="81" t="str">
        <f t="shared" ca="1" si="216"/>
        <v>1920x1080</v>
      </c>
      <c r="I250" s="120" t="str">
        <f t="shared" ca="1" si="216"/>
        <v>1920x1080</v>
      </c>
      <c r="J250" s="62"/>
      <c r="K250" s="196">
        <f t="shared" ca="1" si="190"/>
        <v>0</v>
      </c>
      <c r="L250" s="185" t="b">
        <f t="shared" si="191"/>
        <v>1</v>
      </c>
      <c r="M250" s="185" t="s">
        <v>169</v>
      </c>
      <c r="N250" s="185" t="str">
        <f t="shared" ca="1" si="192"/>
        <v>Offererad produktnr. 01Foxway Education AB</v>
      </c>
      <c r="O250" s="196" cm="1">
        <f t="array" aca="1" ref="O250" ca="1">MIN(IF(($BY$247:$BY$270=M250)*($AQ$247:$AQ$270=$O$244),$Z$247:$Z$270))</f>
        <v>8848</v>
      </c>
      <c r="P250" s="197"/>
      <c r="Q250" s="185">
        <f t="shared" si="193"/>
        <v>0</v>
      </c>
      <c r="R250" s="185">
        <f t="shared" si="194"/>
        <v>0</v>
      </c>
      <c r="S250" s="185">
        <f t="shared" si="195"/>
        <v>0</v>
      </c>
      <c r="T250" s="185">
        <f t="shared" si="196"/>
        <v>0</v>
      </c>
      <c r="U250" s="185">
        <f t="shared" si="197"/>
        <v>0</v>
      </c>
      <c r="V250" s="185">
        <f t="shared" si="198"/>
        <v>0</v>
      </c>
      <c r="W250" s="185">
        <f t="shared" si="199"/>
        <v>0</v>
      </c>
      <c r="X250" s="185">
        <f t="shared" si="200"/>
        <v>0</v>
      </c>
      <c r="Y250" s="185">
        <f t="shared" si="201"/>
        <v>0</v>
      </c>
      <c r="Z250" s="196">
        <f t="shared" ca="1" si="202"/>
        <v>11474</v>
      </c>
      <c r="AA250" s="185" t="str">
        <f t="shared" ca="1" si="203"/>
        <v>Offererad produktnr. 04Advania Sverige AB</v>
      </c>
      <c r="AB250" s="185"/>
      <c r="AC250" s="185" t="b">
        <f ca="1">IFERROR(IF(D251="",TRUE,
IF(OR(D251=$CB$12,D251=$CB$13),IF(LEFT(AS250,FIND(" ",AS250)-1)=D251,TRUE,FALSE),
IF(OFFSET(Processor!$AB$1,MATCH($AS250,Processor!$AA$2:$AA$23,0),MATCH(LEFT(D251,FIND(" ",D251)-1),Processor!$AC$1:$AG$1,0))&gt;=
OFFSET(Processor!$AB$1,MATCH(D251,Processor!$AA$2:$AA$23,0),MATCH(LEFT(D251,FIND(" ",D251)-1),Processor!$AC$1:$AG$1,0)),TRUE,FALSE))),FALSE)</f>
        <v>1</v>
      </c>
      <c r="AD250" s="185" t="b">
        <f t="shared" si="204"/>
        <v>1</v>
      </c>
      <c r="AE250" s="185" t="b">
        <f t="shared" si="205"/>
        <v>1</v>
      </c>
      <c r="AF250" s="185" t="b">
        <f>IF($D$249="",TRUE,IF(COUNTIF(Processor!$I$2:$I$9,$D$249)&gt;0,AND(AV250&gt;INDEX(Processor!$J$2:$J$9,MATCH($D$249,Processor!$I$2:$I$9,0)),AV250&lt;INDEX(Processor!$K$2:$K$9,MATCH($D$249,Processor!$I$2:$I$9,0))),IF(AV250=$D$249,TRUE,FALSE)))</f>
        <v>1</v>
      </c>
      <c r="AG250" s="185" t="b">
        <f t="shared" si="206"/>
        <v>1</v>
      </c>
      <c r="AH250" s="185" t="b">
        <f t="shared" si="207"/>
        <v>1</v>
      </c>
      <c r="AI250" s="185" t="b">
        <f t="shared" si="208"/>
        <v>1</v>
      </c>
      <c r="AJ250" s="185" t="b">
        <f t="shared" si="209"/>
        <v>1</v>
      </c>
      <c r="AK250" s="185" t="b">
        <f t="shared" si="210"/>
        <v>1</v>
      </c>
      <c r="AL250" s="185" t="b">
        <f>IFERROR(IF($D260="",TRUE,IF(MID(BC250,LEN(BC250)-2,1)*1&gt;=MID($D260,LEN($D260)-2,1)*1,TRUE,FALSE)),FALSE)</f>
        <v>1</v>
      </c>
      <c r="AM250" s="185" t="b">
        <f>IF(D259="",TRUE,IF(BB250&gt;=D259,TRUE,FALSE))</f>
        <v>1</v>
      </c>
      <c r="AN250" s="185"/>
      <c r="AO250" s="185"/>
      <c r="AP250" s="185" t="s">
        <v>201</v>
      </c>
      <c r="AQ250" s="185">
        <v>1</v>
      </c>
      <c r="AR250" s="185" t="str">
        <f t="shared" ca="1" si="211"/>
        <v>1920x1080</v>
      </c>
      <c r="AS250" s="185" t="str">
        <f t="shared" ca="1" si="211"/>
        <v>Intel i7 Gen 12</v>
      </c>
      <c r="AT250" s="185">
        <f t="shared" ca="1" si="211"/>
        <v>16</v>
      </c>
      <c r="AU250" s="185">
        <f t="shared" ca="1" si="211"/>
        <v>512</v>
      </c>
      <c r="AV250" s="185">
        <f t="shared" ca="1" si="211"/>
        <v>14</v>
      </c>
      <c r="AW250" s="185">
        <f t="shared" ca="1" si="211"/>
        <v>4</v>
      </c>
      <c r="AX250" s="185">
        <f t="shared" ca="1" si="211"/>
        <v>2</v>
      </c>
      <c r="AY250" s="185" t="str">
        <f t="shared" ca="1" si="211"/>
        <v>Ja, HDMI-port finns</v>
      </c>
      <c r="AZ250" s="185" t="str">
        <f t="shared" ca="1" si="211"/>
        <v>802.11a/b/g/n/ac/ax</v>
      </c>
      <c r="BA250" s="185">
        <f t="shared" ca="1" si="211"/>
        <v>5.2</v>
      </c>
      <c r="BB250" s="185">
        <f t="shared" ca="1" si="212"/>
        <v>11</v>
      </c>
      <c r="BC250" s="185" t="str">
        <f t="shared" ca="1" si="212"/>
        <v>Version 8.0</v>
      </c>
      <c r="BD250" s="185" t="str">
        <f t="shared" ca="1" si="212"/>
        <v>Ja</v>
      </c>
      <c r="BE250" s="185" t="str">
        <f t="shared" ca="1" si="212"/>
        <v>Windows 11 Pro</v>
      </c>
      <c r="BF250" s="185" t="str">
        <f t="shared" ca="1" si="212"/>
        <v>ProBook 440 G11</v>
      </c>
      <c r="BG250" s="185">
        <f t="shared" ca="1" si="212"/>
        <v>11474</v>
      </c>
      <c r="BH250" s="192">
        <f t="shared" ca="1" si="212"/>
        <v>60</v>
      </c>
      <c r="BI250" s="192">
        <f t="shared" ca="1" si="212"/>
        <v>218</v>
      </c>
      <c r="BJ250" s="192">
        <f t="shared" ca="1" si="212"/>
        <v>251</v>
      </c>
      <c r="BK250" s="192">
        <f t="shared" ca="1" si="212"/>
        <v>1462</v>
      </c>
      <c r="BL250" s="192">
        <f t="shared" ca="1" si="213"/>
        <v>226</v>
      </c>
      <c r="BM250" s="192">
        <f t="shared" ca="1" si="213"/>
        <v>112</v>
      </c>
      <c r="BN250" s="192">
        <f t="shared" ca="1" si="213"/>
        <v>50</v>
      </c>
      <c r="BO250" s="192">
        <f t="shared" ca="1" si="213"/>
        <v>50</v>
      </c>
      <c r="BP250" s="192" t="str">
        <f t="shared" ca="1" si="213"/>
        <v>V7</v>
      </c>
      <c r="BQ250" s="192" t="str">
        <f t="shared" ca="1" si="213"/>
        <v>DICOTA</v>
      </c>
      <c r="BR250" s="192" t="str">
        <f t="shared" ca="1" si="213"/>
        <v>CoreParts</v>
      </c>
      <c r="BS250" s="192" t="str">
        <f t="shared" ca="1" si="213"/>
        <v>HP</v>
      </c>
      <c r="BT250" s="192" t="str">
        <f t="shared" ca="1" si="213"/>
        <v xml:space="preserve"> CSE14-BLK-3E  -Fodral för bärbar dator - 14" - svart</v>
      </c>
      <c r="BU250" s="192" t="str">
        <f t="shared" ca="1" si="213"/>
        <v>D70513 - Sekretessfilter till bärbar dator - 2-vägs - borttagbar - lim - 14 tum bred - svart</v>
      </c>
      <c r="BV250" s="192" t="str">
        <f t="shared" ca="1" si="213"/>
        <v>MBXUSBC-AC0005 - USB-C - strömadapter 45 Watt</v>
      </c>
      <c r="BW250" s="192" t="str">
        <f t="shared" ca="1" si="213"/>
        <v>72C71AA#ABB - Essential - dockningsstation</v>
      </c>
      <c r="BX250" s="192"/>
      <c r="BY250" s="192" t="str">
        <f t="shared" ca="1" si="214"/>
        <v>Advania Sverige AB</v>
      </c>
      <c r="BZ250" s="192" t="str">
        <f t="shared" ca="1" si="214"/>
        <v>HP</v>
      </c>
      <c r="CA250" s="185"/>
      <c r="CB250" s="185" t="s">
        <v>65</v>
      </c>
      <c r="CC250" s="185">
        <v>0</v>
      </c>
      <c r="CD250" s="185"/>
      <c r="CE250" s="185"/>
      <c r="CF250" s="185">
        <v>0</v>
      </c>
      <c r="CG250" s="185"/>
      <c r="CH250" s="185"/>
      <c r="CI250" s="185"/>
      <c r="CJ250" s="186">
        <v>0</v>
      </c>
      <c r="CK250" s="185"/>
      <c r="CL250" s="185"/>
      <c r="CM250" s="185"/>
      <c r="CN250" s="185"/>
    </row>
    <row r="251" spans="2:92" ht="22.5" customHeight="1" outlineLevel="1" x14ac:dyDescent="0.35">
      <c r="C251" s="61" t="s">
        <v>4</v>
      </c>
      <c r="D251" s="64"/>
      <c r="F251" s="80" t="str">
        <f t="shared" si="215"/>
        <v/>
      </c>
      <c r="G251" s="81" t="str">
        <f t="shared" ca="1" si="216"/>
        <v>AMD Ryzen 5</v>
      </c>
      <c r="H251" s="81" t="str">
        <f t="shared" ca="1" si="216"/>
        <v>AMD Ryzen 5</v>
      </c>
      <c r="I251" s="120" t="str">
        <f t="shared" ca="1" si="216"/>
        <v>AMD Ryzen 7</v>
      </c>
      <c r="J251" s="62"/>
      <c r="K251" s="196">
        <f t="shared" ca="1" si="190"/>
        <v>0</v>
      </c>
      <c r="L251" s="185" t="b">
        <f t="shared" si="191"/>
        <v>1</v>
      </c>
      <c r="M251" s="185" t="s">
        <v>167</v>
      </c>
      <c r="N251" s="185" t="e">
        <f t="shared" ca="1" si="192"/>
        <v>#N/A</v>
      </c>
      <c r="O251" s="196" cm="1">
        <f t="array" aca="1" ref="O251" ca="1">MIN(IF(($BY$247:$BY$270=M251)*($AQ$247:$AQ$270=$O$244),$Z$247:$Z$270))</f>
        <v>0</v>
      </c>
      <c r="P251" s="197"/>
      <c r="Q251" s="185">
        <f t="shared" si="193"/>
        <v>0</v>
      </c>
      <c r="R251" s="185">
        <f t="shared" si="194"/>
        <v>0</v>
      </c>
      <c r="S251" s="185">
        <f t="shared" si="195"/>
        <v>0</v>
      </c>
      <c r="T251" s="185">
        <f t="shared" si="196"/>
        <v>0</v>
      </c>
      <c r="U251" s="185">
        <f t="shared" si="197"/>
        <v>0</v>
      </c>
      <c r="V251" s="185">
        <f t="shared" si="198"/>
        <v>0</v>
      </c>
      <c r="W251" s="185">
        <f t="shared" si="199"/>
        <v>0</v>
      </c>
      <c r="X251" s="185">
        <f t="shared" si="200"/>
        <v>0</v>
      </c>
      <c r="Y251" s="185">
        <f t="shared" si="201"/>
        <v>0</v>
      </c>
      <c r="Z251" s="196">
        <f t="shared" ca="1" si="202"/>
        <v>11724</v>
      </c>
      <c r="AA251" s="185" t="str">
        <f t="shared" ca="1" si="203"/>
        <v>Offererad produktnr. 01Atea Sverige AB</v>
      </c>
      <c r="AB251" s="185"/>
      <c r="AC251" s="185" t="b">
        <f ca="1">IFERROR(IF(D251="",TRUE,
IF(OR(D251=$CB$12,D251=$CB$13),IF(LEFT(AS251,FIND(" ",AS251)-1)=D251,TRUE,FALSE),
IF(OFFSET(Processor!$AB$1,MATCH($AS251,Processor!$AA$2:$AA$23,0),MATCH(LEFT(D251,FIND(" ",D251)-1),Processor!$AC$1:$AG$1,0))&gt;=
OFFSET(Processor!$AB$1,MATCH(D251,Processor!$AA$2:$AA$23,0),MATCH(LEFT(D251,FIND(" ",D251)-1),Processor!$AC$1:$AG$1,0)),TRUE,FALSE))),FALSE)</f>
        <v>1</v>
      </c>
      <c r="AD251" s="185" t="b">
        <f t="shared" si="204"/>
        <v>1</v>
      </c>
      <c r="AE251" s="185" t="b">
        <f t="shared" si="205"/>
        <v>1</v>
      </c>
      <c r="AF251" s="185" t="b">
        <f>IF($D$249="",TRUE,IF(COUNTIF(Processor!$I$2:$I$9,$D$249)&gt;0,AND(AV251&gt;INDEX(Processor!$J$2:$J$9,MATCH($D$249,Processor!$I$2:$I$9,0)),AV251&lt;INDEX(Processor!$K$2:$K$9,MATCH($D$249,Processor!$I$2:$I$9,0))),IF(AV251=$D$249,TRUE,FALSE)))</f>
        <v>1</v>
      </c>
      <c r="AG251" s="185" t="b">
        <f t="shared" si="206"/>
        <v>1</v>
      </c>
      <c r="AH251" s="185" t="b">
        <f t="shared" si="207"/>
        <v>1</v>
      </c>
      <c r="AI251" s="185" t="b">
        <f t="shared" si="208"/>
        <v>1</v>
      </c>
      <c r="AJ251" s="185" t="b">
        <f t="shared" si="209"/>
        <v>1</v>
      </c>
      <c r="AK251" s="185" t="b">
        <f t="shared" si="210"/>
        <v>1</v>
      </c>
      <c r="AL251" s="185" t="b">
        <f>IFERROR(IF($D260="",TRUE,IF(MID(BC251,LEN(BC251)-2,1)*1&gt;=MID($D260,LEN($D260)-2,1)*1,TRUE,FALSE)),FALSE)</f>
        <v>1</v>
      </c>
      <c r="AM251" s="185" t="b">
        <f>IF(D259="",TRUE,IF(BB251&gt;=D259,TRUE,FALSE))</f>
        <v>1</v>
      </c>
      <c r="AN251" s="185"/>
      <c r="AO251" s="185"/>
      <c r="AP251" s="185" t="s">
        <v>186</v>
      </c>
      <c r="AQ251" s="185">
        <v>1</v>
      </c>
      <c r="AR251" s="185" t="str">
        <f t="shared" ca="1" si="211"/>
        <v>1920x1080</v>
      </c>
      <c r="AS251" s="185" t="str">
        <f t="shared" ca="1" si="211"/>
        <v>Intel i5 Gen 13</v>
      </c>
      <c r="AT251" s="185">
        <f t="shared" ca="1" si="211"/>
        <v>16</v>
      </c>
      <c r="AU251" s="185">
        <f t="shared" ca="1" si="211"/>
        <v>256</v>
      </c>
      <c r="AV251" s="185">
        <f t="shared" ca="1" si="211"/>
        <v>14</v>
      </c>
      <c r="AW251" s="185">
        <f t="shared" ca="1" si="211"/>
        <v>4</v>
      </c>
      <c r="AX251" s="185">
        <f t="shared" ca="1" si="211"/>
        <v>2</v>
      </c>
      <c r="AY251" s="185" t="str">
        <f t="shared" ca="1" si="211"/>
        <v>Ja, HDMI-port finns</v>
      </c>
      <c r="AZ251" s="185" t="str">
        <f t="shared" ca="1" si="211"/>
        <v>802.11a/b/g/n/ac/ax</v>
      </c>
      <c r="BA251" s="185">
        <f t="shared" ca="1" si="211"/>
        <v>5.2</v>
      </c>
      <c r="BB251" s="185">
        <f t="shared" ca="1" si="212"/>
        <v>8</v>
      </c>
      <c r="BC251" s="185" t="str">
        <f t="shared" ca="1" si="212"/>
        <v>Version 8.0</v>
      </c>
      <c r="BD251" s="185" t="str">
        <f t="shared" ca="1" si="212"/>
        <v>Ja</v>
      </c>
      <c r="BE251" s="185" t="str">
        <f t="shared" ca="1" si="212"/>
        <v>Windows 11 Pro</v>
      </c>
      <c r="BF251" s="185" t="str">
        <f t="shared" ca="1" si="212"/>
        <v>Elitebook 640 G10</v>
      </c>
      <c r="BG251" s="185">
        <f t="shared" ca="1" si="212"/>
        <v>11724</v>
      </c>
      <c r="BH251" s="192">
        <f t="shared" ca="1" si="212"/>
        <v>134</v>
      </c>
      <c r="BI251" s="192">
        <f t="shared" ca="1" si="212"/>
        <v>449</v>
      </c>
      <c r="BJ251" s="192">
        <f t="shared" ca="1" si="212"/>
        <v>241</v>
      </c>
      <c r="BK251" s="192">
        <f t="shared" ca="1" si="212"/>
        <v>1788</v>
      </c>
      <c r="BL251" s="192">
        <f t="shared" ca="1" si="213"/>
        <v>706</v>
      </c>
      <c r="BM251" s="192">
        <f t="shared" ca="1" si="213"/>
        <v>120</v>
      </c>
      <c r="BN251" s="192">
        <f t="shared" ca="1" si="213"/>
        <v>85</v>
      </c>
      <c r="BO251" s="192">
        <f t="shared" ca="1" si="213"/>
        <v>100</v>
      </c>
      <c r="BP251" s="192" t="str">
        <f t="shared" ca="1" si="213"/>
        <v>DELTACO</v>
      </c>
      <c r="BQ251" s="192" t="str">
        <f t="shared" ca="1" si="213"/>
        <v>Targus</v>
      </c>
      <c r="BR251" s="192" t="str">
        <f t="shared" ca="1" si="213"/>
        <v>HP</v>
      </c>
      <c r="BS251" s="192" t="str">
        <f t="shared" ca="1" si="213"/>
        <v>HP</v>
      </c>
      <c r="BT251" s="192" t="str">
        <f t="shared" ca="1" si="213"/>
        <v>Fodral för bärbar dator</v>
      </c>
      <c r="BU251" s="192" t="str">
        <f t="shared" ca="1" si="213"/>
        <v>Targus Privacy Screen 14" Widescreen</v>
      </c>
      <c r="BV251" s="192" t="str">
        <f t="shared" ca="1" si="213"/>
        <v>HP 65W Smart AC Adapter</v>
      </c>
      <c r="BW251" s="192" t="str">
        <f t="shared" ca="1" si="213"/>
        <v>HP USB-C Dock G5 Essential</v>
      </c>
      <c r="BX251" s="192"/>
      <c r="BY251" s="192" t="str">
        <f t="shared" ca="1" si="214"/>
        <v>Atea Sverige AB</v>
      </c>
      <c r="BZ251" s="192" t="str">
        <f t="shared" ca="1" si="214"/>
        <v>HP</v>
      </c>
      <c r="CA251" s="185"/>
      <c r="CB251" s="185" t="s">
        <v>66</v>
      </c>
      <c r="CC251" s="185"/>
      <c r="CD251" s="185"/>
      <c r="CE251" s="185"/>
      <c r="CF251" s="185"/>
      <c r="CG251" s="185"/>
      <c r="CH251" s="185"/>
      <c r="CI251" s="185"/>
      <c r="CJ251" s="185"/>
      <c r="CK251" s="185"/>
      <c r="CL251" s="185"/>
      <c r="CM251" s="185"/>
      <c r="CN251" s="185"/>
    </row>
    <row r="252" spans="2:92" ht="22.5" customHeight="1" outlineLevel="1" x14ac:dyDescent="0.35">
      <c r="C252" s="61" t="s">
        <v>119</v>
      </c>
      <c r="D252" s="64"/>
      <c r="F252" s="80" t="str">
        <f t="shared" si="215"/>
        <v/>
      </c>
      <c r="G252" s="81">
        <f t="shared" ca="1" si="216"/>
        <v>8</v>
      </c>
      <c r="H252" s="81">
        <f t="shared" ca="1" si="216"/>
        <v>8</v>
      </c>
      <c r="I252" s="120">
        <f t="shared" ca="1" si="216"/>
        <v>16</v>
      </c>
      <c r="J252" s="62"/>
      <c r="K252" s="196">
        <f t="shared" ca="1" si="190"/>
        <v>0</v>
      </c>
      <c r="L252" s="185" t="b">
        <f t="shared" si="191"/>
        <v>1</v>
      </c>
      <c r="M252" s="185" t="s">
        <v>546</v>
      </c>
      <c r="N252" s="185" t="str">
        <f t="shared" ca="1" si="192"/>
        <v>Offererad produktnr. 01Qlosr Göteborg AB</v>
      </c>
      <c r="O252" s="196" cm="1">
        <f t="array" aca="1" ref="O252" ca="1">MIN(IF(($BY$247:$BY$270=M252)*($AQ$247:$AQ$270=$O$244),$Z$247:$Z$270))</f>
        <v>6420</v>
      </c>
      <c r="P252" s="197"/>
      <c r="Q252" s="185">
        <f t="shared" si="193"/>
        <v>0</v>
      </c>
      <c r="R252" s="185">
        <f t="shared" si="194"/>
        <v>0</v>
      </c>
      <c r="S252" s="185">
        <f t="shared" si="195"/>
        <v>0</v>
      </c>
      <c r="T252" s="185">
        <f t="shared" si="196"/>
        <v>0</v>
      </c>
      <c r="U252" s="185">
        <f t="shared" si="197"/>
        <v>0</v>
      </c>
      <c r="V252" s="185">
        <f t="shared" si="198"/>
        <v>0</v>
      </c>
      <c r="W252" s="185">
        <f t="shared" si="199"/>
        <v>0</v>
      </c>
      <c r="X252" s="185">
        <f t="shared" si="200"/>
        <v>0</v>
      </c>
      <c r="Y252" s="185">
        <f t="shared" si="201"/>
        <v>0</v>
      </c>
      <c r="Z252" s="196">
        <f t="shared" ca="1" si="202"/>
        <v>14238</v>
      </c>
      <c r="AA252" s="185" t="str">
        <f t="shared" ca="1" si="203"/>
        <v>Offererad produktnr. 02Atea Sverige AB</v>
      </c>
      <c r="AB252" s="185"/>
      <c r="AC252" s="185" t="b">
        <f ca="1">IFERROR(IF(D251="",TRUE,
IF(OR(D251=$CB$12,D251=$CB$13),IF(LEFT(AS252,FIND(" ",AS252)-1)=D251,TRUE,FALSE),
IF(OFFSET(Processor!$AB$1,MATCH($AS252,Processor!$AA$2:$AA$23,0),MATCH(LEFT(D251,FIND(" ",D251)-1),Processor!$AC$1:$AG$1,0))&gt;=
OFFSET(Processor!$AB$1,MATCH(D251,Processor!$AA$2:$AA$23,0),MATCH(LEFT(D251,FIND(" ",D251)-1),Processor!$AC$1:$AG$1,0)),TRUE,FALSE))),FALSE)</f>
        <v>1</v>
      </c>
      <c r="AD252" s="185" t="b">
        <f t="shared" si="204"/>
        <v>1</v>
      </c>
      <c r="AE252" s="185" t="b">
        <f t="shared" si="205"/>
        <v>1</v>
      </c>
      <c r="AF252" s="185" t="b">
        <f>IF($D$249="",TRUE,IF(COUNTIF(Processor!$I$2:$I$9,$D$249)&gt;0,AND(AV252&gt;INDEX(Processor!$J$2:$J$9,MATCH($D$249,Processor!$I$2:$I$9,0)),AV252&lt;INDEX(Processor!$K$2:$K$9,MATCH($D$249,Processor!$I$2:$I$9,0))),IF(AV252=$D$249,TRUE,FALSE)))</f>
        <v>1</v>
      </c>
      <c r="AG252" s="185" t="b">
        <f t="shared" si="206"/>
        <v>1</v>
      </c>
      <c r="AH252" s="185" t="b">
        <f t="shared" si="207"/>
        <v>1</v>
      </c>
      <c r="AI252" s="185" t="b">
        <f t="shared" si="208"/>
        <v>1</v>
      </c>
      <c r="AJ252" s="185" t="b">
        <f t="shared" si="209"/>
        <v>1</v>
      </c>
      <c r="AK252" s="185" t="b">
        <f t="shared" si="210"/>
        <v>1</v>
      </c>
      <c r="AL252" s="185" t="b">
        <f>IFERROR(IF($D260="",TRUE,IF(MID(BC252,LEN(BC252)-2,1)*1&gt;=MID($D260,LEN($D260)-2,1)*1,TRUE,FALSE)),FALSE)</f>
        <v>1</v>
      </c>
      <c r="AM252" s="185" t="b">
        <f>IF(D259="",TRUE,IF(BB252&gt;=D259,TRUE,FALSE))</f>
        <v>1</v>
      </c>
      <c r="AN252" s="185"/>
      <c r="AO252" s="185"/>
      <c r="AP252" s="185" t="s">
        <v>187</v>
      </c>
      <c r="AQ252" s="185">
        <v>1</v>
      </c>
      <c r="AR252" s="185" t="str">
        <f t="shared" ca="1" si="211"/>
        <v>1920x1200</v>
      </c>
      <c r="AS252" s="185" t="str">
        <f t="shared" ca="1" si="211"/>
        <v>Intel i5 Gen 13</v>
      </c>
      <c r="AT252" s="185">
        <f t="shared" ca="1" si="211"/>
        <v>16</v>
      </c>
      <c r="AU252" s="185">
        <f t="shared" ca="1" si="211"/>
        <v>256</v>
      </c>
      <c r="AV252" s="185">
        <f t="shared" ca="1" si="211"/>
        <v>14</v>
      </c>
      <c r="AW252" s="185">
        <f t="shared" ca="1" si="211"/>
        <v>4</v>
      </c>
      <c r="AX252" s="185">
        <f t="shared" ca="1" si="211"/>
        <v>2</v>
      </c>
      <c r="AY252" s="185" t="str">
        <f t="shared" ca="1" si="211"/>
        <v>Ja, HDMI-port finns</v>
      </c>
      <c r="AZ252" s="185" t="str">
        <f t="shared" ca="1" si="211"/>
        <v>802.11a/b/g/n/ac/ax</v>
      </c>
      <c r="BA252" s="185">
        <f t="shared" ca="1" si="211"/>
        <v>5.3</v>
      </c>
      <c r="BB252" s="185">
        <f t="shared" ca="1" si="212"/>
        <v>8</v>
      </c>
      <c r="BC252" s="185" t="str">
        <f t="shared" ca="1" si="212"/>
        <v>Version 8.0</v>
      </c>
      <c r="BD252" s="185" t="str">
        <f t="shared" ca="1" si="212"/>
        <v>Ja</v>
      </c>
      <c r="BE252" s="185" t="str">
        <f t="shared" ca="1" si="212"/>
        <v>Windows 11 Pro</v>
      </c>
      <c r="BF252" s="185" t="str">
        <f t="shared" ca="1" si="212"/>
        <v>Elitebook 840 G10</v>
      </c>
      <c r="BG252" s="185">
        <f t="shared" ca="1" si="212"/>
        <v>14238</v>
      </c>
      <c r="BH252" s="192">
        <f t="shared" ca="1" si="212"/>
        <v>134</v>
      </c>
      <c r="BI252" s="192">
        <f t="shared" ca="1" si="212"/>
        <v>449</v>
      </c>
      <c r="BJ252" s="192">
        <f t="shared" ca="1" si="212"/>
        <v>241</v>
      </c>
      <c r="BK252" s="192">
        <f t="shared" ca="1" si="212"/>
        <v>1788</v>
      </c>
      <c r="BL252" s="192">
        <f t="shared" ca="1" si="213"/>
        <v>2039</v>
      </c>
      <c r="BM252" s="192">
        <f t="shared" ca="1" si="213"/>
        <v>120</v>
      </c>
      <c r="BN252" s="192">
        <f t="shared" ca="1" si="213"/>
        <v>85</v>
      </c>
      <c r="BO252" s="192">
        <f t="shared" ca="1" si="213"/>
        <v>100</v>
      </c>
      <c r="BP252" s="192" t="str">
        <f t="shared" ca="1" si="213"/>
        <v>DELTACO</v>
      </c>
      <c r="BQ252" s="192" t="str">
        <f t="shared" ca="1" si="213"/>
        <v>Targus</v>
      </c>
      <c r="BR252" s="192" t="str">
        <f t="shared" ca="1" si="213"/>
        <v>HP</v>
      </c>
      <c r="BS252" s="192" t="str">
        <f t="shared" ca="1" si="213"/>
        <v>HP</v>
      </c>
      <c r="BT252" s="192" t="str">
        <f t="shared" ca="1" si="213"/>
        <v>Fodral för bärbar dator</v>
      </c>
      <c r="BU252" s="192" t="str">
        <f t="shared" ca="1" si="213"/>
        <v>Targus Privacy Screen 14" Widescreen</v>
      </c>
      <c r="BV252" s="192" t="str">
        <f t="shared" ca="1" si="213"/>
        <v>HP 65W Smart AC Adapter</v>
      </c>
      <c r="BW252" s="192" t="str">
        <f t="shared" ca="1" si="213"/>
        <v>HP USB-C Dock G5 Essential</v>
      </c>
      <c r="BX252" s="192"/>
      <c r="BY252" s="192" t="str">
        <f t="shared" ca="1" si="214"/>
        <v>Atea Sverige AB</v>
      </c>
      <c r="BZ252" s="192" t="str">
        <f t="shared" ca="1" si="214"/>
        <v>HP</v>
      </c>
      <c r="CA252" s="185"/>
      <c r="CB252" s="185" t="s">
        <v>63</v>
      </c>
      <c r="CC252" s="185"/>
      <c r="CD252" s="185"/>
      <c r="CE252" s="185"/>
      <c r="CF252" s="185"/>
      <c r="CG252" s="185"/>
      <c r="CH252" s="185"/>
      <c r="CI252" s="185"/>
      <c r="CJ252" s="186"/>
      <c r="CK252" s="185"/>
      <c r="CL252" s="185"/>
      <c r="CM252" s="185"/>
      <c r="CN252" s="185"/>
    </row>
    <row r="253" spans="2:92" ht="22.5" customHeight="1" outlineLevel="1" x14ac:dyDescent="0.35">
      <c r="C253" s="61" t="s">
        <v>16</v>
      </c>
      <c r="D253" s="64"/>
      <c r="F253" s="80" t="str">
        <f t="shared" si="215"/>
        <v/>
      </c>
      <c r="G253" s="81">
        <f t="shared" ca="1" si="216"/>
        <v>256</v>
      </c>
      <c r="H253" s="81">
        <f t="shared" ca="1" si="216"/>
        <v>256</v>
      </c>
      <c r="I253" s="120">
        <f t="shared" ca="1" si="216"/>
        <v>512</v>
      </c>
      <c r="J253" s="62"/>
      <c r="Q253" s="185">
        <f t="shared" si="193"/>
        <v>0</v>
      </c>
      <c r="R253" s="185">
        <f t="shared" si="194"/>
        <v>0</v>
      </c>
      <c r="S253" s="185">
        <f t="shared" si="195"/>
        <v>0</v>
      </c>
      <c r="T253" s="185">
        <f t="shared" si="196"/>
        <v>0</v>
      </c>
      <c r="U253" s="185">
        <f t="shared" si="197"/>
        <v>0</v>
      </c>
      <c r="V253" s="185">
        <f t="shared" si="198"/>
        <v>0</v>
      </c>
      <c r="W253" s="185">
        <f t="shared" si="199"/>
        <v>0</v>
      </c>
      <c r="X253" s="185">
        <f t="shared" si="200"/>
        <v>0</v>
      </c>
      <c r="Y253" s="185">
        <f t="shared" si="201"/>
        <v>0</v>
      </c>
      <c r="Z253" s="196">
        <f t="shared" ca="1" si="202"/>
        <v>13908</v>
      </c>
      <c r="AA253" s="185" t="str">
        <f t="shared" ca="1" si="203"/>
        <v>Offererad produktnr. 03Atea Sverige AB</v>
      </c>
      <c r="AB253" s="185"/>
      <c r="AC253" s="185" t="b">
        <f ca="1">IFERROR(IF(D251="",TRUE,
IF(OR(D251=$CB$12,D251=$CB$13),IF(LEFT(AS253,FIND(" ",AS253)-1)=D251,TRUE,FALSE),
IF(OFFSET(Processor!$AB$1,MATCH($AS253,Processor!$AA$2:$AA$23,0),MATCH(LEFT(D251,FIND(" ",D251)-1),Processor!$AC$1:$AG$1,0))&gt;=
OFFSET(Processor!$AB$1,MATCH(D251,Processor!$AA$2:$AA$23,0),MATCH(LEFT(D251,FIND(" ",D251)-1),Processor!$AC$1:$AG$1,0)),TRUE,FALSE))),FALSE)</f>
        <v>1</v>
      </c>
      <c r="AD253" s="185" t="b">
        <f t="shared" si="204"/>
        <v>1</v>
      </c>
      <c r="AE253" s="185" t="b">
        <f t="shared" si="205"/>
        <v>1</v>
      </c>
      <c r="AF253" s="185" t="b">
        <f>IF($D$249="",TRUE,IF(COUNTIF(Processor!$I$2:$I$9,$D$249)&gt;0,AND(AV253&gt;INDEX(Processor!$J$2:$J$9,MATCH($D$249,Processor!$I$2:$I$9,0)),AV253&lt;INDEX(Processor!$K$2:$K$9,MATCH($D$249,Processor!$I$2:$I$9,0))),IF(AV253=$D$249,TRUE,FALSE)))</f>
        <v>1</v>
      </c>
      <c r="AG253" s="185" t="b">
        <f t="shared" si="206"/>
        <v>1</v>
      </c>
      <c r="AH253" s="185" t="b">
        <f t="shared" si="207"/>
        <v>1</v>
      </c>
      <c r="AI253" s="185" t="b">
        <f t="shared" si="208"/>
        <v>1</v>
      </c>
      <c r="AJ253" s="185" t="b">
        <f t="shared" si="209"/>
        <v>1</v>
      </c>
      <c r="AK253" s="185" t="b">
        <f t="shared" si="210"/>
        <v>1</v>
      </c>
      <c r="AL253" s="185" t="b">
        <f>IFERROR(IF($D260="",TRUE,IF(MID(BC253,LEN(BC253)-2,1)*1&gt;=MID($D260,LEN($D260)-2,1)*1,TRUE,FALSE)),FALSE)</f>
        <v>1</v>
      </c>
      <c r="AM253" s="185" t="b">
        <f>IF(D259="",TRUE,IF(BB253&gt;=D259,TRUE,FALSE))</f>
        <v>1</v>
      </c>
      <c r="AN253" s="185"/>
      <c r="AO253" s="185"/>
      <c r="AP253" s="185" t="s">
        <v>188</v>
      </c>
      <c r="AQ253" s="185">
        <v>1</v>
      </c>
      <c r="AR253" s="185" t="str">
        <f t="shared" ca="1" si="211"/>
        <v>1920x1080</v>
      </c>
      <c r="AS253" s="185" t="str">
        <f t="shared" ca="1" si="211"/>
        <v>Intel i7 Gen 13</v>
      </c>
      <c r="AT253" s="185">
        <f t="shared" ca="1" si="211"/>
        <v>16</v>
      </c>
      <c r="AU253" s="185">
        <f t="shared" ca="1" si="211"/>
        <v>512</v>
      </c>
      <c r="AV253" s="185">
        <f t="shared" ca="1" si="211"/>
        <v>14</v>
      </c>
      <c r="AW253" s="185">
        <f t="shared" ca="1" si="211"/>
        <v>4</v>
      </c>
      <c r="AX253" s="185">
        <f t="shared" ca="1" si="211"/>
        <v>2</v>
      </c>
      <c r="AY253" s="185" t="str">
        <f t="shared" ca="1" si="211"/>
        <v>Ja, HDMI-port finns</v>
      </c>
      <c r="AZ253" s="185" t="str">
        <f t="shared" ca="1" si="211"/>
        <v>802.11a/b/g/n/ac/ax</v>
      </c>
      <c r="BA253" s="185">
        <f t="shared" ca="1" si="211"/>
        <v>5.3</v>
      </c>
      <c r="BB253" s="185">
        <f t="shared" ca="1" si="212"/>
        <v>8</v>
      </c>
      <c r="BC253" s="185" t="str">
        <f t="shared" ca="1" si="212"/>
        <v>Version 8.0</v>
      </c>
      <c r="BD253" s="185" t="str">
        <f t="shared" ca="1" si="212"/>
        <v>Ja</v>
      </c>
      <c r="BE253" s="185" t="str">
        <f t="shared" ca="1" si="212"/>
        <v>Windows 11 Pro</v>
      </c>
      <c r="BF253" s="185" t="str">
        <f t="shared" ca="1" si="212"/>
        <v>Probook 440 G10</v>
      </c>
      <c r="BG253" s="185">
        <f t="shared" ca="1" si="212"/>
        <v>13908</v>
      </c>
      <c r="BH253" s="192">
        <f t="shared" ca="1" si="212"/>
        <v>134</v>
      </c>
      <c r="BI253" s="192">
        <f t="shared" ca="1" si="212"/>
        <v>449</v>
      </c>
      <c r="BJ253" s="192">
        <f t="shared" ca="1" si="212"/>
        <v>241</v>
      </c>
      <c r="BK253" s="192">
        <f t="shared" ca="1" si="212"/>
        <v>1788</v>
      </c>
      <c r="BL253" s="192">
        <f t="shared" ca="1" si="213"/>
        <v>706</v>
      </c>
      <c r="BM253" s="192">
        <f t="shared" ca="1" si="213"/>
        <v>120</v>
      </c>
      <c r="BN253" s="192">
        <f t="shared" ca="1" si="213"/>
        <v>85</v>
      </c>
      <c r="BO253" s="192">
        <f t="shared" ca="1" si="213"/>
        <v>100</v>
      </c>
      <c r="BP253" s="192" t="str">
        <f t="shared" ca="1" si="213"/>
        <v>DELTACO</v>
      </c>
      <c r="BQ253" s="192" t="str">
        <f t="shared" ca="1" si="213"/>
        <v>Targus</v>
      </c>
      <c r="BR253" s="192" t="str">
        <f t="shared" ca="1" si="213"/>
        <v>HP</v>
      </c>
      <c r="BS253" s="192" t="str">
        <f t="shared" ca="1" si="213"/>
        <v>HP</v>
      </c>
      <c r="BT253" s="192" t="str">
        <f t="shared" ca="1" si="213"/>
        <v>Fodral för bärbar dator</v>
      </c>
      <c r="BU253" s="192" t="str">
        <f t="shared" ca="1" si="213"/>
        <v>Targus Privacy Screen 14" Widescreen</v>
      </c>
      <c r="BV253" s="192" t="str">
        <f t="shared" ca="1" si="213"/>
        <v>HP 65W Smart AC Adapter</v>
      </c>
      <c r="BW253" s="192" t="str">
        <f t="shared" ca="1" si="213"/>
        <v>HP USB-C Dock G5 Essential</v>
      </c>
      <c r="BX253" s="192"/>
      <c r="BY253" s="192" t="str">
        <f t="shared" ca="1" si="214"/>
        <v>Atea Sverige AB</v>
      </c>
      <c r="BZ253" s="192" t="str">
        <f t="shared" ca="1" si="214"/>
        <v>HP</v>
      </c>
      <c r="CA253" s="185"/>
      <c r="CB253" s="185" t="s">
        <v>569</v>
      </c>
      <c r="CC253" s="185"/>
      <c r="CD253" s="185"/>
      <c r="CE253" s="185"/>
      <c r="CF253" s="185"/>
      <c r="CG253" s="185"/>
      <c r="CH253" s="185"/>
      <c r="CI253" s="185"/>
      <c r="CJ253" s="185"/>
      <c r="CK253" s="185"/>
      <c r="CL253" s="185"/>
      <c r="CM253" s="185"/>
      <c r="CN253" s="185"/>
    </row>
    <row r="254" spans="2:92" ht="22.5" customHeight="1" outlineLevel="1" x14ac:dyDescent="0.35">
      <c r="C254" s="61" t="s">
        <v>67</v>
      </c>
      <c r="D254" s="64"/>
      <c r="F254" s="80" t="str">
        <f t="shared" si="215"/>
        <v/>
      </c>
      <c r="G254" s="81">
        <f t="shared" ca="1" si="216"/>
        <v>4</v>
      </c>
      <c r="H254" s="81">
        <f t="shared" ca="1" si="216"/>
        <v>3</v>
      </c>
      <c r="I254" s="120">
        <f t="shared" ca="1" si="216"/>
        <v>4</v>
      </c>
      <c r="J254" s="62"/>
      <c r="Q254" s="185">
        <f t="shared" si="193"/>
        <v>0</v>
      </c>
      <c r="R254" s="185">
        <f t="shared" si="194"/>
        <v>0</v>
      </c>
      <c r="S254" s="185">
        <f t="shared" si="195"/>
        <v>0</v>
      </c>
      <c r="T254" s="185">
        <f t="shared" si="196"/>
        <v>0</v>
      </c>
      <c r="U254" s="185">
        <f t="shared" si="197"/>
        <v>0</v>
      </c>
      <c r="V254" s="185">
        <f t="shared" si="198"/>
        <v>0</v>
      </c>
      <c r="W254" s="185">
        <f t="shared" si="199"/>
        <v>0</v>
      </c>
      <c r="X254" s="185">
        <f t="shared" si="200"/>
        <v>0</v>
      </c>
      <c r="Y254" s="185">
        <f t="shared" si="201"/>
        <v>0</v>
      </c>
      <c r="Z254" s="196">
        <f t="shared" ca="1" si="202"/>
        <v>15588</v>
      </c>
      <c r="AA254" s="185" t="str">
        <f t="shared" ca="1" si="203"/>
        <v>Offererad produktnr. 04Atea Sverige AB</v>
      </c>
      <c r="AB254" s="185"/>
      <c r="AC254" s="185" t="b">
        <f ca="1">IFERROR(IF(D251="",TRUE,
IF(OR(D251=$CB$12,D251=$CB$13),IF(LEFT(AS254,FIND(" ",AS254)-1)=D251,TRUE,FALSE),
IF(OFFSET(Processor!$AB$1,MATCH($AS254,Processor!$AA$2:$AA$23,0),MATCH(LEFT(D251,FIND(" ",D251)-1),Processor!$AC$1:$AG$1,0))&gt;=
OFFSET(Processor!$AB$1,MATCH(D251,Processor!$AA$2:$AA$23,0),MATCH(LEFT(D251,FIND(" ",D251)-1),Processor!$AC$1:$AG$1,0)),TRUE,FALSE))),FALSE)</f>
        <v>1</v>
      </c>
      <c r="AD254" s="185" t="b">
        <f t="shared" si="204"/>
        <v>1</v>
      </c>
      <c r="AE254" s="185" t="b">
        <f t="shared" si="205"/>
        <v>1</v>
      </c>
      <c r="AF254" s="185" t="b">
        <f>IF($D$249="",TRUE,IF(COUNTIF(Processor!$I$2:$I$9,$D$249)&gt;0,AND(AV254&gt;INDEX(Processor!$J$2:$J$9,MATCH($D$249,Processor!$I$2:$I$9,0)),AV254&lt;INDEX(Processor!$K$2:$K$9,MATCH($D$249,Processor!$I$2:$I$9,0))),IF(AV254=$D$249,TRUE,FALSE)))</f>
        <v>1</v>
      </c>
      <c r="AG254" s="185" t="b">
        <f t="shared" si="206"/>
        <v>1</v>
      </c>
      <c r="AH254" s="185" t="b">
        <f t="shared" si="207"/>
        <v>1</v>
      </c>
      <c r="AI254" s="185" t="b">
        <f t="shared" si="208"/>
        <v>1</v>
      </c>
      <c r="AJ254" s="185" t="b">
        <f t="shared" si="209"/>
        <v>1</v>
      </c>
      <c r="AK254" s="185" t="b">
        <f t="shared" si="210"/>
        <v>1</v>
      </c>
      <c r="AL254" s="185" t="b">
        <f>IFERROR(IF($D260="",TRUE,IF(MID(BC254,LEN(BC254)-2,1)*1&gt;=MID($D260,LEN($D260)-2,1)*1,TRUE,FALSE)),FALSE)</f>
        <v>1</v>
      </c>
      <c r="AM254" s="185" t="b">
        <f>IF(D259="",TRUE,IF(BB254&gt;=D259,TRUE,FALSE))</f>
        <v>1</v>
      </c>
      <c r="AN254" s="185"/>
      <c r="AO254" s="185"/>
      <c r="AP254" s="185" t="s">
        <v>189</v>
      </c>
      <c r="AQ254" s="185">
        <v>1</v>
      </c>
      <c r="AR254" s="185" t="str">
        <f t="shared" ca="1" si="211"/>
        <v>1920x1080</v>
      </c>
      <c r="AS254" s="185" t="str">
        <f t="shared" ca="1" si="211"/>
        <v>Intel i7 Gen 13</v>
      </c>
      <c r="AT254" s="185">
        <f t="shared" ca="1" si="211"/>
        <v>16</v>
      </c>
      <c r="AU254" s="185">
        <f t="shared" ca="1" si="211"/>
        <v>512</v>
      </c>
      <c r="AV254" s="185">
        <f t="shared" ca="1" si="211"/>
        <v>14</v>
      </c>
      <c r="AW254" s="185">
        <f t="shared" ca="1" si="211"/>
        <v>4</v>
      </c>
      <c r="AX254" s="185">
        <f t="shared" ca="1" si="211"/>
        <v>2</v>
      </c>
      <c r="AY254" s="185" t="str">
        <f t="shared" ca="1" si="211"/>
        <v>Ja, HDMI-port finns</v>
      </c>
      <c r="AZ254" s="185" t="str">
        <f t="shared" ca="1" si="211"/>
        <v>802.11a/b/g/n/ac/ax</v>
      </c>
      <c r="BA254" s="185">
        <f t="shared" ca="1" si="211"/>
        <v>5.2</v>
      </c>
      <c r="BB254" s="185">
        <f t="shared" ca="1" si="212"/>
        <v>8</v>
      </c>
      <c r="BC254" s="185" t="str">
        <f t="shared" ca="1" si="212"/>
        <v>Version 8.0</v>
      </c>
      <c r="BD254" s="185" t="str">
        <f t="shared" ca="1" si="212"/>
        <v>Ja</v>
      </c>
      <c r="BE254" s="185" t="str">
        <f t="shared" ca="1" si="212"/>
        <v>Windows 11 Pro</v>
      </c>
      <c r="BF254" s="185" t="str">
        <f t="shared" ca="1" si="212"/>
        <v>Elitebook 640 G10</v>
      </c>
      <c r="BG254" s="185">
        <f t="shared" ca="1" si="212"/>
        <v>15588</v>
      </c>
      <c r="BH254" s="192">
        <f t="shared" ca="1" si="212"/>
        <v>134</v>
      </c>
      <c r="BI254" s="192">
        <f t="shared" ca="1" si="212"/>
        <v>449</v>
      </c>
      <c r="BJ254" s="192">
        <f t="shared" ca="1" si="212"/>
        <v>241</v>
      </c>
      <c r="BK254" s="192">
        <f t="shared" ca="1" si="212"/>
        <v>1788</v>
      </c>
      <c r="BL254" s="192">
        <f t="shared" ca="1" si="213"/>
        <v>2039</v>
      </c>
      <c r="BM254" s="192">
        <f t="shared" ca="1" si="213"/>
        <v>120</v>
      </c>
      <c r="BN254" s="192">
        <f t="shared" ca="1" si="213"/>
        <v>85</v>
      </c>
      <c r="BO254" s="192">
        <f t="shared" ca="1" si="213"/>
        <v>100</v>
      </c>
      <c r="BP254" s="192" t="str">
        <f t="shared" ca="1" si="213"/>
        <v>DELTACO</v>
      </c>
      <c r="BQ254" s="192" t="str">
        <f t="shared" ca="1" si="213"/>
        <v>Targus</v>
      </c>
      <c r="BR254" s="192" t="str">
        <f t="shared" ca="1" si="213"/>
        <v>HP</v>
      </c>
      <c r="BS254" s="192" t="str">
        <f t="shared" ca="1" si="213"/>
        <v>HP</v>
      </c>
      <c r="BT254" s="192" t="str">
        <f t="shared" ca="1" si="213"/>
        <v>Fodral för bärbar dator</v>
      </c>
      <c r="BU254" s="192" t="str">
        <f t="shared" ca="1" si="213"/>
        <v>Targus Privacy Screen 14" Widescreen</v>
      </c>
      <c r="BV254" s="192" t="str">
        <f t="shared" ca="1" si="213"/>
        <v>HP 65W Smart AC Adapter</v>
      </c>
      <c r="BW254" s="192" t="str">
        <f t="shared" ca="1" si="213"/>
        <v>HP USB-C Dock G5 Essential</v>
      </c>
      <c r="BX254" s="192"/>
      <c r="BY254" s="192" t="str">
        <f t="shared" ca="1" si="214"/>
        <v>Atea Sverige AB</v>
      </c>
      <c r="BZ254" s="192" t="str">
        <f t="shared" ca="1" si="214"/>
        <v>HP</v>
      </c>
      <c r="CA254" s="185"/>
      <c r="CB254" s="185" t="s">
        <v>711</v>
      </c>
      <c r="CC254" s="185"/>
      <c r="CD254" s="185"/>
      <c r="CE254" s="185"/>
      <c r="CF254" s="185"/>
      <c r="CG254" s="185"/>
      <c r="CH254" s="185"/>
      <c r="CI254" s="185"/>
      <c r="CJ254" s="185"/>
      <c r="CK254" s="185"/>
      <c r="CL254" s="185"/>
      <c r="CM254" s="185"/>
      <c r="CN254" s="185"/>
    </row>
    <row r="255" spans="2:92" ht="22.5" customHeight="1" outlineLevel="1" x14ac:dyDescent="0.35">
      <c r="C255" s="61" t="s">
        <v>74</v>
      </c>
      <c r="D255" s="64"/>
      <c r="F255" s="80" t="str">
        <f t="shared" si="215"/>
        <v/>
      </c>
      <c r="G255" s="81">
        <f t="shared" ca="1" si="216"/>
        <v>1</v>
      </c>
      <c r="H255" s="81">
        <f t="shared" ca="1" si="216"/>
        <v>1</v>
      </c>
      <c r="I255" s="120">
        <f t="shared" ca="1" si="216"/>
        <v>1</v>
      </c>
      <c r="J255" s="62"/>
      <c r="Q255" s="185">
        <f t="shared" si="193"/>
        <v>0</v>
      </c>
      <c r="R255" s="185">
        <f t="shared" si="194"/>
        <v>0</v>
      </c>
      <c r="S255" s="185">
        <f t="shared" si="195"/>
        <v>0</v>
      </c>
      <c r="T255" s="185">
        <f t="shared" si="196"/>
        <v>0</v>
      </c>
      <c r="U255" s="185">
        <f t="shared" si="197"/>
        <v>0</v>
      </c>
      <c r="V255" s="185">
        <f t="shared" si="198"/>
        <v>0</v>
      </c>
      <c r="W255" s="185">
        <f t="shared" si="199"/>
        <v>0</v>
      </c>
      <c r="X255" s="185">
        <f t="shared" si="200"/>
        <v>0</v>
      </c>
      <c r="Y255" s="185">
        <f t="shared" si="201"/>
        <v>0</v>
      </c>
      <c r="Z255" s="196">
        <f t="shared" ca="1" si="202"/>
        <v>7599</v>
      </c>
      <c r="AA255" s="185" t="str">
        <f t="shared" ca="1" si="203"/>
        <v>Offererad produktnr. 01Dustin Sverige AB</v>
      </c>
      <c r="AB255" s="185"/>
      <c r="AC255" s="185" t="b">
        <f ca="1">IFERROR(IF(D251="",TRUE,
IF(OR(D251=$CB$12,D251=$CB$13),IF(LEFT(AS255,FIND(" ",AS255)-1)=D251,TRUE,FALSE),
IF(OFFSET(Processor!$AB$1,MATCH($AS255,Processor!$AA$2:$AA$23,0),MATCH(LEFT(D251,FIND(" ",D251)-1),Processor!$AC$1:$AG$1,0))&gt;=
OFFSET(Processor!$AB$1,MATCH(D251,Processor!$AA$2:$AA$23,0),MATCH(LEFT(D251,FIND(" ",D251)-1),Processor!$AC$1:$AG$1,0)),TRUE,FALSE))),FALSE)</f>
        <v>1</v>
      </c>
      <c r="AD255" s="185" t="b">
        <f t="shared" si="204"/>
        <v>1</v>
      </c>
      <c r="AE255" s="185" t="b">
        <f t="shared" si="205"/>
        <v>1</v>
      </c>
      <c r="AF255" s="185" t="b">
        <f>IF($D$249="",TRUE,IF(COUNTIF(Processor!$I$2:$I$9,$D$249)&gt;0,AND(AV255&gt;INDEX(Processor!$J$2:$J$9,MATCH($D$249,Processor!$I$2:$I$9,0)),AV255&lt;INDEX(Processor!$K$2:$K$9,MATCH($D$249,Processor!$I$2:$I$9,0))),IF(AV255=$D$249,TRUE,FALSE)))</f>
        <v>1</v>
      </c>
      <c r="AG255" s="185" t="b">
        <f t="shared" si="206"/>
        <v>1</v>
      </c>
      <c r="AH255" s="185" t="b">
        <f t="shared" si="207"/>
        <v>1</v>
      </c>
      <c r="AI255" s="185" t="b">
        <f t="shared" si="208"/>
        <v>1</v>
      </c>
      <c r="AJ255" s="185" t="b">
        <f t="shared" si="209"/>
        <v>1</v>
      </c>
      <c r="AK255" s="185" t="b">
        <f t="shared" si="210"/>
        <v>1</v>
      </c>
      <c r="AL255" s="185" t="b">
        <f>IFERROR(IF($D260="",TRUE,IF(MID(BC255,LEN(BC255)-2,1)*1&gt;=MID($D260,LEN($D260)-2,1)*1,TRUE,FALSE)),FALSE)</f>
        <v>1</v>
      </c>
      <c r="AM255" s="185" t="b">
        <f>IF(D259="",TRUE,IF(BB255&gt;=D259,TRUE,FALSE))</f>
        <v>1</v>
      </c>
      <c r="AN255" s="185"/>
      <c r="AO255" s="185"/>
      <c r="AP255" s="185" t="s">
        <v>174</v>
      </c>
      <c r="AQ255" s="185">
        <v>1</v>
      </c>
      <c r="AR255" s="185" t="str">
        <f t="shared" ca="1" si="211"/>
        <v>1920x1080</v>
      </c>
      <c r="AS255" s="185" t="str">
        <f t="shared" ca="1" si="211"/>
        <v>AMD Ryzen 5</v>
      </c>
      <c r="AT255" s="185">
        <f t="shared" ca="1" si="211"/>
        <v>8</v>
      </c>
      <c r="AU255" s="185">
        <f t="shared" ca="1" si="211"/>
        <v>256</v>
      </c>
      <c r="AV255" s="185">
        <f t="shared" ca="1" si="211"/>
        <v>14</v>
      </c>
      <c r="AW255" s="185">
        <f t="shared" ca="1" si="211"/>
        <v>3</v>
      </c>
      <c r="AX255" s="185">
        <f t="shared" ca="1" si="211"/>
        <v>1</v>
      </c>
      <c r="AY255" s="185" t="str">
        <f t="shared" ca="1" si="211"/>
        <v>Ja, HDMI-port finns</v>
      </c>
      <c r="AZ255" s="185" t="str">
        <f t="shared" ca="1" si="211"/>
        <v>802.11a/b/g/n/ac/ax</v>
      </c>
      <c r="BA255" s="185">
        <f t="shared" ca="1" si="211"/>
        <v>5.3</v>
      </c>
      <c r="BB255" s="185">
        <f t="shared" ca="1" si="212"/>
        <v>11</v>
      </c>
      <c r="BC255" s="185" t="str">
        <f t="shared" ca="1" si="212"/>
        <v>Version 8.0</v>
      </c>
      <c r="BD255" s="185" t="str">
        <f t="shared" ca="1" si="212"/>
        <v>Ja</v>
      </c>
      <c r="BE255" s="185" t="str">
        <f t="shared" ca="1" si="212"/>
        <v>Windows 11 Pro</v>
      </c>
      <c r="BF255" s="185" t="str">
        <f t="shared" ca="1" si="212"/>
        <v>ProBook 445 G10</v>
      </c>
      <c r="BG255" s="185">
        <f t="shared" ca="1" si="212"/>
        <v>7599</v>
      </c>
      <c r="BH255" s="192">
        <f t="shared" ca="1" si="212"/>
        <v>123</v>
      </c>
      <c r="BI255" s="192">
        <f t="shared" ca="1" si="212"/>
        <v>425</v>
      </c>
      <c r="BJ255" s="192">
        <f t="shared" ca="1" si="212"/>
        <v>149</v>
      </c>
      <c r="BK255" s="192">
        <f t="shared" ca="1" si="212"/>
        <v>1185</v>
      </c>
      <c r="BL255" s="192">
        <f t="shared" ca="1" si="213"/>
        <v>450</v>
      </c>
      <c r="BM255" s="192">
        <f t="shared" ca="1" si="213"/>
        <v>133</v>
      </c>
      <c r="BN255" s="192">
        <f t="shared" ca="1" si="213"/>
        <v>20</v>
      </c>
      <c r="BO255" s="192">
        <f t="shared" ca="1" si="213"/>
        <v>20</v>
      </c>
      <c r="BP255" s="192" t="str">
        <f t="shared" ca="1" si="213"/>
        <v>Cirafon</v>
      </c>
      <c r="BQ255" s="192" t="str">
        <f t="shared" ca="1" si="213"/>
        <v>Cirafon</v>
      </c>
      <c r="BR255" s="192" t="str">
        <f t="shared" ca="1" si="213"/>
        <v>HP</v>
      </c>
      <c r="BS255" s="192" t="str">
        <f t="shared" ca="1" si="213"/>
        <v>HP</v>
      </c>
      <c r="BT255" s="192" t="str">
        <f t="shared" ca="1" si="213"/>
        <v>LSN8696R2-14.1</v>
      </c>
      <c r="BU255" s="192" t="str">
        <f t="shared" ca="1" si="213"/>
        <v>DPF14-9</v>
      </c>
      <c r="BV255" s="192" t="str">
        <f t="shared" ca="1" si="213"/>
        <v xml:space="preserve">1MZ01AA </v>
      </c>
      <c r="BW255" s="192" t="str">
        <f t="shared" ca="1" si="213"/>
        <v>72C71AA</v>
      </c>
      <c r="BX255" s="192"/>
      <c r="BY255" s="192" t="str">
        <f t="shared" ca="1" si="214"/>
        <v>Dustin Sverige AB</v>
      </c>
      <c r="BZ255" s="192" t="str">
        <f t="shared" ca="1" si="214"/>
        <v>HP</v>
      </c>
      <c r="CA255" s="185"/>
      <c r="CB255" s="185" t="s">
        <v>64</v>
      </c>
      <c r="CC255" s="185"/>
      <c r="CD255" s="185"/>
      <c r="CE255" s="185"/>
      <c r="CF255" s="185"/>
      <c r="CG255" s="185"/>
      <c r="CH255" s="185"/>
      <c r="CI255" s="185"/>
      <c r="CJ255" s="185"/>
      <c r="CK255" s="185"/>
      <c r="CL255" s="185"/>
      <c r="CM255" s="185"/>
      <c r="CN255" s="185"/>
    </row>
    <row r="256" spans="2:92" ht="22.5" customHeight="1" outlineLevel="1" x14ac:dyDescent="0.35">
      <c r="C256" s="61" t="s">
        <v>97</v>
      </c>
      <c r="D256" s="64"/>
      <c r="F256" s="80" t="str">
        <f t="shared" si="215"/>
        <v/>
      </c>
      <c r="G256" s="81" t="str">
        <f t="shared" ca="1" si="216"/>
        <v>Ja, HDMI-port finns</v>
      </c>
      <c r="H256" s="81" t="str">
        <f t="shared" ca="1" si="216"/>
        <v>Ja, HDMI-port finns</v>
      </c>
      <c r="I256" s="120" t="str">
        <f t="shared" ca="1" si="216"/>
        <v>Ja, HDMI-port finns</v>
      </c>
      <c r="J256" s="62"/>
      <c r="Q256" s="185">
        <f t="shared" si="193"/>
        <v>0</v>
      </c>
      <c r="R256" s="185">
        <f t="shared" si="194"/>
        <v>0</v>
      </c>
      <c r="S256" s="185">
        <f t="shared" si="195"/>
        <v>0</v>
      </c>
      <c r="T256" s="185">
        <f t="shared" si="196"/>
        <v>0</v>
      </c>
      <c r="U256" s="185">
        <f t="shared" si="197"/>
        <v>0</v>
      </c>
      <c r="V256" s="185">
        <f t="shared" si="198"/>
        <v>0</v>
      </c>
      <c r="W256" s="185">
        <f t="shared" si="199"/>
        <v>0</v>
      </c>
      <c r="X256" s="185">
        <f t="shared" si="200"/>
        <v>0</v>
      </c>
      <c r="Y256" s="185">
        <f t="shared" si="201"/>
        <v>0</v>
      </c>
      <c r="Z256" s="196">
        <f t="shared" ca="1" si="202"/>
        <v>11900</v>
      </c>
      <c r="AA256" s="185" t="str">
        <f t="shared" ca="1" si="203"/>
        <v>Offererad produktnr. 02Dustin Sverige AB</v>
      </c>
      <c r="AB256" s="185"/>
      <c r="AC256" s="198" t="b">
        <f ca="1">IFERROR(IF(D251="",TRUE,
IF(OR(D251=$CB$12,D251=$CB$13),IF(LEFT(AS256,FIND(" ",AS256)-1)=D251,TRUE,FALSE),
IF(OFFSET(Processor!$AB$1,MATCH($AS256,Processor!$AA$2:$AA$23,0),MATCH(LEFT(D251,FIND(" ",D251)-1),Processor!$AC$1:$AG$1,0))&gt;=
OFFSET(Processor!$AB$1,MATCH(D251,Processor!$AA$2:$AA$23,0),MATCH(LEFT(D251,FIND(" ",D251)-1),Processor!$AC$1:$AG$1,0)),TRUE,FALSE))),FALSE)</f>
        <v>1</v>
      </c>
      <c r="AD256" s="185" t="b">
        <f t="shared" si="204"/>
        <v>1</v>
      </c>
      <c r="AE256" s="185" t="b">
        <f t="shared" si="205"/>
        <v>1</v>
      </c>
      <c r="AF256" s="185" t="b">
        <f>IF($D$249="",TRUE,IF(COUNTIF(Processor!$I$2:$I$9,$D$249)&gt;0,AND(AV256&gt;INDEX(Processor!$J$2:$J$9,MATCH($D$249,Processor!$I$2:$I$9,0)),AV256&lt;INDEX(Processor!$K$2:$K$9,MATCH($D$249,Processor!$I$2:$I$9,0))),IF(AV256=$D$249,TRUE,FALSE)))</f>
        <v>1</v>
      </c>
      <c r="AG256" s="185" t="b">
        <f t="shared" si="206"/>
        <v>1</v>
      </c>
      <c r="AH256" s="185" t="b">
        <f t="shared" si="207"/>
        <v>1</v>
      </c>
      <c r="AI256" s="185" t="b">
        <f t="shared" si="208"/>
        <v>1</v>
      </c>
      <c r="AJ256" s="185" t="b">
        <f t="shared" si="209"/>
        <v>1</v>
      </c>
      <c r="AK256" s="185" t="b">
        <f t="shared" si="210"/>
        <v>1</v>
      </c>
      <c r="AL256" s="185" t="b">
        <f>IFERROR(IF($D260="",TRUE,IF(MID(BC256,LEN(BC256)-2,1)*1&gt;=MID($D260,LEN($D260)-2,1)*1,TRUE,FALSE)),FALSE)</f>
        <v>1</v>
      </c>
      <c r="AM256" s="185" t="b">
        <f>IF(D259="",TRUE,IF(BB256&gt;=D259,TRUE,FALSE))</f>
        <v>1</v>
      </c>
      <c r="AN256" s="185"/>
      <c r="AO256" s="185"/>
      <c r="AP256" s="185" t="s">
        <v>175</v>
      </c>
      <c r="AQ256" s="185">
        <v>1</v>
      </c>
      <c r="AR256" s="185" t="str">
        <f t="shared" ca="1" si="211"/>
        <v>1920x1200</v>
      </c>
      <c r="AS256" s="185" t="str">
        <f t="shared" ca="1" si="211"/>
        <v>Intel i5</v>
      </c>
      <c r="AT256" s="185">
        <f t="shared" ca="1" si="211"/>
        <v>16</v>
      </c>
      <c r="AU256" s="185">
        <f t="shared" ca="1" si="211"/>
        <v>256</v>
      </c>
      <c r="AV256" s="185">
        <f t="shared" ca="1" si="211"/>
        <v>14</v>
      </c>
      <c r="AW256" s="185">
        <f t="shared" ca="1" si="211"/>
        <v>2</v>
      </c>
      <c r="AX256" s="185">
        <f t="shared" ca="1" si="211"/>
        <v>2</v>
      </c>
      <c r="AY256" s="185" t="str">
        <f t="shared" ca="1" si="211"/>
        <v>Ja, HDMI-port finns</v>
      </c>
      <c r="AZ256" s="185" t="str">
        <f t="shared" ca="1" si="211"/>
        <v>802.11a/b/g/n/ac/ax</v>
      </c>
      <c r="BA256" s="185">
        <f t="shared" ca="1" si="211"/>
        <v>5.3</v>
      </c>
      <c r="BB256" s="185">
        <f t="shared" ca="1" si="212"/>
        <v>11</v>
      </c>
      <c r="BC256" s="185" t="str">
        <f t="shared" ca="1" si="212"/>
        <v>Version 8.0</v>
      </c>
      <c r="BD256" s="185" t="str">
        <f t="shared" ca="1" si="212"/>
        <v>Ja</v>
      </c>
      <c r="BE256" s="185" t="str">
        <f t="shared" ca="1" si="212"/>
        <v>Windows 11 Pro</v>
      </c>
      <c r="BF256" s="185" t="str">
        <f t="shared" ca="1" si="212"/>
        <v>Elitebook 840 G9</v>
      </c>
      <c r="BG256" s="185">
        <f t="shared" ca="1" si="212"/>
        <v>11900</v>
      </c>
      <c r="BH256" s="192">
        <f t="shared" ca="1" si="212"/>
        <v>123</v>
      </c>
      <c r="BI256" s="192">
        <f t="shared" ca="1" si="212"/>
        <v>425</v>
      </c>
      <c r="BJ256" s="192">
        <f t="shared" ca="1" si="212"/>
        <v>149</v>
      </c>
      <c r="BK256" s="192">
        <f t="shared" ca="1" si="212"/>
        <v>1185</v>
      </c>
      <c r="BL256" s="192">
        <f t="shared" ca="1" si="213"/>
        <v>450</v>
      </c>
      <c r="BM256" s="192">
        <f t="shared" ca="1" si="213"/>
        <v>133</v>
      </c>
      <c r="BN256" s="192">
        <f t="shared" ca="1" si="213"/>
        <v>20</v>
      </c>
      <c r="BO256" s="192">
        <f t="shared" ca="1" si="213"/>
        <v>20</v>
      </c>
      <c r="BP256" s="192" t="str">
        <f t="shared" ca="1" si="213"/>
        <v>Cirafon</v>
      </c>
      <c r="BQ256" s="192" t="str">
        <f t="shared" ca="1" si="213"/>
        <v>Cirafon</v>
      </c>
      <c r="BR256" s="192" t="str">
        <f t="shared" ca="1" si="213"/>
        <v>HP</v>
      </c>
      <c r="BS256" s="192" t="str">
        <f t="shared" ca="1" si="213"/>
        <v>HP</v>
      </c>
      <c r="BT256" s="192" t="str">
        <f t="shared" ca="1" si="213"/>
        <v>LSN8696R2-14.1</v>
      </c>
      <c r="BU256" s="192" t="str">
        <f t="shared" ca="1" si="213"/>
        <v>DPF14-9</v>
      </c>
      <c r="BV256" s="192" t="str">
        <f t="shared" ca="1" si="213"/>
        <v xml:space="preserve">1MZ01AA </v>
      </c>
      <c r="BW256" s="192" t="str">
        <f t="shared" ca="1" si="213"/>
        <v>72C71AA</v>
      </c>
      <c r="BX256" s="192"/>
      <c r="BY256" s="192" t="str">
        <f t="shared" ca="1" si="214"/>
        <v>Dustin Sverige AB</v>
      </c>
      <c r="BZ256" s="192" t="str">
        <f t="shared" ca="1" si="214"/>
        <v>HP</v>
      </c>
      <c r="CA256" s="185"/>
      <c r="CB256" s="185" t="s">
        <v>571</v>
      </c>
      <c r="CC256" s="185"/>
      <c r="CD256" s="185"/>
      <c r="CE256" s="185"/>
      <c r="CF256" s="185"/>
      <c r="CG256" s="185"/>
      <c r="CH256" s="185"/>
      <c r="CI256" s="185"/>
      <c r="CJ256" s="185"/>
      <c r="CK256" s="185"/>
      <c r="CL256" s="185"/>
      <c r="CM256" s="185"/>
      <c r="CN256" s="185"/>
    </row>
    <row r="257" spans="2:92" ht="22.5" customHeight="1" outlineLevel="1" x14ac:dyDescent="0.35">
      <c r="C257" s="61" t="s">
        <v>103</v>
      </c>
      <c r="D257" s="64"/>
      <c r="F257" s="80" t="str">
        <f t="shared" si="215"/>
        <v/>
      </c>
      <c r="G257" s="81" t="str">
        <f t="shared" ca="1" si="216"/>
        <v>802.11a/b/g/n/ac/ax</v>
      </c>
      <c r="H257" s="81" t="str">
        <f t="shared" ca="1" si="216"/>
        <v>802.11a/b/g/n/ac/ax</v>
      </c>
      <c r="I257" s="120" t="str">
        <f t="shared" ca="1" si="216"/>
        <v>802.11a/b/g/n/ac/ax</v>
      </c>
      <c r="J257" s="62"/>
      <c r="Q257" s="185">
        <f t="shared" si="193"/>
        <v>0</v>
      </c>
      <c r="R257" s="185">
        <f t="shared" si="194"/>
        <v>0</v>
      </c>
      <c r="S257" s="185">
        <f t="shared" si="195"/>
        <v>0</v>
      </c>
      <c r="T257" s="185">
        <f t="shared" si="196"/>
        <v>0</v>
      </c>
      <c r="U257" s="185">
        <f t="shared" si="197"/>
        <v>0</v>
      </c>
      <c r="V257" s="185">
        <f t="shared" si="198"/>
        <v>0</v>
      </c>
      <c r="W257" s="185">
        <f t="shared" si="199"/>
        <v>0</v>
      </c>
      <c r="X257" s="185">
        <f t="shared" si="200"/>
        <v>0</v>
      </c>
      <c r="Y257" s="185">
        <f t="shared" si="201"/>
        <v>0</v>
      </c>
      <c r="Z257" s="196">
        <f t="shared" ca="1" si="202"/>
        <v>10490</v>
      </c>
      <c r="AA257" s="185" t="str">
        <f t="shared" ca="1" si="203"/>
        <v>Offererad produktnr. 03Dustin Sverige AB</v>
      </c>
      <c r="AB257" s="185"/>
      <c r="AC257" s="185" t="b">
        <f ca="1">IFERROR(IF(D251="",TRUE,
IF(OR(D251=$CB$12,D251=$CB$13),IF(LEFT(AS257,FIND(" ",AS257)-1)=D251,TRUE,FALSE),
IF(OFFSET(Processor!$AB$1,MATCH($AS257,Processor!$AA$2:$AA$23,0),MATCH(LEFT(D251,FIND(" ",D251)-1),Processor!$AC$1:$AG$1,0))&gt;=
OFFSET(Processor!$AB$1,MATCH(D251,Processor!$AA$2:$AA$23,0),MATCH(LEFT(D251,FIND(" ",D251)-1),Processor!$AC$1:$AG$1,0)),TRUE,FALSE))),FALSE)</f>
        <v>1</v>
      </c>
      <c r="AD257" s="185" t="b">
        <f t="shared" si="204"/>
        <v>1</v>
      </c>
      <c r="AE257" s="185" t="b">
        <f t="shared" si="205"/>
        <v>1</v>
      </c>
      <c r="AF257" s="185" t="b">
        <f>IF($D$249="",TRUE,IF(COUNTIF(Processor!$I$2:$I$9,$D$249)&gt;0,AND(AV257&gt;INDEX(Processor!$J$2:$J$9,MATCH($D$249,Processor!$I$2:$I$9,0)),AV257&lt;INDEX(Processor!$K$2:$K$9,MATCH($D$249,Processor!$I$2:$I$9,0))),IF(AV257=$D$249,TRUE,FALSE)))</f>
        <v>1</v>
      </c>
      <c r="AG257" s="185" t="b">
        <f t="shared" si="206"/>
        <v>1</v>
      </c>
      <c r="AH257" s="185" t="b">
        <f t="shared" si="207"/>
        <v>1</v>
      </c>
      <c r="AI257" s="185" t="b">
        <f t="shared" si="208"/>
        <v>1</v>
      </c>
      <c r="AJ257" s="185" t="b">
        <f t="shared" si="209"/>
        <v>1</v>
      </c>
      <c r="AK257" s="185" t="b">
        <f t="shared" si="210"/>
        <v>1</v>
      </c>
      <c r="AL257" s="185" t="b">
        <f>IFERROR(IF($D260="",TRUE,IF(MID(BC257,LEN(BC257)-2,1)*1&gt;=MID($D260,LEN($D260)-2,1)*1,TRUE,FALSE)),FALSE)</f>
        <v>1</v>
      </c>
      <c r="AM257" s="185" t="b">
        <f>IF(D259="",TRUE,IF(BB257&gt;=D259,TRUE,FALSE))</f>
        <v>1</v>
      </c>
      <c r="AN257" s="185"/>
      <c r="AO257" s="185"/>
      <c r="AP257" s="185" t="s">
        <v>176</v>
      </c>
      <c r="AQ257" s="185">
        <v>1</v>
      </c>
      <c r="AR257" s="185" t="str">
        <f t="shared" ref="AR257:BA266" ca="1" si="217">IFERROR(INDEX(INDIRECT(AR$242&amp;"!$A$10:CC100000"),MATCH($AP257,INDIRECT(AR$242&amp;"!BH$10:BH100000"),0),MATCH(AR$244,INDIRECT(AR$242&amp;"!a10:CC10"),0)),"False")</f>
        <v>1920x1080</v>
      </c>
      <c r="AS257" s="185" t="str">
        <f t="shared" ca="1" si="217"/>
        <v>Intel i7 Gen 12</v>
      </c>
      <c r="AT257" s="185">
        <f t="shared" ca="1" si="217"/>
        <v>32</v>
      </c>
      <c r="AU257" s="185">
        <f t="shared" ca="1" si="217"/>
        <v>512</v>
      </c>
      <c r="AV257" s="185">
        <f t="shared" ca="1" si="217"/>
        <v>14</v>
      </c>
      <c r="AW257" s="185">
        <f t="shared" ca="1" si="217"/>
        <v>3</v>
      </c>
      <c r="AX257" s="185">
        <f t="shared" ca="1" si="217"/>
        <v>1</v>
      </c>
      <c r="AY257" s="185" t="str">
        <f t="shared" ca="1" si="217"/>
        <v>Ja, HDMI-port finns</v>
      </c>
      <c r="AZ257" s="185" t="str">
        <f t="shared" ca="1" si="217"/>
        <v>802.11a/b/g/n/ac/ax</v>
      </c>
      <c r="BA257" s="185">
        <f t="shared" ca="1" si="217"/>
        <v>5.3</v>
      </c>
      <c r="BB257" s="185">
        <f t="shared" ref="BB257:BK266" ca="1" si="218">IFERROR(INDEX(INDIRECT(BB$242&amp;"!$A$10:CC100000"),MATCH($AP257,INDIRECT(BB$242&amp;"!BH$10:BH100000"),0),MATCH(BB$244,INDIRECT(BB$242&amp;"!a10:CC10"),0)),"False")</f>
        <v>11</v>
      </c>
      <c r="BC257" s="185" t="str">
        <f t="shared" ca="1" si="218"/>
        <v>Version 8.0</v>
      </c>
      <c r="BD257" s="185" t="str">
        <f t="shared" ca="1" si="218"/>
        <v>Ja</v>
      </c>
      <c r="BE257" s="185" t="str">
        <f t="shared" ca="1" si="218"/>
        <v>Windows 11 Pro</v>
      </c>
      <c r="BF257" s="185" t="str">
        <f t="shared" ca="1" si="218"/>
        <v>ProBook 440 G9</v>
      </c>
      <c r="BG257" s="185">
        <f t="shared" ca="1" si="218"/>
        <v>10490</v>
      </c>
      <c r="BH257" s="192">
        <f t="shared" ca="1" si="218"/>
        <v>123</v>
      </c>
      <c r="BI257" s="192">
        <f t="shared" ca="1" si="218"/>
        <v>425</v>
      </c>
      <c r="BJ257" s="192">
        <f t="shared" ca="1" si="218"/>
        <v>149</v>
      </c>
      <c r="BK257" s="192">
        <f t="shared" ca="1" si="218"/>
        <v>1185</v>
      </c>
      <c r="BL257" s="192">
        <f t="shared" ref="BL257:BW266" ca="1" si="219">IFERROR(INDEX(INDIRECT(BL$242&amp;"!$A$10:CC100000"),MATCH($AP257,INDIRECT(BL$242&amp;"!BH$10:BH100000"),0),MATCH(BL$244,INDIRECT(BL$242&amp;"!a10:CC10"),0)),"False")</f>
        <v>450</v>
      </c>
      <c r="BM257" s="192">
        <f t="shared" ca="1" si="219"/>
        <v>133</v>
      </c>
      <c r="BN257" s="192">
        <f t="shared" ca="1" si="219"/>
        <v>20</v>
      </c>
      <c r="BO257" s="192">
        <f t="shared" ca="1" si="219"/>
        <v>20</v>
      </c>
      <c r="BP257" s="192" t="str">
        <f t="shared" ca="1" si="219"/>
        <v>Cirafon</v>
      </c>
      <c r="BQ257" s="192" t="str">
        <f t="shared" ca="1" si="219"/>
        <v>Cirafon</v>
      </c>
      <c r="BR257" s="192" t="str">
        <f t="shared" ca="1" si="219"/>
        <v>HP</v>
      </c>
      <c r="BS257" s="192" t="str">
        <f t="shared" ca="1" si="219"/>
        <v>HP</v>
      </c>
      <c r="BT257" s="192" t="str">
        <f t="shared" ca="1" si="219"/>
        <v>LSN8696R2-14.1</v>
      </c>
      <c r="BU257" s="192" t="str">
        <f t="shared" ca="1" si="219"/>
        <v>DPF14-9</v>
      </c>
      <c r="BV257" s="192" t="str">
        <f t="shared" ca="1" si="219"/>
        <v xml:space="preserve">1MZ01AA </v>
      </c>
      <c r="BW257" s="192" t="str">
        <f t="shared" ca="1" si="219"/>
        <v>72C71AA</v>
      </c>
      <c r="BX257" s="192"/>
      <c r="BY257" s="192" t="str">
        <f t="shared" ca="1" si="214"/>
        <v>Dustin Sverige AB</v>
      </c>
      <c r="BZ257" s="192" t="str">
        <f t="shared" ca="1" si="214"/>
        <v>HP</v>
      </c>
      <c r="CA257" s="185"/>
      <c r="CB257" s="185" t="s">
        <v>710</v>
      </c>
      <c r="CC257" s="185"/>
      <c r="CD257" s="185"/>
      <c r="CE257" s="185"/>
      <c r="CF257" s="185"/>
      <c r="CG257" s="185"/>
      <c r="CH257" s="185"/>
      <c r="CI257" s="185"/>
      <c r="CJ257" s="185"/>
      <c r="CK257" s="185"/>
      <c r="CL257" s="185"/>
      <c r="CM257" s="185"/>
      <c r="CN257" s="185"/>
    </row>
    <row r="258" spans="2:92" ht="33.75" customHeight="1" outlineLevel="1" x14ac:dyDescent="0.35">
      <c r="C258" s="61" t="s">
        <v>75</v>
      </c>
      <c r="D258" s="110"/>
      <c r="F258" s="80" t="str">
        <f t="shared" si="215"/>
        <v/>
      </c>
      <c r="G258" s="81">
        <f t="shared" ca="1" si="216"/>
        <v>5</v>
      </c>
      <c r="H258" s="81">
        <f t="shared" ca="1" si="216"/>
        <v>5.3</v>
      </c>
      <c r="I258" s="120">
        <f t="shared" ca="1" si="216"/>
        <v>5</v>
      </c>
      <c r="J258" s="62"/>
      <c r="Q258" s="185">
        <f t="shared" si="193"/>
        <v>0</v>
      </c>
      <c r="R258" s="185">
        <f t="shared" si="194"/>
        <v>0</v>
      </c>
      <c r="S258" s="185">
        <f t="shared" si="195"/>
        <v>0</v>
      </c>
      <c r="T258" s="185">
        <f t="shared" si="196"/>
        <v>0</v>
      </c>
      <c r="U258" s="185">
        <f t="shared" si="197"/>
        <v>0</v>
      </c>
      <c r="V258" s="185">
        <f t="shared" si="198"/>
        <v>0</v>
      </c>
      <c r="W258" s="185">
        <f t="shared" si="199"/>
        <v>0</v>
      </c>
      <c r="X258" s="185">
        <f t="shared" si="200"/>
        <v>0</v>
      </c>
      <c r="Y258" s="185">
        <f t="shared" si="201"/>
        <v>0</v>
      </c>
      <c r="Z258" s="196">
        <f t="shared" ca="1" si="202"/>
        <v>13790</v>
      </c>
      <c r="AA258" s="185" t="str">
        <f t="shared" ca="1" si="203"/>
        <v>Offererad produktnr. 04Dustin Sverige AB</v>
      </c>
      <c r="AB258" s="185"/>
      <c r="AC258" s="185" t="b">
        <f ca="1">IFERROR(IF(D251="",TRUE,
IF(OR(D251=$CB$12,D251=$CB$13),IF(LEFT(AS258,FIND(" ",AS258)-1)=D251,TRUE,FALSE),
IF(OFFSET(Processor!$AB$1,MATCH($AS258,Processor!$AA$2:$AA$23,0),MATCH(LEFT(D251,FIND(" ",D251)-1),Processor!$AC$1:$AG$1,0))&gt;=
OFFSET(Processor!$AB$1,MATCH(D251,Processor!$AA$2:$AA$23,0),MATCH(LEFT(D251,FIND(" ",D251)-1),Processor!$AC$1:$AG$1,0)),TRUE,FALSE))),FALSE)</f>
        <v>1</v>
      </c>
      <c r="AD258" s="185" t="b">
        <f t="shared" si="204"/>
        <v>1</v>
      </c>
      <c r="AE258" s="185" t="b">
        <f t="shared" si="205"/>
        <v>1</v>
      </c>
      <c r="AF258" s="185" t="b">
        <f>IF($D$249="",TRUE,IF(COUNTIF(Processor!$I$2:$I$9,$D$249)&gt;0,AND(AV258&gt;INDEX(Processor!$J$2:$J$9,MATCH($D$249,Processor!$I$2:$I$9,0)),AV258&lt;INDEX(Processor!$K$2:$K$9,MATCH($D$249,Processor!$I$2:$I$9,0))),IF(AV258=$D$249,TRUE,FALSE)))</f>
        <v>1</v>
      </c>
      <c r="AG258" s="185" t="b">
        <f t="shared" si="206"/>
        <v>1</v>
      </c>
      <c r="AH258" s="185" t="b">
        <f t="shared" si="207"/>
        <v>1</v>
      </c>
      <c r="AI258" s="185" t="b">
        <f t="shared" si="208"/>
        <v>1</v>
      </c>
      <c r="AJ258" s="185" t="b">
        <f t="shared" si="209"/>
        <v>1</v>
      </c>
      <c r="AK258" s="185" t="b">
        <f t="shared" si="210"/>
        <v>1</v>
      </c>
      <c r="AL258" s="185" t="b">
        <f>IFERROR(IF($D260="",TRUE,IF(MID(BC258,LEN(BC258)-2,1)*1&gt;=MID($D260,LEN($D260)-2,1)*1,TRUE,FALSE)),FALSE)</f>
        <v>1</v>
      </c>
      <c r="AM258" s="185" t="b">
        <f>IF(D259="",TRUE,IF(BB258&gt;=D259,TRUE,FALSE))</f>
        <v>1</v>
      </c>
      <c r="AN258" s="185"/>
      <c r="AO258" s="185"/>
      <c r="AP258" s="185" t="s">
        <v>177</v>
      </c>
      <c r="AQ258" s="185">
        <v>1</v>
      </c>
      <c r="AR258" s="185" t="str">
        <f t="shared" ca="1" si="217"/>
        <v>1920x1200</v>
      </c>
      <c r="AS258" s="185" t="str">
        <f t="shared" ca="1" si="217"/>
        <v>Intel i7</v>
      </c>
      <c r="AT258" s="185">
        <f t="shared" ca="1" si="217"/>
        <v>16</v>
      </c>
      <c r="AU258" s="185">
        <f t="shared" ca="1" si="217"/>
        <v>512</v>
      </c>
      <c r="AV258" s="185">
        <f t="shared" ca="1" si="217"/>
        <v>14</v>
      </c>
      <c r="AW258" s="185">
        <f t="shared" ca="1" si="217"/>
        <v>2</v>
      </c>
      <c r="AX258" s="185">
        <f t="shared" ca="1" si="217"/>
        <v>2</v>
      </c>
      <c r="AY258" s="185" t="str">
        <f t="shared" ca="1" si="217"/>
        <v>Ja, HDMI-port finns</v>
      </c>
      <c r="AZ258" s="185" t="str">
        <f t="shared" ca="1" si="217"/>
        <v>802.11a/b/g/n/ac/ax</v>
      </c>
      <c r="BA258" s="185">
        <f t="shared" ca="1" si="217"/>
        <v>5.3</v>
      </c>
      <c r="BB258" s="185">
        <f t="shared" ca="1" si="218"/>
        <v>11</v>
      </c>
      <c r="BC258" s="185" t="str">
        <f t="shared" ca="1" si="218"/>
        <v>Version 8.0</v>
      </c>
      <c r="BD258" s="185" t="str">
        <f t="shared" ca="1" si="218"/>
        <v>Ja</v>
      </c>
      <c r="BE258" s="185" t="str">
        <f t="shared" ca="1" si="218"/>
        <v>Windows 11 Pro</v>
      </c>
      <c r="BF258" s="185" t="str">
        <f t="shared" ca="1" si="218"/>
        <v>EliteBook 840 G9</v>
      </c>
      <c r="BG258" s="185">
        <f t="shared" ca="1" si="218"/>
        <v>13790</v>
      </c>
      <c r="BH258" s="192">
        <f t="shared" ca="1" si="218"/>
        <v>123</v>
      </c>
      <c r="BI258" s="192">
        <f t="shared" ca="1" si="218"/>
        <v>425</v>
      </c>
      <c r="BJ258" s="192">
        <f t="shared" ca="1" si="218"/>
        <v>149</v>
      </c>
      <c r="BK258" s="192">
        <f t="shared" ca="1" si="218"/>
        <v>1185</v>
      </c>
      <c r="BL258" s="192">
        <f t="shared" ca="1" si="219"/>
        <v>450</v>
      </c>
      <c r="BM258" s="192">
        <f t="shared" ca="1" si="219"/>
        <v>133</v>
      </c>
      <c r="BN258" s="192">
        <f t="shared" ca="1" si="219"/>
        <v>20</v>
      </c>
      <c r="BO258" s="192">
        <f t="shared" ca="1" si="219"/>
        <v>20</v>
      </c>
      <c r="BP258" s="192" t="str">
        <f t="shared" ca="1" si="219"/>
        <v>Cirafon</v>
      </c>
      <c r="BQ258" s="192" t="str">
        <f t="shared" ca="1" si="219"/>
        <v>Cirafon</v>
      </c>
      <c r="BR258" s="192" t="str">
        <f t="shared" ca="1" si="219"/>
        <v>HP</v>
      </c>
      <c r="BS258" s="192" t="str">
        <f t="shared" ca="1" si="219"/>
        <v>HP</v>
      </c>
      <c r="BT258" s="192" t="str">
        <f t="shared" ca="1" si="219"/>
        <v>LSN8696R2-14.1</v>
      </c>
      <c r="BU258" s="192" t="str">
        <f t="shared" ca="1" si="219"/>
        <v>DPF14-9</v>
      </c>
      <c r="BV258" s="192" t="str">
        <f t="shared" ca="1" si="219"/>
        <v xml:space="preserve">1MZ01AA </v>
      </c>
      <c r="BW258" s="192" t="str">
        <f t="shared" ca="1" si="219"/>
        <v>72C71AA</v>
      </c>
      <c r="BX258" s="192"/>
      <c r="BY258" s="192" t="str">
        <f t="shared" ca="1" si="214"/>
        <v>Dustin Sverige AB</v>
      </c>
      <c r="BZ258" s="192" t="str">
        <f t="shared" ca="1" si="214"/>
        <v>HP</v>
      </c>
      <c r="CA258" s="185"/>
      <c r="CB258" s="185"/>
      <c r="CC258" s="185"/>
      <c r="CD258" s="185"/>
      <c r="CE258" s="185"/>
      <c r="CF258" s="185"/>
      <c r="CG258" s="185"/>
      <c r="CH258" s="185"/>
      <c r="CI258" s="185"/>
      <c r="CJ258" s="185"/>
      <c r="CK258" s="185"/>
      <c r="CL258" s="185"/>
      <c r="CM258" s="185"/>
      <c r="CN258" s="185"/>
    </row>
    <row r="259" spans="2:92" ht="32.25" customHeight="1" outlineLevel="1" x14ac:dyDescent="0.35">
      <c r="C259" s="61" t="s">
        <v>120</v>
      </c>
      <c r="D259" s="65"/>
      <c r="F259" s="80" t="str">
        <f t="shared" si="215"/>
        <v/>
      </c>
      <c r="G259" s="81">
        <f t="shared" ca="1" si="216"/>
        <v>11</v>
      </c>
      <c r="H259" s="81">
        <f t="shared" ca="1" si="216"/>
        <v>11</v>
      </c>
      <c r="I259" s="121">
        <f t="shared" ca="1" si="216"/>
        <v>11</v>
      </c>
      <c r="J259" s="62"/>
      <c r="Q259" s="185">
        <f t="shared" si="193"/>
        <v>0</v>
      </c>
      <c r="R259" s="185">
        <f t="shared" si="194"/>
        <v>0</v>
      </c>
      <c r="S259" s="185">
        <f t="shared" si="195"/>
        <v>0</v>
      </c>
      <c r="T259" s="185">
        <f t="shared" si="196"/>
        <v>0</v>
      </c>
      <c r="U259" s="185">
        <f t="shared" si="197"/>
        <v>0</v>
      </c>
      <c r="V259" s="185">
        <f t="shared" si="198"/>
        <v>0</v>
      </c>
      <c r="W259" s="185">
        <f t="shared" si="199"/>
        <v>0</v>
      </c>
      <c r="X259" s="185">
        <f t="shared" si="200"/>
        <v>0</v>
      </c>
      <c r="Y259" s="185">
        <f t="shared" si="201"/>
        <v>0</v>
      </c>
      <c r="Z259" s="196">
        <f t="shared" ca="1" si="202"/>
        <v>8848</v>
      </c>
      <c r="AA259" s="185" t="str">
        <f t="shared" ca="1" si="203"/>
        <v>Offererad produktnr. 01Foxway Education AB</v>
      </c>
      <c r="AB259" s="185"/>
      <c r="AC259" s="185" t="b">
        <f ca="1">IFERROR(IF(D251="",TRUE,
IF(OR(D251=$CB$12,D251=$CB$13),IF(LEFT(AS259,FIND(" ",AS259)-1)=D251,TRUE,FALSE),
IF(OFFSET(Processor!$AB$1,MATCH($AS259,Processor!$AA$2:$AA$23,0),MATCH(LEFT(D251,FIND(" ",D251)-1),Processor!$AC$1:$AG$1,0))&gt;=
OFFSET(Processor!$AB$1,MATCH(D251,Processor!$AA$2:$AA$23,0),MATCH(LEFT(D251,FIND(" ",D251)-1),Processor!$AC$1:$AG$1,0)),TRUE,FALSE))),FALSE)</f>
        <v>1</v>
      </c>
      <c r="AD259" s="185" t="b">
        <f t="shared" si="204"/>
        <v>1</v>
      </c>
      <c r="AE259" s="185" t="b">
        <f t="shared" si="205"/>
        <v>1</v>
      </c>
      <c r="AF259" s="185" t="b">
        <f>IF($D$249="",TRUE,IF(COUNTIF(Processor!$I$2:$I$9,$D$249)&gt;0,AND(AV259&gt;INDEX(Processor!$J$2:$J$9,MATCH($D$249,Processor!$I$2:$I$9,0)),AV259&lt;INDEX(Processor!$K$2:$K$9,MATCH($D$249,Processor!$I$2:$I$9,0))),IF(AV259=$D$249,TRUE,FALSE)))</f>
        <v>1</v>
      </c>
      <c r="AG259" s="185" t="b">
        <f t="shared" si="206"/>
        <v>1</v>
      </c>
      <c r="AH259" s="185" t="b">
        <f t="shared" si="207"/>
        <v>1</v>
      </c>
      <c r="AI259" s="185" t="b">
        <f t="shared" si="208"/>
        <v>1</v>
      </c>
      <c r="AJ259" s="185" t="b">
        <f t="shared" si="209"/>
        <v>1</v>
      </c>
      <c r="AK259" s="185" t="b">
        <f t="shared" si="210"/>
        <v>1</v>
      </c>
      <c r="AL259" s="185" t="b">
        <f>IFERROR(IF($D260="",TRUE,IF(MID(BC259,LEN(BC259)-2,1)*1&gt;=MID($D260,LEN($D260)-2,1)*1,TRUE,FALSE)),FALSE)</f>
        <v>1</v>
      </c>
      <c r="AM259" s="185" t="b">
        <f>IF(D259="",TRUE,IF(BB259&gt;=D259,TRUE,FALSE))</f>
        <v>1</v>
      </c>
      <c r="AN259" s="185"/>
      <c r="AO259" s="185"/>
      <c r="AP259" s="185" t="s">
        <v>210</v>
      </c>
      <c r="AQ259" s="185">
        <v>1</v>
      </c>
      <c r="AR259" s="185" t="str">
        <f t="shared" ca="1" si="217"/>
        <v>1920x1080</v>
      </c>
      <c r="AS259" s="185" t="str">
        <f t="shared" ca="1" si="217"/>
        <v>AMD Ryzen 5</v>
      </c>
      <c r="AT259" s="185">
        <f t="shared" ca="1" si="217"/>
        <v>8</v>
      </c>
      <c r="AU259" s="185">
        <f t="shared" ca="1" si="217"/>
        <v>256</v>
      </c>
      <c r="AV259" s="185">
        <f t="shared" ca="1" si="217"/>
        <v>14</v>
      </c>
      <c r="AW259" s="185">
        <f t="shared" ca="1" si="217"/>
        <v>4</v>
      </c>
      <c r="AX259" s="185">
        <f t="shared" ca="1" si="217"/>
        <v>1</v>
      </c>
      <c r="AY259" s="185" t="str">
        <f t="shared" ca="1" si="217"/>
        <v>Ja, HDMI-port finns</v>
      </c>
      <c r="AZ259" s="185" t="str">
        <f t="shared" ca="1" si="217"/>
        <v>802.11a/b/g/n/ac/ax</v>
      </c>
      <c r="BA259" s="185">
        <f t="shared" ca="1" si="217"/>
        <v>5.3</v>
      </c>
      <c r="BB259" s="185">
        <f t="shared" ca="1" si="218"/>
        <v>11</v>
      </c>
      <c r="BC259" s="185" t="str">
        <f t="shared" ca="1" si="218"/>
        <v>Version 8.0</v>
      </c>
      <c r="BD259" s="185" t="str">
        <f t="shared" ca="1" si="218"/>
        <v>Ja</v>
      </c>
      <c r="BE259" s="185" t="str">
        <f t="shared" ca="1" si="218"/>
        <v>Windows 11 Pro</v>
      </c>
      <c r="BF259" s="185" t="str">
        <f t="shared" ca="1" si="218"/>
        <v>ProBook 445 G10</v>
      </c>
      <c r="BG259" s="185">
        <f t="shared" ca="1" si="218"/>
        <v>8848</v>
      </c>
      <c r="BH259" s="192">
        <f t="shared" ca="1" si="218"/>
        <v>78</v>
      </c>
      <c r="BI259" s="192">
        <f t="shared" ca="1" si="218"/>
        <v>252</v>
      </c>
      <c r="BJ259" s="192">
        <f t="shared" ca="1" si="218"/>
        <v>138</v>
      </c>
      <c r="BK259" s="192">
        <f t="shared" ca="1" si="218"/>
        <v>1150</v>
      </c>
      <c r="BL259" s="192">
        <f t="shared" ca="1" si="219"/>
        <v>160</v>
      </c>
      <c r="BM259" s="192">
        <f t="shared" ca="1" si="219"/>
        <v>185</v>
      </c>
      <c r="BN259" s="192">
        <f t="shared" ca="1" si="219"/>
        <v>60</v>
      </c>
      <c r="BO259" s="192">
        <f t="shared" ca="1" si="219"/>
        <v>50</v>
      </c>
      <c r="BP259" s="192" t="str">
        <f t="shared" ca="1" si="219"/>
        <v>V7</v>
      </c>
      <c r="BQ259" s="192" t="str">
        <f t="shared" ca="1" si="219"/>
        <v>Targus</v>
      </c>
      <c r="BR259" s="192" t="str">
        <f t="shared" ca="1" si="219"/>
        <v>HP</v>
      </c>
      <c r="BS259" s="192" t="str">
        <f t="shared" ca="1" si="219"/>
        <v>HP</v>
      </c>
      <c r="BT259" s="192" t="str">
        <f t="shared" ca="1" si="219"/>
        <v>V7 Elite Sleeve 14"</v>
      </c>
      <c r="BU259" s="192" t="str">
        <f t="shared" ca="1" si="219"/>
        <v>Targus Privacy Screen 14"</v>
      </c>
      <c r="BV259" s="192" t="str">
        <f t="shared" ca="1" si="219"/>
        <v>HP 45W Smart AC Adapter</v>
      </c>
      <c r="BW259" s="192" t="str">
        <f t="shared" ca="1" si="219"/>
        <v>HP USB-C Dock G5</v>
      </c>
      <c r="BX259" s="192"/>
      <c r="BY259" s="192" t="str">
        <f t="shared" ca="1" si="214"/>
        <v>Foxway Education AB</v>
      </c>
      <c r="BZ259" s="192" t="str">
        <f t="shared" ca="1" si="214"/>
        <v>HP</v>
      </c>
      <c r="CA259" s="185"/>
      <c r="CB259" s="185"/>
      <c r="CC259" s="185"/>
      <c r="CD259" s="185"/>
      <c r="CE259" s="185"/>
      <c r="CF259" s="185"/>
      <c r="CG259" s="185"/>
      <c r="CH259" s="185"/>
      <c r="CI259" s="185"/>
      <c r="CJ259" s="185"/>
      <c r="CK259" s="185"/>
      <c r="CL259" s="185"/>
      <c r="CM259" s="185"/>
      <c r="CN259" s="185"/>
    </row>
    <row r="260" spans="2:92" ht="24" customHeight="1" outlineLevel="1" x14ac:dyDescent="0.35">
      <c r="C260" s="61" t="s">
        <v>38</v>
      </c>
      <c r="D260" s="64"/>
      <c r="F260" s="80" t="str">
        <f t="shared" si="215"/>
        <v/>
      </c>
      <c r="G260" s="81" t="str">
        <f t="shared" ca="1" si="216"/>
        <v>Version 8.0</v>
      </c>
      <c r="H260" s="81" t="str">
        <f t="shared" ca="1" si="216"/>
        <v>Version 8.0</v>
      </c>
      <c r="I260" s="120" t="str">
        <f t="shared" ca="1" si="216"/>
        <v>Version 8.0</v>
      </c>
      <c r="J260" s="62"/>
      <c r="Q260" s="185">
        <f t="shared" si="193"/>
        <v>0</v>
      </c>
      <c r="R260" s="185">
        <f t="shared" si="194"/>
        <v>0</v>
      </c>
      <c r="S260" s="185">
        <f t="shared" si="195"/>
        <v>0</v>
      </c>
      <c r="T260" s="185">
        <f t="shared" si="196"/>
        <v>0</v>
      </c>
      <c r="U260" s="185">
        <f t="shared" si="197"/>
        <v>0</v>
      </c>
      <c r="V260" s="185">
        <f t="shared" si="198"/>
        <v>0</v>
      </c>
      <c r="W260" s="185">
        <f t="shared" si="199"/>
        <v>0</v>
      </c>
      <c r="X260" s="185">
        <f t="shared" si="200"/>
        <v>0</v>
      </c>
      <c r="Y260" s="185">
        <f t="shared" si="201"/>
        <v>0</v>
      </c>
      <c r="Z260" s="196">
        <f t="shared" ca="1" si="202"/>
        <v>9288</v>
      </c>
      <c r="AA260" s="185" t="str">
        <f t="shared" ca="1" si="203"/>
        <v>Offererad produktnr. 02Foxway Education AB</v>
      </c>
      <c r="AB260" s="185"/>
      <c r="AC260" s="185" t="b">
        <f ca="1">IFERROR(IF(D251="",TRUE,
IF(OR(D251=$CB$12,D251=$CB$13),IF(LEFT(AS260,FIND(" ",AS260)-1)=D251,TRUE,FALSE),
IF(OFFSET(Processor!$AB$1,MATCH($AS260,Processor!$AA$2:$AA$23,0),MATCH(LEFT(D251,FIND(" ",D251)-1),Processor!$AC$1:$AG$1,0))&gt;=
OFFSET(Processor!$AB$1,MATCH(D251,Processor!$AA$2:$AA$23,0),MATCH(LEFT(D251,FIND(" ",D251)-1),Processor!$AC$1:$AG$1,0)),TRUE,FALSE))),FALSE)</f>
        <v>1</v>
      </c>
      <c r="AD260" s="185" t="b">
        <f t="shared" si="204"/>
        <v>1</v>
      </c>
      <c r="AE260" s="185" t="b">
        <f t="shared" si="205"/>
        <v>1</v>
      </c>
      <c r="AF260" s="185" t="b">
        <f>IF($D$249="",TRUE,IF(COUNTIF(Processor!$I$2:$I$9,$D$249)&gt;0,AND(AV260&gt;INDEX(Processor!$J$2:$J$9,MATCH($D$249,Processor!$I$2:$I$9,0)),AV260&lt;INDEX(Processor!$K$2:$K$9,MATCH($D$249,Processor!$I$2:$I$9,0))),IF(AV260=$D$249,TRUE,FALSE)))</f>
        <v>1</v>
      </c>
      <c r="AG260" s="185" t="b">
        <f t="shared" si="206"/>
        <v>1</v>
      </c>
      <c r="AH260" s="185" t="b">
        <f t="shared" si="207"/>
        <v>1</v>
      </c>
      <c r="AI260" s="185" t="b">
        <f t="shared" si="208"/>
        <v>1</v>
      </c>
      <c r="AJ260" s="185" t="b">
        <f t="shared" si="209"/>
        <v>1</v>
      </c>
      <c r="AK260" s="185" t="b">
        <f t="shared" si="210"/>
        <v>1</v>
      </c>
      <c r="AL260" s="185" t="b">
        <f>IFERROR(IF($D260="",TRUE,IF(MID(BC260,LEN(BC260)-2,1)*1&gt;=MID($D260,LEN($D260)-2,1)*1,TRUE,FALSE)),FALSE)</f>
        <v>1</v>
      </c>
      <c r="AM260" s="185" t="b">
        <f>IF(D259="",TRUE,IF(BB260&gt;=D259,TRUE,FALSE))</f>
        <v>1</v>
      </c>
      <c r="AN260" s="185"/>
      <c r="AO260" s="185"/>
      <c r="AP260" s="185" t="s">
        <v>211</v>
      </c>
      <c r="AQ260" s="185">
        <v>1</v>
      </c>
      <c r="AR260" s="185" t="str">
        <f t="shared" ca="1" si="217"/>
        <v>1920x1080</v>
      </c>
      <c r="AS260" s="185" t="str">
        <f t="shared" ca="1" si="217"/>
        <v>AMD Ryzen 5</v>
      </c>
      <c r="AT260" s="185">
        <f t="shared" ca="1" si="217"/>
        <v>8</v>
      </c>
      <c r="AU260" s="185">
        <f t="shared" ca="1" si="217"/>
        <v>256</v>
      </c>
      <c r="AV260" s="185">
        <f t="shared" ca="1" si="217"/>
        <v>14</v>
      </c>
      <c r="AW260" s="185">
        <f t="shared" ca="1" si="217"/>
        <v>3</v>
      </c>
      <c r="AX260" s="185">
        <f t="shared" ca="1" si="217"/>
        <v>1</v>
      </c>
      <c r="AY260" s="185" t="str">
        <f t="shared" ca="1" si="217"/>
        <v>Ja, HDMI-port finns</v>
      </c>
      <c r="AZ260" s="185" t="str">
        <f t="shared" ca="1" si="217"/>
        <v>802.11a/b/g/n/ac</v>
      </c>
      <c r="BA260" s="185">
        <f t="shared" ca="1" si="217"/>
        <v>5</v>
      </c>
      <c r="BB260" s="185">
        <f t="shared" ca="1" si="218"/>
        <v>11</v>
      </c>
      <c r="BC260" s="185" t="str">
        <f t="shared" ca="1" si="218"/>
        <v>Version 8.0</v>
      </c>
      <c r="BD260" s="185" t="str">
        <f t="shared" ca="1" si="218"/>
        <v>Ja</v>
      </c>
      <c r="BE260" s="185" t="str">
        <f t="shared" ca="1" si="218"/>
        <v>Windows 11 Pro</v>
      </c>
      <c r="BF260" s="185" t="str">
        <f t="shared" ca="1" si="218"/>
        <v>E14 G5 AMD</v>
      </c>
      <c r="BG260" s="185">
        <f t="shared" ca="1" si="218"/>
        <v>9288</v>
      </c>
      <c r="BH260" s="192">
        <f t="shared" ca="1" si="218"/>
        <v>78</v>
      </c>
      <c r="BI260" s="192">
        <f t="shared" ca="1" si="218"/>
        <v>252</v>
      </c>
      <c r="BJ260" s="192">
        <f t="shared" ca="1" si="218"/>
        <v>210</v>
      </c>
      <c r="BK260" s="192">
        <f t="shared" ca="1" si="218"/>
        <v>1824</v>
      </c>
      <c r="BL260" s="192">
        <f t="shared" ca="1" si="219"/>
        <v>290</v>
      </c>
      <c r="BM260" s="192">
        <f t="shared" ca="1" si="219"/>
        <v>185</v>
      </c>
      <c r="BN260" s="192">
        <f t="shared" ca="1" si="219"/>
        <v>60</v>
      </c>
      <c r="BO260" s="192">
        <f t="shared" ca="1" si="219"/>
        <v>50</v>
      </c>
      <c r="BP260" s="192" t="str">
        <f t="shared" ca="1" si="219"/>
        <v>V7</v>
      </c>
      <c r="BQ260" s="192" t="str">
        <f t="shared" ca="1" si="219"/>
        <v>Targus</v>
      </c>
      <c r="BR260" s="192" t="str">
        <f t="shared" ca="1" si="219"/>
        <v>Lenovo</v>
      </c>
      <c r="BS260" s="192" t="str">
        <f t="shared" ca="1" si="219"/>
        <v>Lenovo</v>
      </c>
      <c r="BT260" s="192" t="str">
        <f t="shared" ca="1" si="219"/>
        <v>V7 Elite Sleeve 14"</v>
      </c>
      <c r="BU260" s="192" t="str">
        <f t="shared" ca="1" si="219"/>
        <v>Targus Privacy Screen 14"</v>
      </c>
      <c r="BV260" s="192" t="str">
        <f t="shared" ca="1" si="219"/>
        <v>Power adapter USB-C 45w</v>
      </c>
      <c r="BW260" s="192" t="str">
        <f t="shared" ca="1" si="219"/>
        <v>ThinkPad USB-C Dock gen2</v>
      </c>
      <c r="BX260" s="192"/>
      <c r="BY260" s="192" t="str">
        <f t="shared" ca="1" si="214"/>
        <v>Foxway Education AB</v>
      </c>
      <c r="BZ260" s="192" t="str">
        <f t="shared" ca="1" si="214"/>
        <v>Lenovo</v>
      </c>
      <c r="CA260" s="185"/>
      <c r="CB260" s="185"/>
      <c r="CC260" s="185"/>
      <c r="CD260" s="185"/>
      <c r="CE260" s="185"/>
      <c r="CF260" s="185"/>
      <c r="CG260" s="185"/>
      <c r="CH260" s="185"/>
      <c r="CI260" s="185"/>
      <c r="CJ260" s="185"/>
      <c r="CK260" s="185"/>
      <c r="CL260" s="185"/>
      <c r="CM260" s="185"/>
      <c r="CN260" s="185"/>
    </row>
    <row r="261" spans="2:92" ht="24" customHeight="1" outlineLevel="1" x14ac:dyDescent="0.35">
      <c r="C261" s="61" t="s">
        <v>37</v>
      </c>
      <c r="D261" s="64"/>
      <c r="F261" s="80" t="str">
        <f t="shared" si="215"/>
        <v/>
      </c>
      <c r="G261" s="81" t="str">
        <f t="shared" ca="1" si="216"/>
        <v>Ja</v>
      </c>
      <c r="H261" s="81" t="str">
        <f t="shared" ca="1" si="216"/>
        <v>Ja</v>
      </c>
      <c r="I261" s="120" t="str">
        <f t="shared" ca="1" si="216"/>
        <v>Ja</v>
      </c>
      <c r="J261" s="62"/>
      <c r="Q261" s="185">
        <f t="shared" si="193"/>
        <v>0</v>
      </c>
      <c r="R261" s="185">
        <f t="shared" si="194"/>
        <v>0</v>
      </c>
      <c r="S261" s="185">
        <f t="shared" si="195"/>
        <v>0</v>
      </c>
      <c r="T261" s="185">
        <f t="shared" si="196"/>
        <v>0</v>
      </c>
      <c r="U261" s="185">
        <f t="shared" si="197"/>
        <v>0</v>
      </c>
      <c r="V261" s="185">
        <f t="shared" si="198"/>
        <v>0</v>
      </c>
      <c r="W261" s="185">
        <f t="shared" si="199"/>
        <v>0</v>
      </c>
      <c r="X261" s="185">
        <f t="shared" si="200"/>
        <v>0</v>
      </c>
      <c r="Y261" s="185">
        <f t="shared" si="201"/>
        <v>0</v>
      </c>
      <c r="Z261" s="196">
        <f t="shared" ca="1" si="202"/>
        <v>11210</v>
      </c>
      <c r="AA261" s="185" t="str">
        <f t="shared" ca="1" si="203"/>
        <v>Offererad produktnr. 03Foxway Education AB</v>
      </c>
      <c r="AB261" s="185"/>
      <c r="AC261" s="185" t="b">
        <f ca="1">IFERROR(IF(D251="",TRUE,
IF(OR(D251=$CB$12,D251=$CB$13),IF(LEFT(AS261,FIND(" ",AS261)-1)=D251,TRUE,FALSE),
IF(OFFSET(Processor!$AB$1,MATCH($AS261,Processor!$AA$2:$AA$23,0),MATCH(LEFT(D251,FIND(" ",D251)-1),Processor!$AC$1:$AG$1,0))&gt;=
OFFSET(Processor!$AB$1,MATCH(D251,Processor!$AA$2:$AA$23,0),MATCH(LEFT(D251,FIND(" ",D251)-1),Processor!$AC$1:$AG$1,0)),TRUE,FALSE))),FALSE)</f>
        <v>1</v>
      </c>
      <c r="AD261" s="185" t="b">
        <f t="shared" si="204"/>
        <v>1</v>
      </c>
      <c r="AE261" s="185" t="b">
        <f t="shared" si="205"/>
        <v>1</v>
      </c>
      <c r="AF261" s="185" t="b">
        <f>IF($D$249="",TRUE,IF(COUNTIF(Processor!$I$2:$I$9,$D$249)&gt;0,AND(AV261&gt;INDEX(Processor!$J$2:$J$9,MATCH($D$249,Processor!$I$2:$I$9,0)),AV261&lt;INDEX(Processor!$K$2:$K$9,MATCH($D$249,Processor!$I$2:$I$9,0))),IF(AV261=$D$249,TRUE,FALSE)))</f>
        <v>1</v>
      </c>
      <c r="AG261" s="185" t="b">
        <f t="shared" si="206"/>
        <v>1</v>
      </c>
      <c r="AH261" s="185" t="b">
        <f t="shared" si="207"/>
        <v>1</v>
      </c>
      <c r="AI261" s="185" t="b">
        <f t="shared" si="208"/>
        <v>1</v>
      </c>
      <c r="AJ261" s="185" t="b">
        <f t="shared" si="209"/>
        <v>1</v>
      </c>
      <c r="AK261" s="185" t="b">
        <f t="shared" si="210"/>
        <v>1</v>
      </c>
      <c r="AL261" s="185" t="b">
        <f>IFERROR(IF($D260="",TRUE,IF(MID(BC261,LEN(BC261)-2,1)*1&gt;=MID($D260,LEN($D260)-2,1)*1,TRUE,FALSE)),FALSE)</f>
        <v>1</v>
      </c>
      <c r="AM261" s="185" t="b">
        <f>IF(D259="",TRUE,IF(BB261&gt;=D259,TRUE,FALSE))</f>
        <v>1</v>
      </c>
      <c r="AN261" s="185"/>
      <c r="AO261" s="185"/>
      <c r="AP261" s="185" t="s">
        <v>212</v>
      </c>
      <c r="AQ261" s="185">
        <v>1</v>
      </c>
      <c r="AR261" s="185" t="str">
        <f t="shared" ca="1" si="217"/>
        <v>1920x1080</v>
      </c>
      <c r="AS261" s="185" t="str">
        <f t="shared" ca="1" si="217"/>
        <v>AMD Ryzen 7</v>
      </c>
      <c r="AT261" s="185">
        <f t="shared" ca="1" si="217"/>
        <v>16</v>
      </c>
      <c r="AU261" s="185">
        <f t="shared" ca="1" si="217"/>
        <v>512</v>
      </c>
      <c r="AV261" s="185">
        <f t="shared" ca="1" si="217"/>
        <v>14</v>
      </c>
      <c r="AW261" s="185">
        <f t="shared" ca="1" si="217"/>
        <v>4</v>
      </c>
      <c r="AX261" s="185">
        <f t="shared" ca="1" si="217"/>
        <v>2</v>
      </c>
      <c r="AY261" s="185" t="str">
        <f t="shared" ca="1" si="217"/>
        <v>Ja, HDMI-port finns</v>
      </c>
      <c r="AZ261" s="185" t="str">
        <f t="shared" ca="1" si="217"/>
        <v>802.11a/b/g/n/ac/ax</v>
      </c>
      <c r="BA261" s="185">
        <f t="shared" ca="1" si="217"/>
        <v>5.2</v>
      </c>
      <c r="BB261" s="185">
        <f t="shared" ca="1" si="218"/>
        <v>11</v>
      </c>
      <c r="BC261" s="185" t="str">
        <f t="shared" ca="1" si="218"/>
        <v>Version 8.0</v>
      </c>
      <c r="BD261" s="185" t="str">
        <f t="shared" ca="1" si="218"/>
        <v>Ja</v>
      </c>
      <c r="BE261" s="185" t="str">
        <f t="shared" ca="1" si="218"/>
        <v>Windows 11 Pro</v>
      </c>
      <c r="BF261" s="185" t="str">
        <f t="shared" ca="1" si="218"/>
        <v>L14 G4 AMD</v>
      </c>
      <c r="BG261" s="185">
        <f t="shared" ca="1" si="218"/>
        <v>11210</v>
      </c>
      <c r="BH261" s="192">
        <f t="shared" ca="1" si="218"/>
        <v>78</v>
      </c>
      <c r="BI261" s="192">
        <f t="shared" ca="1" si="218"/>
        <v>252</v>
      </c>
      <c r="BJ261" s="192">
        <f t="shared" ca="1" si="218"/>
        <v>210</v>
      </c>
      <c r="BK261" s="192">
        <f t="shared" ca="1" si="218"/>
        <v>1824</v>
      </c>
      <c r="BL261" s="192">
        <f t="shared" ca="1" si="219"/>
        <v>290</v>
      </c>
      <c r="BM261" s="192">
        <f t="shared" ca="1" si="219"/>
        <v>185</v>
      </c>
      <c r="BN261" s="192">
        <f t="shared" ca="1" si="219"/>
        <v>60</v>
      </c>
      <c r="BO261" s="192">
        <f t="shared" ca="1" si="219"/>
        <v>50</v>
      </c>
      <c r="BP261" s="192" t="str">
        <f t="shared" ca="1" si="219"/>
        <v>V7</v>
      </c>
      <c r="BQ261" s="192" t="str">
        <f t="shared" ca="1" si="219"/>
        <v>Targus</v>
      </c>
      <c r="BR261" s="192" t="str">
        <f t="shared" ca="1" si="219"/>
        <v>Lenovo</v>
      </c>
      <c r="BS261" s="192" t="str">
        <f t="shared" ca="1" si="219"/>
        <v>Lenovo</v>
      </c>
      <c r="BT261" s="192" t="str">
        <f t="shared" ca="1" si="219"/>
        <v>V7 Elite Sleeve 14"</v>
      </c>
      <c r="BU261" s="192" t="str">
        <f t="shared" ca="1" si="219"/>
        <v>Targus Privacy Screen 14"</v>
      </c>
      <c r="BV261" s="192" t="str">
        <f t="shared" ca="1" si="219"/>
        <v>Power adapter USB-C 45w</v>
      </c>
      <c r="BW261" s="192" t="str">
        <f t="shared" ca="1" si="219"/>
        <v>ThinkPad USB-C Dock gen2</v>
      </c>
      <c r="BX261" s="192"/>
      <c r="BY261" s="192" t="str">
        <f t="shared" ca="1" si="214"/>
        <v>Foxway Education AB</v>
      </c>
      <c r="BZ261" s="192" t="str">
        <f t="shared" ca="1" si="214"/>
        <v>Lenovo</v>
      </c>
      <c r="CA261" s="185"/>
      <c r="CB261" s="185"/>
      <c r="CC261" s="185"/>
      <c r="CD261" s="185"/>
      <c r="CE261" s="185"/>
      <c r="CF261" s="185"/>
      <c r="CG261" s="185"/>
      <c r="CH261" s="185"/>
      <c r="CI261" s="185"/>
      <c r="CJ261" s="185"/>
      <c r="CK261" s="185"/>
      <c r="CL261" s="185"/>
      <c r="CM261" s="185"/>
      <c r="CN261" s="185"/>
    </row>
    <row r="262" spans="2:92" ht="24" customHeight="1" outlineLevel="1" x14ac:dyDescent="0.35">
      <c r="C262" s="66"/>
      <c r="D262" s="67"/>
      <c r="F262" s="62"/>
      <c r="G262" s="62"/>
      <c r="H262" s="62"/>
      <c r="I262" s="62"/>
      <c r="J262" s="62"/>
      <c r="Q262" s="185">
        <f t="shared" si="193"/>
        <v>0</v>
      </c>
      <c r="R262" s="185">
        <f t="shared" si="194"/>
        <v>0</v>
      </c>
      <c r="S262" s="185">
        <f t="shared" si="195"/>
        <v>0</v>
      </c>
      <c r="T262" s="185">
        <f t="shared" si="196"/>
        <v>0</v>
      </c>
      <c r="U262" s="185">
        <f t="shared" si="197"/>
        <v>0</v>
      </c>
      <c r="V262" s="185">
        <f t="shared" si="198"/>
        <v>0</v>
      </c>
      <c r="W262" s="185">
        <f t="shared" si="199"/>
        <v>0</v>
      </c>
      <c r="X262" s="185">
        <f t="shared" si="200"/>
        <v>0</v>
      </c>
      <c r="Y262" s="185">
        <f t="shared" si="201"/>
        <v>0</v>
      </c>
      <c r="Z262" s="196">
        <f t="shared" ca="1" si="202"/>
        <v>10577</v>
      </c>
      <c r="AA262" s="185" t="str">
        <f t="shared" ca="1" si="203"/>
        <v>Offererad produktnr. 04Foxway Education AB</v>
      </c>
      <c r="AB262" s="185"/>
      <c r="AC262" s="185" t="b">
        <f ca="1">IFERROR(IF(D251="",TRUE,
IF(OR(D251=$CB$12,D251=$CB$13),IF(LEFT(AS262,FIND(" ",AS262)-1)=D251,TRUE,FALSE),
IF(OFFSET(Processor!$AB$1,MATCH($AS262,Processor!$AA$2:$AA$23,0),MATCH(LEFT(D251,FIND(" ",D251)-1),Processor!$AC$1:$AG$1,0))&gt;=
OFFSET(Processor!$AB$1,MATCH(D251,Processor!$AA$2:$AA$23,0),MATCH(LEFT(D251,FIND(" ",D251)-1),Processor!$AC$1:$AG$1,0)),TRUE,FALSE))),FALSE)</f>
        <v>1</v>
      </c>
      <c r="AD262" s="185" t="b">
        <f t="shared" si="204"/>
        <v>1</v>
      </c>
      <c r="AE262" s="185" t="b">
        <f t="shared" si="205"/>
        <v>1</v>
      </c>
      <c r="AF262" s="185" t="b">
        <f>IF($D$249="",TRUE,IF(COUNTIF(Processor!$I$2:$I$9,$D$249)&gt;0,AND(AV262&gt;INDEX(Processor!$J$2:$J$9,MATCH($D$249,Processor!$I$2:$I$9,0)),AV262&lt;INDEX(Processor!$K$2:$K$9,MATCH($D$249,Processor!$I$2:$I$9,0))),IF(AV262=$D$249,TRUE,FALSE)))</f>
        <v>1</v>
      </c>
      <c r="AG262" s="185" t="b">
        <f t="shared" si="206"/>
        <v>1</v>
      </c>
      <c r="AH262" s="185" t="b">
        <f t="shared" si="207"/>
        <v>1</v>
      </c>
      <c r="AI262" s="185" t="b">
        <f t="shared" si="208"/>
        <v>1</v>
      </c>
      <c r="AJ262" s="185" t="b">
        <f t="shared" si="209"/>
        <v>1</v>
      </c>
      <c r="AK262" s="185" t="b">
        <f t="shared" si="210"/>
        <v>1</v>
      </c>
      <c r="AL262" s="185" t="b">
        <f>IFERROR(IF($D260="",TRUE,IF(MID(BC262,LEN(BC262)-2,1)*1&gt;=MID($D260,LEN($D260)-2,1)*1,TRUE,FALSE)),FALSE)</f>
        <v>1</v>
      </c>
      <c r="AM262" s="185" t="b">
        <f>IF(D259="",TRUE,IF(BB262&gt;=D259,TRUE,FALSE))</f>
        <v>1</v>
      </c>
      <c r="AN262" s="185"/>
      <c r="AO262" s="185"/>
      <c r="AP262" s="185" t="s">
        <v>213</v>
      </c>
      <c r="AQ262" s="185">
        <v>1</v>
      </c>
      <c r="AR262" s="185" t="str">
        <f t="shared" ca="1" si="217"/>
        <v>1920x1080</v>
      </c>
      <c r="AS262" s="185" t="str">
        <f t="shared" ca="1" si="217"/>
        <v>Intel i7</v>
      </c>
      <c r="AT262" s="185">
        <f t="shared" ca="1" si="217"/>
        <v>16</v>
      </c>
      <c r="AU262" s="185">
        <f t="shared" ca="1" si="217"/>
        <v>512</v>
      </c>
      <c r="AV262" s="185">
        <f t="shared" ca="1" si="217"/>
        <v>14</v>
      </c>
      <c r="AW262" s="185">
        <f t="shared" ca="1" si="217"/>
        <v>4</v>
      </c>
      <c r="AX262" s="185">
        <f t="shared" ca="1" si="217"/>
        <v>2</v>
      </c>
      <c r="AY262" s="185" t="str">
        <f t="shared" ca="1" si="217"/>
        <v>Ja, HDMI-port finns</v>
      </c>
      <c r="AZ262" s="185" t="str">
        <f t="shared" ca="1" si="217"/>
        <v>802.11a/b/g/n/ac/ax</v>
      </c>
      <c r="BA262" s="185">
        <f t="shared" ca="1" si="217"/>
        <v>5.3</v>
      </c>
      <c r="BB262" s="185">
        <f t="shared" ca="1" si="218"/>
        <v>11</v>
      </c>
      <c r="BC262" s="185" t="str">
        <f t="shared" ca="1" si="218"/>
        <v>Version 8.0</v>
      </c>
      <c r="BD262" s="185" t="str">
        <f t="shared" ca="1" si="218"/>
        <v>Ja</v>
      </c>
      <c r="BE262" s="185" t="str">
        <f t="shared" ca="1" si="218"/>
        <v>Windows 11 Pro</v>
      </c>
      <c r="BF262" s="185" t="str">
        <f t="shared" ca="1" si="218"/>
        <v>Probook 445 G10</v>
      </c>
      <c r="BG262" s="185">
        <f t="shared" ca="1" si="218"/>
        <v>10577</v>
      </c>
      <c r="BH262" s="192">
        <f t="shared" ca="1" si="218"/>
        <v>93</v>
      </c>
      <c r="BI262" s="192">
        <f t="shared" ca="1" si="218"/>
        <v>252</v>
      </c>
      <c r="BJ262" s="192">
        <f t="shared" ca="1" si="218"/>
        <v>138</v>
      </c>
      <c r="BK262" s="192">
        <f t="shared" ca="1" si="218"/>
        <v>1150</v>
      </c>
      <c r="BL262" s="192">
        <f t="shared" ca="1" si="219"/>
        <v>192</v>
      </c>
      <c r="BM262" s="192">
        <f t="shared" ca="1" si="219"/>
        <v>185</v>
      </c>
      <c r="BN262" s="192">
        <f t="shared" ca="1" si="219"/>
        <v>60</v>
      </c>
      <c r="BO262" s="192">
        <f t="shared" ca="1" si="219"/>
        <v>50</v>
      </c>
      <c r="BP262" s="192" t="str">
        <f t="shared" ca="1" si="219"/>
        <v>V7</v>
      </c>
      <c r="BQ262" s="192" t="str">
        <f t="shared" ca="1" si="219"/>
        <v>Targus</v>
      </c>
      <c r="BR262" s="192" t="str">
        <f t="shared" ca="1" si="219"/>
        <v>HP</v>
      </c>
      <c r="BS262" s="192" t="str">
        <f t="shared" ca="1" si="219"/>
        <v>HP</v>
      </c>
      <c r="BT262" s="192" t="str">
        <f t="shared" ca="1" si="219"/>
        <v>V7 Elite Sleeve 14"</v>
      </c>
      <c r="BU262" s="192" t="str">
        <f t="shared" ca="1" si="219"/>
        <v>Targus Privacy Screen 14"</v>
      </c>
      <c r="BV262" s="192" t="str">
        <f t="shared" ca="1" si="219"/>
        <v>HP 45W Smart AC Adapter</v>
      </c>
      <c r="BW262" s="192" t="str">
        <f t="shared" ca="1" si="219"/>
        <v>HP USB-C Dock G5</v>
      </c>
      <c r="BX262" s="192"/>
      <c r="BY262" s="192" t="str">
        <f t="shared" ca="1" si="214"/>
        <v>Foxway Education AB</v>
      </c>
      <c r="BZ262" s="192" t="str">
        <f t="shared" ca="1" si="214"/>
        <v>HP</v>
      </c>
      <c r="CA262" s="185"/>
      <c r="CB262" s="185"/>
      <c r="CC262" s="185"/>
      <c r="CD262" s="185"/>
      <c r="CE262" s="185"/>
      <c r="CF262" s="185"/>
      <c r="CG262" s="185"/>
      <c r="CH262" s="185"/>
      <c r="CI262" s="185"/>
      <c r="CJ262" s="185"/>
      <c r="CK262" s="185"/>
      <c r="CL262" s="185"/>
      <c r="CM262" s="185"/>
      <c r="CN262" s="185"/>
    </row>
    <row r="263" spans="2:92" ht="26.25" customHeight="1" outlineLevel="1" x14ac:dyDescent="0.35">
      <c r="C263" s="212" t="s">
        <v>366</v>
      </c>
      <c r="D263" s="213"/>
      <c r="E263" s="213"/>
      <c r="F263" s="213"/>
      <c r="G263" s="213"/>
      <c r="H263" s="213"/>
      <c r="I263" s="214"/>
      <c r="J263" s="68"/>
      <c r="Q263" s="185">
        <f t="shared" si="193"/>
        <v>0</v>
      </c>
      <c r="R263" s="185">
        <f t="shared" si="194"/>
        <v>0</v>
      </c>
      <c r="S263" s="185">
        <f t="shared" si="195"/>
        <v>0</v>
      </c>
      <c r="T263" s="185">
        <f t="shared" si="196"/>
        <v>0</v>
      </c>
      <c r="U263" s="185">
        <f t="shared" si="197"/>
        <v>0</v>
      </c>
      <c r="V263" s="185">
        <f t="shared" si="198"/>
        <v>0</v>
      </c>
      <c r="W263" s="185">
        <f t="shared" si="199"/>
        <v>0</v>
      </c>
      <c r="X263" s="185">
        <f t="shared" si="200"/>
        <v>0</v>
      </c>
      <c r="Y263" s="185">
        <f t="shared" si="201"/>
        <v>0</v>
      </c>
      <c r="Z263" s="196">
        <f t="shared" ca="1" si="202"/>
        <v>6420</v>
      </c>
      <c r="AA263" s="185" t="str">
        <f t="shared" ca="1" si="203"/>
        <v>Offererad produktnr. 01Qlosr Göteborg AB</v>
      </c>
      <c r="AB263" s="185"/>
      <c r="AC263" s="185" t="b">
        <f ca="1">IFERROR(IF(D251="",TRUE,
IF(OR(D251=$CB$12,D251=$CB$13),IF(LEFT(AS263,FIND(" ",AS263)-1)=D251,TRUE,FALSE),
IF(OFFSET(Processor!$AB$1,MATCH($AS263,Processor!$AA$2:$AA$23,0),MATCH(LEFT(D251,FIND(" ",D251)-1),Processor!$AC$1:$AG$1,0))&gt;=
OFFSET(Processor!$AB$1,MATCH(D251,Processor!$AA$2:$AA$23,0),MATCH(LEFT(D251,FIND(" ",D251)-1),Processor!$AC$1:$AG$1,0)),TRUE,FALSE))),FALSE)</f>
        <v>1</v>
      </c>
      <c r="AD263" s="185" t="b">
        <f t="shared" si="204"/>
        <v>1</v>
      </c>
      <c r="AE263" s="185" t="b">
        <f t="shared" si="205"/>
        <v>1</v>
      </c>
      <c r="AF263" s="185" t="b">
        <f>IF($D$249="",TRUE,IF(COUNTIF(Processor!$I$2:$I$9,$D$249)&gt;0,AND(AV263&gt;INDEX(Processor!$J$2:$J$9,MATCH($D$249,Processor!$I$2:$I$9,0)),AV263&lt;INDEX(Processor!$K$2:$K$9,MATCH($D$249,Processor!$I$2:$I$9,0))),IF(AV263=$D$249,TRUE,FALSE)))</f>
        <v>1</v>
      </c>
      <c r="AG263" s="185" t="b">
        <f t="shared" si="206"/>
        <v>1</v>
      </c>
      <c r="AH263" s="185" t="b">
        <f t="shared" si="207"/>
        <v>1</v>
      </c>
      <c r="AI263" s="185" t="b">
        <f t="shared" si="208"/>
        <v>1</v>
      </c>
      <c r="AJ263" s="185" t="b">
        <f t="shared" si="209"/>
        <v>1</v>
      </c>
      <c r="AK263" s="185" t="b">
        <f t="shared" si="210"/>
        <v>1</v>
      </c>
      <c r="AL263" s="185" t="b">
        <f>IFERROR(IF($D260="",TRUE,IF(MID(BC263,LEN(BC263)-2,1)*1&gt;=MID($D260,LEN($D260)-2,1)*1,TRUE,FALSE)),FALSE)</f>
        <v>1</v>
      </c>
      <c r="AM263" s="185" t="b">
        <f>IF(D259="",TRUE,IF(BB263&gt;=D259,TRUE,FALSE))</f>
        <v>1</v>
      </c>
      <c r="AN263" s="185"/>
      <c r="AO263" s="185"/>
      <c r="AP263" s="185" t="s">
        <v>552</v>
      </c>
      <c r="AQ263" s="185">
        <v>1</v>
      </c>
      <c r="AR263" s="185" t="str">
        <f t="shared" ca="1" si="217"/>
        <v>1920x1080</v>
      </c>
      <c r="AS263" s="185" t="str">
        <f t="shared" ca="1" si="217"/>
        <v>AMD Ryzen 5</v>
      </c>
      <c r="AT263" s="185">
        <f t="shared" ca="1" si="217"/>
        <v>8</v>
      </c>
      <c r="AU263" s="185">
        <f t="shared" ca="1" si="217"/>
        <v>256</v>
      </c>
      <c r="AV263" s="185">
        <f t="shared" ca="1" si="217"/>
        <v>14</v>
      </c>
      <c r="AW263" s="185">
        <f t="shared" ca="1" si="217"/>
        <v>4</v>
      </c>
      <c r="AX263" s="185">
        <f t="shared" ca="1" si="217"/>
        <v>1</v>
      </c>
      <c r="AY263" s="185" t="str">
        <f t="shared" ca="1" si="217"/>
        <v>Ja, HDMI-port finns</v>
      </c>
      <c r="AZ263" s="185" t="str">
        <f t="shared" ca="1" si="217"/>
        <v>802.11a/b/g/n/ac/ax</v>
      </c>
      <c r="BA263" s="185">
        <f t="shared" ca="1" si="217"/>
        <v>5</v>
      </c>
      <c r="BB263" s="185">
        <f t="shared" ca="1" si="218"/>
        <v>11</v>
      </c>
      <c r="BC263" s="185" t="str">
        <f t="shared" ca="1" si="218"/>
        <v>Version 8.0</v>
      </c>
      <c r="BD263" s="185" t="str">
        <f t="shared" ca="1" si="218"/>
        <v>Ja</v>
      </c>
      <c r="BE263" s="185" t="str">
        <f t="shared" ca="1" si="218"/>
        <v>Windows 10 Pro</v>
      </c>
      <c r="BF263" s="185" t="str">
        <f t="shared" ca="1" si="218"/>
        <v>ProBook 445 G8</v>
      </c>
      <c r="BG263" s="185">
        <f t="shared" ca="1" si="218"/>
        <v>6420</v>
      </c>
      <c r="BH263" s="192">
        <f t="shared" ca="1" si="218"/>
        <v>79</v>
      </c>
      <c r="BI263" s="192">
        <f t="shared" ca="1" si="218"/>
        <v>199</v>
      </c>
      <c r="BJ263" s="192">
        <f t="shared" ca="1" si="218"/>
        <v>106</v>
      </c>
      <c r="BK263" s="192">
        <f t="shared" ca="1" si="218"/>
        <v>949</v>
      </c>
      <c r="BL263" s="192">
        <f t="shared" ca="1" si="219"/>
        <v>151</v>
      </c>
      <c r="BM263" s="192">
        <f t="shared" ca="1" si="219"/>
        <v>70</v>
      </c>
      <c r="BN263" s="192">
        <f t="shared" ca="1" si="219"/>
        <v>25</v>
      </c>
      <c r="BO263" s="192">
        <f t="shared" ca="1" si="219"/>
        <v>25</v>
      </c>
      <c r="BP263" s="192" t="str">
        <f t="shared" ca="1" si="219"/>
        <v>HP</v>
      </c>
      <c r="BQ263" s="192" t="str">
        <f t="shared" ca="1" si="219"/>
        <v>HP</v>
      </c>
      <c r="BR263" s="192" t="str">
        <f t="shared" ca="1" si="219"/>
        <v>HP</v>
      </c>
      <c r="BS263" s="192" t="str">
        <f t="shared" ca="1" si="219"/>
        <v>HP</v>
      </c>
      <c r="BT263" s="192" t="str">
        <f t="shared" ca="1" si="219"/>
        <v>GBX2UW01AA</v>
      </c>
      <c r="BU263" s="192" t="str">
        <f t="shared" ca="1" si="219"/>
        <v>GBXJ6E65AA</v>
      </c>
      <c r="BV263" s="192" t="str">
        <f t="shared" ca="1" si="219"/>
        <v>GBXH6Y88AA</v>
      </c>
      <c r="BW263" s="192" t="str">
        <f t="shared" ca="1" si="219"/>
        <v>GBX5TW10AA</v>
      </c>
      <c r="BX263" s="192"/>
      <c r="BY263" s="192" t="str">
        <f t="shared" ca="1" si="214"/>
        <v>Qlosr Göteborg AB</v>
      </c>
      <c r="BZ263" s="192" t="str">
        <f t="shared" ca="1" si="214"/>
        <v>HP</v>
      </c>
      <c r="CA263" s="185"/>
      <c r="CB263" s="185"/>
      <c r="CC263" s="185"/>
      <c r="CD263" s="185"/>
      <c r="CE263" s="185"/>
      <c r="CF263" s="185"/>
      <c r="CG263" s="185"/>
      <c r="CH263" s="185"/>
      <c r="CI263" s="185"/>
      <c r="CJ263" s="185"/>
      <c r="CK263" s="185"/>
      <c r="CL263" s="185"/>
      <c r="CM263" s="185"/>
      <c r="CN263" s="185"/>
    </row>
    <row r="264" spans="2:92" ht="26.25" customHeight="1" outlineLevel="1" x14ac:dyDescent="0.35">
      <c r="B264" s="69" t="s">
        <v>53</v>
      </c>
      <c r="C264" s="115" t="s">
        <v>363</v>
      </c>
      <c r="D264" s="70"/>
      <c r="F264" s="161" t="str">
        <f t="shared" ref="F264:F275" si="220">IF(F$245="Inget antal angivet","",IFERROR(INDEX($AR$246:$BZ$273,MATCH(F$242,$AP$246:$AP$273,0),MATCH($B264,$AR$246:$BZ$246,0)),""))</f>
        <v/>
      </c>
      <c r="G264" s="162">
        <f t="shared" ref="G264:I275" ca="1" si="221">IFERROR(INDEX($AR$246:$BZ$273,MATCH(G$242,$AP$246:$AP$273,0),MATCH($B264,$AR$246:$BZ$246,0)),"")</f>
        <v>79</v>
      </c>
      <c r="H264" s="162">
        <f t="shared" ca="1" si="221"/>
        <v>123</v>
      </c>
      <c r="I264" s="162">
        <f t="shared" ca="1" si="221"/>
        <v>79</v>
      </c>
      <c r="J264" s="62"/>
      <c r="Q264" s="185">
        <f t="shared" si="193"/>
        <v>0</v>
      </c>
      <c r="R264" s="185">
        <f t="shared" si="194"/>
        <v>0</v>
      </c>
      <c r="S264" s="185">
        <f t="shared" si="195"/>
        <v>0</v>
      </c>
      <c r="T264" s="185">
        <f t="shared" si="196"/>
        <v>0</v>
      </c>
      <c r="U264" s="185">
        <f t="shared" si="197"/>
        <v>0</v>
      </c>
      <c r="V264" s="185">
        <f t="shared" si="198"/>
        <v>0</v>
      </c>
      <c r="W264" s="185">
        <f t="shared" si="199"/>
        <v>0</v>
      </c>
      <c r="X264" s="185">
        <f t="shared" si="200"/>
        <v>0</v>
      </c>
      <c r="Y264" s="185">
        <f t="shared" si="201"/>
        <v>0</v>
      </c>
      <c r="Z264" s="196">
        <f t="shared" ca="1" si="202"/>
        <v>9600</v>
      </c>
      <c r="AA264" s="185" t="str">
        <f t="shared" ca="1" si="203"/>
        <v>Offererad produktnr. 02Qlosr Göteborg AB</v>
      </c>
      <c r="AB264" s="185"/>
      <c r="AC264" s="185" t="b">
        <f ca="1">IFERROR(IF(D251="",TRUE,
IF(OR(D251=$CB$12,D251=$CB$13),IF(LEFT(AS264,FIND(" ",AS264)-1)=D251,TRUE,FALSE),
IF(OFFSET(Processor!$AB$1,MATCH($AS264,Processor!$AA$2:$AA$23,0),MATCH(LEFT(D251,FIND(" ",D251)-1),Processor!$AC$1:$AG$1,0))&gt;=
OFFSET(Processor!$AB$1,MATCH(D251,Processor!$AA$2:$AA$23,0),MATCH(LEFT(D251,FIND(" ",D251)-1),Processor!$AC$1:$AG$1,0)),TRUE,FALSE))),FALSE)</f>
        <v>1</v>
      </c>
      <c r="AD264" s="185" t="b">
        <f t="shared" si="204"/>
        <v>1</v>
      </c>
      <c r="AE264" s="185" t="b">
        <f t="shared" si="205"/>
        <v>1</v>
      </c>
      <c r="AF264" s="185" t="b">
        <f>IF($D$249="",TRUE,IF(COUNTIF(Processor!$I$2:$I$9,$D$249)&gt;0,AND(AV264&gt;INDEX(Processor!$J$2:$J$9,MATCH($D$249,Processor!$I$2:$I$9,0)),AV264&lt;INDEX(Processor!$K$2:$K$9,MATCH($D$249,Processor!$I$2:$I$9,0))),IF(AV264=$D$249,TRUE,FALSE)))</f>
        <v>1</v>
      </c>
      <c r="AG264" s="185" t="b">
        <f t="shared" si="206"/>
        <v>1</v>
      </c>
      <c r="AH264" s="185" t="b">
        <f t="shared" si="207"/>
        <v>1</v>
      </c>
      <c r="AI264" s="185" t="b">
        <f t="shared" si="208"/>
        <v>1</v>
      </c>
      <c r="AJ264" s="185" t="b">
        <f t="shared" si="209"/>
        <v>1</v>
      </c>
      <c r="AK264" s="185" t="b">
        <f t="shared" si="210"/>
        <v>1</v>
      </c>
      <c r="AL264" s="185" t="b">
        <f>IFERROR(IF($D260="",TRUE,IF(MID(BC264,LEN(BC264)-2,1)*1&gt;=MID($D260,LEN($D260)-2,1)*1,TRUE,FALSE)),FALSE)</f>
        <v>1</v>
      </c>
      <c r="AM264" s="185" t="b">
        <f>IF(D259="",TRUE,IF(BB264&gt;=D259,TRUE,FALSE))</f>
        <v>1</v>
      </c>
      <c r="AN264" s="185"/>
      <c r="AO264" s="185"/>
      <c r="AP264" s="185" t="s">
        <v>553</v>
      </c>
      <c r="AQ264" s="185">
        <v>1</v>
      </c>
      <c r="AR264" s="185" t="str">
        <f t="shared" ca="1" si="217"/>
        <v>1920x1080</v>
      </c>
      <c r="AS264" s="185" t="str">
        <f t="shared" ca="1" si="217"/>
        <v>Intel i5</v>
      </c>
      <c r="AT264" s="185">
        <f t="shared" ca="1" si="217"/>
        <v>8</v>
      </c>
      <c r="AU264" s="185">
        <f t="shared" ca="1" si="217"/>
        <v>256</v>
      </c>
      <c r="AV264" s="185">
        <f t="shared" ca="1" si="217"/>
        <v>14</v>
      </c>
      <c r="AW264" s="185">
        <f t="shared" ca="1" si="217"/>
        <v>2</v>
      </c>
      <c r="AX264" s="185">
        <f t="shared" ca="1" si="217"/>
        <v>2</v>
      </c>
      <c r="AY264" s="185" t="str">
        <f t="shared" ca="1" si="217"/>
        <v>Ja, HDMI-port finns</v>
      </c>
      <c r="AZ264" s="185" t="str">
        <f t="shared" ca="1" si="217"/>
        <v>802.11a/b/g/n/ac/ax</v>
      </c>
      <c r="BA264" s="185">
        <f t="shared" ca="1" si="217"/>
        <v>5.3</v>
      </c>
      <c r="BB264" s="185">
        <f t="shared" ca="1" si="218"/>
        <v>11</v>
      </c>
      <c r="BC264" s="185" t="str">
        <f t="shared" ca="1" si="218"/>
        <v>Version 8.0</v>
      </c>
      <c r="BD264" s="185" t="str">
        <f t="shared" ca="1" si="218"/>
        <v>Ja</v>
      </c>
      <c r="BE264" s="185" t="str">
        <f t="shared" ca="1" si="218"/>
        <v>Windows 11 Pro</v>
      </c>
      <c r="BF264" s="185" t="str">
        <f t="shared" ca="1" si="218"/>
        <v>Dell Latitude 5440</v>
      </c>
      <c r="BG264" s="185">
        <f t="shared" ca="1" si="218"/>
        <v>9600</v>
      </c>
      <c r="BH264" s="192">
        <f t="shared" ca="1" si="218"/>
        <v>79</v>
      </c>
      <c r="BI264" s="192">
        <f t="shared" ca="1" si="218"/>
        <v>199</v>
      </c>
      <c r="BJ264" s="192">
        <f t="shared" ca="1" si="218"/>
        <v>182</v>
      </c>
      <c r="BK264" s="192">
        <f t="shared" ca="1" si="218"/>
        <v>1138</v>
      </c>
      <c r="BL264" s="192">
        <f t="shared" ca="1" si="219"/>
        <v>151</v>
      </c>
      <c r="BM264" s="192">
        <f t="shared" ca="1" si="219"/>
        <v>70</v>
      </c>
      <c r="BN264" s="192">
        <f t="shared" ca="1" si="219"/>
        <v>25</v>
      </c>
      <c r="BO264" s="192">
        <f t="shared" ca="1" si="219"/>
        <v>25</v>
      </c>
      <c r="BP264" s="192" t="str">
        <f t="shared" ca="1" si="219"/>
        <v>HP</v>
      </c>
      <c r="BQ264" s="192" t="str">
        <f t="shared" ca="1" si="219"/>
        <v>HP</v>
      </c>
      <c r="BR264" s="192" t="str">
        <f t="shared" ca="1" si="219"/>
        <v>Dell</v>
      </c>
      <c r="BS264" s="192" t="str">
        <f t="shared" ca="1" si="219"/>
        <v>HP</v>
      </c>
      <c r="BT264" s="192" t="str">
        <f t="shared" ca="1" si="219"/>
        <v>GBX3E2U7AA</v>
      </c>
      <c r="BU264" s="192" t="str">
        <f t="shared" ca="1" si="219"/>
        <v>GBXJ6E65AA</v>
      </c>
      <c r="BV264" s="192" t="str">
        <f t="shared" ca="1" si="219"/>
        <v>GBXUSBC65W-2</v>
      </c>
      <c r="BW264" s="192" t="str">
        <f t="shared" ca="1" si="219"/>
        <v>GBX5TW10AA</v>
      </c>
      <c r="BX264" s="192"/>
      <c r="BY264" s="192" t="str">
        <f t="shared" ca="1" si="214"/>
        <v>Qlosr Göteborg AB</v>
      </c>
      <c r="BZ264" s="192" t="str">
        <f t="shared" ca="1" si="214"/>
        <v>Dell</v>
      </c>
      <c r="CA264" s="185"/>
      <c r="CB264" s="185"/>
      <c r="CC264" s="185"/>
      <c r="CD264" s="185"/>
      <c r="CE264" s="185"/>
      <c r="CF264" s="185"/>
      <c r="CG264" s="185"/>
      <c r="CH264" s="185"/>
      <c r="CI264" s="185"/>
      <c r="CJ264" s="185"/>
      <c r="CK264" s="185"/>
      <c r="CL264" s="185"/>
      <c r="CM264" s="185"/>
      <c r="CN264" s="185"/>
    </row>
    <row r="265" spans="2:92" ht="26.25" customHeight="1" outlineLevel="1" x14ac:dyDescent="0.35">
      <c r="B265" s="69" t="s">
        <v>340</v>
      </c>
      <c r="C265" s="96" t="s">
        <v>51</v>
      </c>
      <c r="D265" s="131" t="str">
        <f>IF("Ska Ingå"=D264,"Ska Ingå","")</f>
        <v/>
      </c>
      <c r="F265" s="84" t="str">
        <f t="shared" si="220"/>
        <v/>
      </c>
      <c r="G265" s="85" t="str">
        <f t="shared" ca="1" si="221"/>
        <v>HP</v>
      </c>
      <c r="H265" s="85" t="str">
        <f t="shared" ca="1" si="221"/>
        <v>Cirafon</v>
      </c>
      <c r="I265" s="85" t="str">
        <f t="shared" ca="1" si="221"/>
        <v>HP</v>
      </c>
      <c r="J265" s="62"/>
      <c r="Q265" s="185">
        <f t="shared" si="193"/>
        <v>0</v>
      </c>
      <c r="R265" s="185">
        <f t="shared" si="194"/>
        <v>0</v>
      </c>
      <c r="S265" s="185">
        <f t="shared" si="195"/>
        <v>0</v>
      </c>
      <c r="T265" s="185">
        <f t="shared" si="196"/>
        <v>0</v>
      </c>
      <c r="U265" s="185">
        <f t="shared" si="197"/>
        <v>0</v>
      </c>
      <c r="V265" s="185">
        <f t="shared" si="198"/>
        <v>0</v>
      </c>
      <c r="W265" s="185">
        <f t="shared" si="199"/>
        <v>0</v>
      </c>
      <c r="X265" s="185">
        <f t="shared" si="200"/>
        <v>0</v>
      </c>
      <c r="Y265" s="185">
        <f t="shared" si="201"/>
        <v>0</v>
      </c>
      <c r="Z265" s="196">
        <f t="shared" ca="1" si="202"/>
        <v>7640</v>
      </c>
      <c r="AA265" s="185" t="str">
        <f t="shared" ca="1" si="203"/>
        <v>Offererad produktnr. 03Qlosr Göteborg AB</v>
      </c>
      <c r="AB265" s="185"/>
      <c r="AC265" s="185" t="b">
        <f ca="1">IFERROR(IF(D251="",TRUE,
IF(OR(D251=$CB$12,D251=$CB$13),IF(LEFT(AS265,FIND(" ",AS265)-1)=D251,TRUE,FALSE),
IF(OFFSET(Processor!$AB$1,MATCH($AS265,Processor!$AA$2:$AA$23,0),MATCH(LEFT(D251,FIND(" ",D251)-1),Processor!$AC$1:$AG$1,0))&gt;=
OFFSET(Processor!$AB$1,MATCH(D251,Processor!$AA$2:$AA$23,0),MATCH(LEFT(D251,FIND(" ",D251)-1),Processor!$AC$1:$AG$1,0)),TRUE,FALSE))),FALSE)</f>
        <v>1</v>
      </c>
      <c r="AD265" s="185" t="b">
        <f t="shared" si="204"/>
        <v>1</v>
      </c>
      <c r="AE265" s="185" t="b">
        <f t="shared" si="205"/>
        <v>1</v>
      </c>
      <c r="AF265" s="185" t="b">
        <f>IF($D$249="",TRUE,IF(COUNTIF(Processor!$I$2:$I$9,$D$249)&gt;0,AND(AV265&gt;INDEX(Processor!$J$2:$J$9,MATCH($D$249,Processor!$I$2:$I$9,0)),AV265&lt;INDEX(Processor!$K$2:$K$9,MATCH($D$249,Processor!$I$2:$I$9,0))),IF(AV265=$D$249,TRUE,FALSE)))</f>
        <v>1</v>
      </c>
      <c r="AG265" s="185" t="b">
        <f t="shared" si="206"/>
        <v>1</v>
      </c>
      <c r="AH265" s="185" t="b">
        <f t="shared" si="207"/>
        <v>1</v>
      </c>
      <c r="AI265" s="185" t="b">
        <f t="shared" si="208"/>
        <v>1</v>
      </c>
      <c r="AJ265" s="185" t="b">
        <f t="shared" si="209"/>
        <v>1</v>
      </c>
      <c r="AK265" s="185" t="b">
        <f t="shared" si="210"/>
        <v>1</v>
      </c>
      <c r="AL265" s="185" t="b">
        <f>IFERROR(IF($D260="",TRUE,IF(MID(BC265,LEN(BC265)-2,1)*1&gt;=MID($D260,LEN($D260)-2,1)*1,TRUE,FALSE)),FALSE)</f>
        <v>1</v>
      </c>
      <c r="AM265" s="185" t="b">
        <f>IF(D259="",TRUE,IF(BB265&gt;=D259,TRUE,FALSE))</f>
        <v>1</v>
      </c>
      <c r="AN265" s="185"/>
      <c r="AO265" s="185"/>
      <c r="AP265" s="185" t="s">
        <v>554</v>
      </c>
      <c r="AQ265" s="185">
        <v>1</v>
      </c>
      <c r="AR265" s="185" t="str">
        <f t="shared" ca="1" si="217"/>
        <v>1920x1080</v>
      </c>
      <c r="AS265" s="185" t="str">
        <f t="shared" ca="1" si="217"/>
        <v>AMD Ryzen 7</v>
      </c>
      <c r="AT265" s="185">
        <f t="shared" ca="1" si="217"/>
        <v>16</v>
      </c>
      <c r="AU265" s="185">
        <f t="shared" ca="1" si="217"/>
        <v>512</v>
      </c>
      <c r="AV265" s="185">
        <f t="shared" ca="1" si="217"/>
        <v>14</v>
      </c>
      <c r="AW265" s="185">
        <f t="shared" ca="1" si="217"/>
        <v>4</v>
      </c>
      <c r="AX265" s="185">
        <f t="shared" ca="1" si="217"/>
        <v>1</v>
      </c>
      <c r="AY265" s="185" t="str">
        <f t="shared" ca="1" si="217"/>
        <v>Ja, HDMI-port finns</v>
      </c>
      <c r="AZ265" s="185" t="str">
        <f t="shared" ca="1" si="217"/>
        <v>802.11a/b/g/n/ac/ax</v>
      </c>
      <c r="BA265" s="185">
        <f t="shared" ca="1" si="217"/>
        <v>5</v>
      </c>
      <c r="BB265" s="185">
        <f t="shared" ca="1" si="218"/>
        <v>11</v>
      </c>
      <c r="BC265" s="185" t="str">
        <f t="shared" ca="1" si="218"/>
        <v>Version 8.0</v>
      </c>
      <c r="BD265" s="185" t="str">
        <f t="shared" ca="1" si="218"/>
        <v>Ja</v>
      </c>
      <c r="BE265" s="185" t="str">
        <f t="shared" ca="1" si="218"/>
        <v>Windows 10 Pro</v>
      </c>
      <c r="BF265" s="185" t="str">
        <f t="shared" ca="1" si="218"/>
        <v>ProBook 445 G8</v>
      </c>
      <c r="BG265" s="185">
        <f t="shared" ca="1" si="218"/>
        <v>7640</v>
      </c>
      <c r="BH265" s="192">
        <f t="shared" ca="1" si="218"/>
        <v>79</v>
      </c>
      <c r="BI265" s="192">
        <f t="shared" ca="1" si="218"/>
        <v>199</v>
      </c>
      <c r="BJ265" s="192">
        <f t="shared" ca="1" si="218"/>
        <v>106</v>
      </c>
      <c r="BK265" s="192">
        <f t="shared" ca="1" si="218"/>
        <v>949</v>
      </c>
      <c r="BL265" s="192">
        <f t="shared" ca="1" si="219"/>
        <v>151</v>
      </c>
      <c r="BM265" s="192">
        <f t="shared" ca="1" si="219"/>
        <v>70</v>
      </c>
      <c r="BN265" s="192">
        <f t="shared" ca="1" si="219"/>
        <v>25</v>
      </c>
      <c r="BO265" s="192">
        <f t="shared" ca="1" si="219"/>
        <v>25</v>
      </c>
      <c r="BP265" s="192" t="str">
        <f t="shared" ca="1" si="219"/>
        <v>HP</v>
      </c>
      <c r="BQ265" s="192" t="str">
        <f t="shared" ca="1" si="219"/>
        <v>HP</v>
      </c>
      <c r="BR265" s="192" t="str">
        <f t="shared" ca="1" si="219"/>
        <v>HP</v>
      </c>
      <c r="BS265" s="192" t="str">
        <f t="shared" ca="1" si="219"/>
        <v>HP</v>
      </c>
      <c r="BT265" s="192" t="str">
        <f t="shared" ca="1" si="219"/>
        <v>GBX2UW01AA</v>
      </c>
      <c r="BU265" s="192" t="str">
        <f t="shared" ca="1" si="219"/>
        <v>GBXJ6E65AA</v>
      </c>
      <c r="BV265" s="192" t="str">
        <f t="shared" ca="1" si="219"/>
        <v>GBXH6Y88AA</v>
      </c>
      <c r="BW265" s="192" t="str">
        <f t="shared" ca="1" si="219"/>
        <v>GBX5TW10AA</v>
      </c>
      <c r="BX265" s="192"/>
      <c r="BY265" s="192" t="str">
        <f t="shared" ca="1" si="214"/>
        <v>Qlosr Göteborg AB</v>
      </c>
      <c r="BZ265" s="192" t="str">
        <f t="shared" ca="1" si="214"/>
        <v>HP</v>
      </c>
      <c r="CA265" s="185"/>
      <c r="CB265" s="185"/>
      <c r="CC265" s="185"/>
      <c r="CD265" s="185"/>
      <c r="CE265" s="185"/>
      <c r="CF265" s="185"/>
      <c r="CG265" s="185"/>
      <c r="CH265" s="185"/>
      <c r="CI265" s="185"/>
      <c r="CJ265" s="185"/>
      <c r="CK265" s="185"/>
      <c r="CL265" s="185"/>
      <c r="CM265" s="185"/>
      <c r="CN265" s="185"/>
    </row>
    <row r="266" spans="2:92" ht="67.5" customHeight="1" outlineLevel="1" x14ac:dyDescent="0.35">
      <c r="B266" s="69" t="s">
        <v>345</v>
      </c>
      <c r="C266" s="97" t="s">
        <v>52</v>
      </c>
      <c r="D266" s="132" t="str">
        <f>IF("Ska Ingå"=D264,"Ska Ingå","")</f>
        <v/>
      </c>
      <c r="F266" s="86" t="str">
        <f t="shared" si="220"/>
        <v/>
      </c>
      <c r="G266" s="87" t="str">
        <f t="shared" ca="1" si="221"/>
        <v>GBX2UW01AA</v>
      </c>
      <c r="H266" s="87" t="str">
        <f t="shared" ca="1" si="221"/>
        <v>LSN8696R2-14.1</v>
      </c>
      <c r="I266" s="87" t="str">
        <f t="shared" ca="1" si="221"/>
        <v>GBX2UW01AA</v>
      </c>
      <c r="J266" s="62"/>
      <c r="Q266" s="185">
        <f t="shared" si="193"/>
        <v>0</v>
      </c>
      <c r="R266" s="185">
        <f t="shared" si="194"/>
        <v>0</v>
      </c>
      <c r="S266" s="185">
        <f t="shared" si="195"/>
        <v>0</v>
      </c>
      <c r="T266" s="185">
        <f t="shared" si="196"/>
        <v>0</v>
      </c>
      <c r="U266" s="185">
        <f t="shared" si="197"/>
        <v>0</v>
      </c>
      <c r="V266" s="185">
        <f t="shared" si="198"/>
        <v>0</v>
      </c>
      <c r="W266" s="185">
        <f t="shared" si="199"/>
        <v>0</v>
      </c>
      <c r="X266" s="185">
        <f t="shared" si="200"/>
        <v>0</v>
      </c>
      <c r="Y266" s="185">
        <f t="shared" si="201"/>
        <v>0</v>
      </c>
      <c r="Z266" s="196">
        <f t="shared" ca="1" si="202"/>
        <v>8299</v>
      </c>
      <c r="AA266" s="185" t="str">
        <f t="shared" ca="1" si="203"/>
        <v>Offererad produktnr. 04Qlosr Göteborg AB</v>
      </c>
      <c r="AB266" s="185"/>
      <c r="AC266" s="185" t="b">
        <f ca="1">IFERROR(IF(D251="",TRUE,
IF(OR(D251=$CB$12,D251=$CB$13),IF(LEFT(AS266,FIND(" ",AS266)-1)=D251,TRUE,FALSE),
IF(OFFSET(Processor!$AB$1,MATCH($AS266,Processor!$AA$2:$AA$23,0),MATCH(LEFT(D251,FIND(" ",D251)-1),Processor!$AC$1:$AG$1,0))&gt;=
OFFSET(Processor!$AB$1,MATCH(D251,Processor!$AA$2:$AA$23,0),MATCH(LEFT(D251,FIND(" ",D251)-1),Processor!$AC$1:$AG$1,0)),TRUE,FALSE))),FALSE)</f>
        <v>1</v>
      </c>
      <c r="AD266" s="185" t="b">
        <f t="shared" si="204"/>
        <v>1</v>
      </c>
      <c r="AE266" s="185" t="b">
        <f t="shared" si="205"/>
        <v>1</v>
      </c>
      <c r="AF266" s="185" t="b">
        <f>IF($D$249="",TRUE,IF(COUNTIF(Processor!$I$2:$I$9,$D$249)&gt;0,AND(AV266&gt;INDEX(Processor!$J$2:$J$9,MATCH($D$249,Processor!$I$2:$I$9,0)),AV266&lt;INDEX(Processor!$K$2:$K$9,MATCH($D$249,Processor!$I$2:$I$9,0))),IF(AV266=$D$249,TRUE,FALSE)))</f>
        <v>1</v>
      </c>
      <c r="AG266" s="185" t="b">
        <f t="shared" si="206"/>
        <v>1</v>
      </c>
      <c r="AH266" s="185" t="b">
        <f t="shared" si="207"/>
        <v>1</v>
      </c>
      <c r="AI266" s="185" t="b">
        <f t="shared" si="208"/>
        <v>1</v>
      </c>
      <c r="AJ266" s="185" t="b">
        <f t="shared" si="209"/>
        <v>1</v>
      </c>
      <c r="AK266" s="185" t="b">
        <f t="shared" si="210"/>
        <v>1</v>
      </c>
      <c r="AL266" s="185" t="b">
        <f>IFERROR(IF($D260="",TRUE,IF(MID(BC266,LEN(BC266)-2,1)*1&gt;=MID($D260,LEN($D260)-2,1)*1,TRUE,FALSE)),FALSE)</f>
        <v>1</v>
      </c>
      <c r="AM266" s="185" t="b">
        <f>IF(D259="",TRUE,IF(BB266&gt;=D259,TRUE,FALSE))</f>
        <v>1</v>
      </c>
      <c r="AN266" s="185"/>
      <c r="AO266" s="185"/>
      <c r="AP266" s="185" t="s">
        <v>555</v>
      </c>
      <c r="AQ266" s="185">
        <v>1</v>
      </c>
      <c r="AR266" s="185" t="str">
        <f t="shared" ca="1" si="217"/>
        <v>1920x1080</v>
      </c>
      <c r="AS266" s="185" t="str">
        <f t="shared" ca="1" si="217"/>
        <v>Intel i7</v>
      </c>
      <c r="AT266" s="185">
        <f t="shared" ca="1" si="217"/>
        <v>16</v>
      </c>
      <c r="AU266" s="185">
        <f t="shared" ca="1" si="217"/>
        <v>512</v>
      </c>
      <c r="AV266" s="185">
        <f t="shared" ca="1" si="217"/>
        <v>14</v>
      </c>
      <c r="AW266" s="185">
        <f t="shared" ca="1" si="217"/>
        <v>4</v>
      </c>
      <c r="AX266" s="185">
        <f t="shared" ca="1" si="217"/>
        <v>1</v>
      </c>
      <c r="AY266" s="185" t="str">
        <f t="shared" ca="1" si="217"/>
        <v>Ja, HDMI-port finns</v>
      </c>
      <c r="AZ266" s="185" t="str">
        <f t="shared" ca="1" si="217"/>
        <v>802.11a/b/g/n/ac/ax</v>
      </c>
      <c r="BA266" s="185">
        <f t="shared" ca="1" si="217"/>
        <v>5</v>
      </c>
      <c r="BB266" s="185">
        <f t="shared" ca="1" si="218"/>
        <v>11</v>
      </c>
      <c r="BC266" s="185" t="str">
        <f t="shared" ca="1" si="218"/>
        <v>Version 8.0</v>
      </c>
      <c r="BD266" s="185" t="str">
        <f t="shared" ca="1" si="218"/>
        <v>Ja</v>
      </c>
      <c r="BE266" s="185" t="str">
        <f t="shared" ca="1" si="218"/>
        <v>Windows 10 Pro</v>
      </c>
      <c r="BF266" s="185" t="str">
        <f t="shared" ca="1" si="218"/>
        <v>ProBook 440 G8</v>
      </c>
      <c r="BG266" s="185">
        <f t="shared" ca="1" si="218"/>
        <v>8299</v>
      </c>
      <c r="BH266" s="192">
        <f t="shared" ca="1" si="218"/>
        <v>79</v>
      </c>
      <c r="BI266" s="192">
        <f t="shared" ca="1" si="218"/>
        <v>199</v>
      </c>
      <c r="BJ266" s="192">
        <f t="shared" ca="1" si="218"/>
        <v>106</v>
      </c>
      <c r="BK266" s="192">
        <f t="shared" ca="1" si="218"/>
        <v>949</v>
      </c>
      <c r="BL266" s="192">
        <f t="shared" ca="1" si="219"/>
        <v>151</v>
      </c>
      <c r="BM266" s="192">
        <f t="shared" ca="1" si="219"/>
        <v>70</v>
      </c>
      <c r="BN266" s="192">
        <f t="shared" ca="1" si="219"/>
        <v>25</v>
      </c>
      <c r="BO266" s="192">
        <f t="shared" ca="1" si="219"/>
        <v>25</v>
      </c>
      <c r="BP266" s="192" t="str">
        <f t="shared" ca="1" si="219"/>
        <v>HP</v>
      </c>
      <c r="BQ266" s="192" t="str">
        <f t="shared" ca="1" si="219"/>
        <v>HP</v>
      </c>
      <c r="BR266" s="192" t="str">
        <f t="shared" ca="1" si="219"/>
        <v>HP</v>
      </c>
      <c r="BS266" s="192" t="str">
        <f t="shared" ca="1" si="219"/>
        <v>HP</v>
      </c>
      <c r="BT266" s="192" t="str">
        <f t="shared" ca="1" si="219"/>
        <v>GBX2UW01AA</v>
      </c>
      <c r="BU266" s="192" t="str">
        <f t="shared" ca="1" si="219"/>
        <v>GBXJ6E65AA</v>
      </c>
      <c r="BV266" s="192" t="str">
        <f t="shared" ca="1" si="219"/>
        <v>GBXH6Y88AA</v>
      </c>
      <c r="BW266" s="192" t="str">
        <f t="shared" ca="1" si="219"/>
        <v>GBX5TW10AA</v>
      </c>
      <c r="BX266" s="192"/>
      <c r="BY266" s="192" t="str">
        <f t="shared" ca="1" si="214"/>
        <v>Qlosr Göteborg AB</v>
      </c>
      <c r="BZ266" s="192" t="str">
        <f t="shared" ca="1" si="214"/>
        <v>HP</v>
      </c>
      <c r="CA266" s="185"/>
      <c r="CB266" s="185"/>
      <c r="CC266" s="185"/>
      <c r="CD266" s="185"/>
      <c r="CE266" s="185"/>
      <c r="CF266" s="185"/>
      <c r="CG266" s="185"/>
      <c r="CH266" s="185"/>
      <c r="CI266" s="185"/>
      <c r="CJ266" s="185"/>
      <c r="CK266" s="185"/>
      <c r="CL266" s="185"/>
      <c r="CM266" s="185"/>
      <c r="CN266" s="185"/>
    </row>
    <row r="267" spans="2:92" ht="26.25" customHeight="1" outlineLevel="1" x14ac:dyDescent="0.35">
      <c r="B267" s="69" t="s">
        <v>54</v>
      </c>
      <c r="C267" s="98" t="s">
        <v>77</v>
      </c>
      <c r="D267" s="70"/>
      <c r="F267" s="157" t="str">
        <f t="shared" si="220"/>
        <v/>
      </c>
      <c r="G267" s="158">
        <f t="shared" ca="1" si="221"/>
        <v>199</v>
      </c>
      <c r="H267" s="158">
        <f t="shared" ca="1" si="221"/>
        <v>425</v>
      </c>
      <c r="I267" s="158">
        <f t="shared" ca="1" si="221"/>
        <v>199</v>
      </c>
      <c r="J267" s="62"/>
      <c r="BH267" s="63"/>
      <c r="BI267" s="63"/>
      <c r="BJ267" s="63"/>
      <c r="BK267" s="63"/>
      <c r="BL267" s="63"/>
      <c r="BM267" s="63"/>
      <c r="BN267" s="63"/>
      <c r="BO267" s="63"/>
      <c r="BP267" s="63"/>
      <c r="BQ267" s="63"/>
      <c r="BR267" s="63"/>
      <c r="BS267" s="63"/>
      <c r="BT267" s="63"/>
      <c r="BU267" s="63"/>
      <c r="BV267" s="63"/>
      <c r="BW267" s="63"/>
      <c r="BX267" s="63"/>
      <c r="BY267" s="63"/>
      <c r="BZ267" s="63"/>
      <c r="CA267" s="185"/>
      <c r="CB267" s="185"/>
      <c r="CC267" s="185"/>
      <c r="CD267" s="185"/>
      <c r="CE267" s="185"/>
      <c r="CF267" s="185"/>
      <c r="CG267" s="185"/>
      <c r="CH267" s="185"/>
      <c r="CI267" s="185"/>
      <c r="CJ267" s="185"/>
      <c r="CK267" s="185"/>
      <c r="CL267" s="185"/>
      <c r="CM267" s="185"/>
      <c r="CN267" s="185"/>
    </row>
    <row r="268" spans="2:92" ht="26.25" customHeight="1" outlineLevel="1" x14ac:dyDescent="0.35">
      <c r="B268" s="69" t="s">
        <v>341</v>
      </c>
      <c r="C268" s="61" t="s">
        <v>51</v>
      </c>
      <c r="D268" s="131" t="str">
        <f>IF("Ska Ingå"=D267,"Ska Ingå","")</f>
        <v/>
      </c>
      <c r="F268" s="88" t="str">
        <f t="shared" si="220"/>
        <v/>
      </c>
      <c r="G268" s="89" t="str">
        <f t="shared" ca="1" si="221"/>
        <v>HP</v>
      </c>
      <c r="H268" s="89" t="str">
        <f t="shared" ca="1" si="221"/>
        <v>Cirafon</v>
      </c>
      <c r="I268" s="89" t="str">
        <f t="shared" ca="1" si="221"/>
        <v>HP</v>
      </c>
      <c r="J268" s="62"/>
      <c r="BH268" s="63"/>
      <c r="BI268" s="63"/>
      <c r="BJ268" s="63"/>
      <c r="BK268" s="63"/>
      <c r="BL268" s="63"/>
      <c r="BM268" s="63"/>
      <c r="BN268" s="63"/>
      <c r="BO268" s="63"/>
      <c r="BP268" s="63"/>
      <c r="BQ268" s="63"/>
      <c r="BR268" s="63"/>
      <c r="BS268" s="63"/>
      <c r="BT268" s="63"/>
      <c r="BU268" s="63"/>
      <c r="BV268" s="63"/>
      <c r="BW268" s="63"/>
      <c r="BX268" s="63"/>
      <c r="BY268" s="63"/>
      <c r="BZ268" s="63"/>
      <c r="CA268" s="185"/>
      <c r="CB268" s="185"/>
      <c r="CC268" s="185"/>
      <c r="CD268" s="185"/>
      <c r="CE268" s="185"/>
      <c r="CF268" s="185"/>
      <c r="CG268" s="185"/>
      <c r="CH268" s="185"/>
      <c r="CI268" s="185"/>
      <c r="CJ268" s="185"/>
      <c r="CK268" s="185"/>
      <c r="CL268" s="185"/>
      <c r="CM268" s="185"/>
      <c r="CN268" s="185"/>
    </row>
    <row r="269" spans="2:92" ht="68.25" customHeight="1" outlineLevel="1" x14ac:dyDescent="0.35">
      <c r="B269" s="69" t="s">
        <v>346</v>
      </c>
      <c r="C269" s="99" t="s">
        <v>52</v>
      </c>
      <c r="D269" s="132" t="str">
        <f>IF("Ska Ingå"=D267,"Ska Ingå","")</f>
        <v/>
      </c>
      <c r="F269" s="90" t="str">
        <f t="shared" si="220"/>
        <v/>
      </c>
      <c r="G269" s="91" t="str">
        <f t="shared" ca="1" si="221"/>
        <v>GBXJ6E65AA</v>
      </c>
      <c r="H269" s="91" t="str">
        <f t="shared" ca="1" si="221"/>
        <v>DPF14-9</v>
      </c>
      <c r="I269" s="91" t="str">
        <f t="shared" ca="1" si="221"/>
        <v>GBXJ6E65AA</v>
      </c>
      <c r="J269" s="62"/>
      <c r="BH269" s="63"/>
      <c r="BI269" s="63"/>
      <c r="BJ269" s="63"/>
      <c r="BK269" s="63"/>
      <c r="BL269" s="63"/>
      <c r="BM269" s="63"/>
      <c r="BN269" s="63"/>
      <c r="BO269" s="63"/>
      <c r="BP269" s="63"/>
      <c r="BQ269" s="63"/>
      <c r="BR269" s="63"/>
      <c r="BS269" s="63"/>
      <c r="BT269" s="63"/>
      <c r="BU269" s="63"/>
      <c r="BV269" s="63"/>
      <c r="BW269" s="63"/>
      <c r="BX269" s="63"/>
      <c r="BY269" s="63"/>
      <c r="BZ269" s="63"/>
      <c r="CA269" s="185"/>
      <c r="CB269" s="185"/>
      <c r="CC269" s="185"/>
      <c r="CD269" s="185"/>
      <c r="CE269" s="185"/>
      <c r="CF269" s="185"/>
      <c r="CG269" s="185"/>
      <c r="CH269" s="185"/>
      <c r="CI269" s="185"/>
      <c r="CJ269" s="185"/>
      <c r="CK269" s="185"/>
      <c r="CL269" s="185"/>
      <c r="CM269" s="185"/>
      <c r="CN269" s="185"/>
    </row>
    <row r="270" spans="2:92" ht="31.5" customHeight="1" outlineLevel="1" x14ac:dyDescent="0.35">
      <c r="B270" s="69" t="s">
        <v>55</v>
      </c>
      <c r="C270" s="95" t="s">
        <v>371</v>
      </c>
      <c r="D270" s="70"/>
      <c r="F270" s="159" t="str">
        <f t="shared" si="220"/>
        <v/>
      </c>
      <c r="G270" s="160">
        <f t="shared" ca="1" si="221"/>
        <v>106</v>
      </c>
      <c r="H270" s="160">
        <f t="shared" ca="1" si="221"/>
        <v>149</v>
      </c>
      <c r="I270" s="160">
        <f t="shared" ca="1" si="221"/>
        <v>106</v>
      </c>
      <c r="J270" s="62"/>
      <c r="BH270" s="63"/>
      <c r="BI270" s="63"/>
      <c r="BJ270" s="63"/>
      <c r="BK270" s="63"/>
      <c r="BL270" s="63"/>
      <c r="BM270" s="63"/>
      <c r="BN270" s="63"/>
      <c r="BO270" s="63"/>
      <c r="BP270" s="63"/>
      <c r="BQ270" s="63"/>
      <c r="BR270" s="63"/>
      <c r="BS270" s="63"/>
      <c r="BT270" s="63"/>
      <c r="BU270" s="63"/>
      <c r="BV270" s="63"/>
      <c r="BW270" s="63"/>
      <c r="BX270" s="63"/>
      <c r="BY270" s="63"/>
      <c r="BZ270" s="63"/>
      <c r="CA270" s="185"/>
      <c r="CB270" s="185"/>
      <c r="CC270" s="185"/>
      <c r="CD270" s="185"/>
      <c r="CE270" s="185"/>
      <c r="CF270" s="185"/>
      <c r="CG270" s="185"/>
      <c r="CH270" s="185"/>
      <c r="CI270" s="185"/>
      <c r="CJ270" s="185"/>
      <c r="CK270" s="185"/>
      <c r="CL270" s="185"/>
      <c r="CM270" s="185"/>
      <c r="CN270" s="185"/>
    </row>
    <row r="271" spans="2:92" ht="26.25" customHeight="1" outlineLevel="1" x14ac:dyDescent="0.35">
      <c r="B271" s="69" t="s">
        <v>342</v>
      </c>
      <c r="C271" s="96" t="s">
        <v>51</v>
      </c>
      <c r="D271" s="131" t="str">
        <f>IF("Ska Ingå"=D270,"Ska Ingå","")</f>
        <v/>
      </c>
      <c r="F271" s="84" t="str">
        <f t="shared" si="220"/>
        <v/>
      </c>
      <c r="G271" s="85" t="str">
        <f t="shared" ca="1" si="221"/>
        <v>HP</v>
      </c>
      <c r="H271" s="85" t="str">
        <f t="shared" ca="1" si="221"/>
        <v>HP</v>
      </c>
      <c r="I271" s="85" t="str">
        <f t="shared" ca="1" si="221"/>
        <v>HP</v>
      </c>
      <c r="J271" s="62"/>
    </row>
    <row r="272" spans="2:92" ht="67.5" customHeight="1" outlineLevel="1" x14ac:dyDescent="0.35">
      <c r="B272" s="69" t="s">
        <v>347</v>
      </c>
      <c r="C272" s="97" t="s">
        <v>52</v>
      </c>
      <c r="D272" s="132" t="str">
        <f>IF("Ska Ingå"=D270,"Ska Ingå","")</f>
        <v/>
      </c>
      <c r="F272" s="86" t="str">
        <f t="shared" si="220"/>
        <v/>
      </c>
      <c r="G272" s="87" t="str">
        <f t="shared" ca="1" si="221"/>
        <v>GBXH6Y88AA</v>
      </c>
      <c r="H272" s="87" t="str">
        <f t="shared" ca="1" si="221"/>
        <v xml:space="preserve">1MZ01AA </v>
      </c>
      <c r="I272" s="87" t="str">
        <f t="shared" ca="1" si="221"/>
        <v>GBXH6Y88AA</v>
      </c>
      <c r="J272" s="62"/>
    </row>
    <row r="273" spans="2:78" ht="26.25" customHeight="1" outlineLevel="1" x14ac:dyDescent="0.35">
      <c r="B273" s="69" t="s">
        <v>59</v>
      </c>
      <c r="C273" s="98" t="s">
        <v>364</v>
      </c>
      <c r="D273" s="70"/>
      <c r="F273" s="157" t="str">
        <f t="shared" si="220"/>
        <v/>
      </c>
      <c r="G273" s="158">
        <f t="shared" ca="1" si="221"/>
        <v>949</v>
      </c>
      <c r="H273" s="158">
        <f t="shared" ca="1" si="221"/>
        <v>1185</v>
      </c>
      <c r="I273" s="158">
        <f t="shared" ca="1" si="221"/>
        <v>949</v>
      </c>
      <c r="J273" s="62"/>
      <c r="BH273" s="63"/>
      <c r="BI273" s="63"/>
      <c r="BJ273" s="63"/>
      <c r="BK273" s="63"/>
      <c r="BL273" s="63"/>
      <c r="BM273" s="63"/>
      <c r="BN273" s="63"/>
      <c r="BO273" s="63"/>
      <c r="BP273" s="63"/>
      <c r="BQ273" s="63"/>
      <c r="BR273" s="63"/>
      <c r="BS273" s="63"/>
      <c r="BT273" s="63"/>
      <c r="BU273" s="63"/>
      <c r="BV273" s="63"/>
      <c r="BW273" s="63"/>
      <c r="BX273" s="63"/>
      <c r="BY273" s="63"/>
      <c r="BZ273" s="63"/>
    </row>
    <row r="274" spans="2:78" ht="26.25" customHeight="1" outlineLevel="1" x14ac:dyDescent="0.35">
      <c r="B274" s="69" t="s">
        <v>343</v>
      </c>
      <c r="C274" s="61" t="s">
        <v>51</v>
      </c>
      <c r="D274" s="131" t="str">
        <f>IF("Ska Ingå"=D273,"Ska Ingå","")</f>
        <v/>
      </c>
      <c r="F274" s="88" t="str">
        <f t="shared" si="220"/>
        <v/>
      </c>
      <c r="G274" s="89" t="str">
        <f t="shared" ca="1" si="221"/>
        <v>HP</v>
      </c>
      <c r="H274" s="89" t="str">
        <f t="shared" ca="1" si="221"/>
        <v>HP</v>
      </c>
      <c r="I274" s="89" t="str">
        <f t="shared" ca="1" si="221"/>
        <v>HP</v>
      </c>
      <c r="J274" s="62"/>
    </row>
    <row r="275" spans="2:78" ht="67.5" customHeight="1" outlineLevel="1" x14ac:dyDescent="0.35">
      <c r="B275" s="69" t="s">
        <v>348</v>
      </c>
      <c r="C275" s="99" t="s">
        <v>52</v>
      </c>
      <c r="D275" s="132" t="str">
        <f>IF("Ska Ingå"=D273,"Ska Ingå","")</f>
        <v/>
      </c>
      <c r="F275" s="90" t="str">
        <f t="shared" si="220"/>
        <v/>
      </c>
      <c r="G275" s="91" t="str">
        <f t="shared" ca="1" si="221"/>
        <v>GBX5TW10AA</v>
      </c>
      <c r="H275" s="91" t="str">
        <f t="shared" ca="1" si="221"/>
        <v>72C71AA</v>
      </c>
      <c r="I275" s="91" t="str">
        <f t="shared" ca="1" si="221"/>
        <v>GBX5TW10AA</v>
      </c>
      <c r="J275" s="62"/>
      <c r="BH275" s="63"/>
      <c r="BI275" s="63"/>
      <c r="BJ275" s="63"/>
      <c r="BK275" s="63"/>
      <c r="BL275" s="63"/>
      <c r="BM275" s="63"/>
      <c r="BN275" s="63"/>
      <c r="BO275" s="63"/>
      <c r="BP275" s="63"/>
      <c r="BQ275" s="63"/>
      <c r="BR275" s="63"/>
      <c r="BS275" s="63"/>
      <c r="BT275" s="63"/>
      <c r="BU275" s="63"/>
      <c r="BV275" s="63"/>
      <c r="BW275" s="63"/>
      <c r="BX275" s="63"/>
      <c r="BY275" s="63"/>
      <c r="BZ275" s="63"/>
    </row>
    <row r="276" spans="2:78" ht="26.25" customHeight="1" outlineLevel="1" x14ac:dyDescent="0.35">
      <c r="B276" s="69"/>
      <c r="C276" s="212" t="s">
        <v>365</v>
      </c>
      <c r="D276" s="215"/>
      <c r="E276" s="213"/>
      <c r="F276" s="213"/>
      <c r="G276" s="213"/>
      <c r="H276" s="213"/>
      <c r="I276" s="214"/>
      <c r="J276" s="62"/>
      <c r="BH276" s="63"/>
      <c r="BI276" s="63"/>
      <c r="BJ276" s="63"/>
      <c r="BK276" s="63"/>
      <c r="BL276" s="63"/>
      <c r="BM276" s="63"/>
      <c r="BN276" s="63"/>
      <c r="BO276" s="63"/>
      <c r="BP276" s="63"/>
      <c r="BQ276" s="63"/>
      <c r="BR276" s="63"/>
      <c r="BS276" s="63"/>
      <c r="BT276" s="63"/>
      <c r="BU276" s="63"/>
      <c r="BV276" s="63"/>
      <c r="BW276" s="63"/>
      <c r="BX276" s="63"/>
      <c r="BY276" s="63"/>
      <c r="BZ276" s="63"/>
    </row>
    <row r="277" spans="2:78" ht="26.25" customHeight="1" outlineLevel="1" x14ac:dyDescent="0.35">
      <c r="B277" s="71" t="s">
        <v>228</v>
      </c>
      <c r="C277" s="115" t="s">
        <v>367</v>
      </c>
      <c r="D277" s="70"/>
      <c r="F277" s="151" t="str">
        <f>IF(F$245="Inget antal angivet","",IFERROR(INDEX($AR$246:$BZ$273,MATCH(F$242,$AP$246:$AP$273,0),MATCH($B277,$AR$246:$BZ$246,0)),""))</f>
        <v/>
      </c>
      <c r="G277" s="152">
        <f t="shared" ref="G277:I280" ca="1" si="222">IFERROR(INDEX($AR$246:$BZ$273,MATCH(G$242,$AP$246:$AP$273,0),MATCH($B277,$AR$246:$BZ$246,0)),"")</f>
        <v>151</v>
      </c>
      <c r="H277" s="152">
        <f t="shared" ca="1" si="222"/>
        <v>450</v>
      </c>
      <c r="I277" s="152">
        <f t="shared" ca="1" si="222"/>
        <v>151</v>
      </c>
      <c r="J277" s="62"/>
    </row>
    <row r="278" spans="2:78" ht="26.25" customHeight="1" outlineLevel="1" x14ac:dyDescent="0.35">
      <c r="B278" s="71" t="s">
        <v>229</v>
      </c>
      <c r="C278" s="61" t="s">
        <v>368</v>
      </c>
      <c r="D278" s="70"/>
      <c r="F278" s="153" t="str">
        <f>IF(F$245="Inget antal angivet","",IFERROR(INDEX($AR$246:$BZ$273,MATCH(F$242,$AP$246:$AP$273,0),MATCH($B278,$AR$246:$BZ$246,0)),""))</f>
        <v/>
      </c>
      <c r="G278" s="154">
        <f t="shared" ca="1" si="222"/>
        <v>70</v>
      </c>
      <c r="H278" s="154">
        <f t="shared" ca="1" si="222"/>
        <v>133</v>
      </c>
      <c r="I278" s="154">
        <f t="shared" ca="1" si="222"/>
        <v>70</v>
      </c>
      <c r="J278" s="62"/>
    </row>
    <row r="279" spans="2:78" ht="26.25" customHeight="1" outlineLevel="1" x14ac:dyDescent="0.35">
      <c r="B279" s="71" t="s">
        <v>230</v>
      </c>
      <c r="C279" s="96" t="s">
        <v>369</v>
      </c>
      <c r="D279" s="70"/>
      <c r="F279" s="155" t="str">
        <f>IF(F$245="Inget antal angivet","",IFERROR(INDEX($AR$246:$BZ$273,MATCH(F$242,$AP$246:$AP$273,0),MATCH($B279,$AR$246:$BZ$246,0)),""))</f>
        <v/>
      </c>
      <c r="G279" s="156">
        <f t="shared" ca="1" si="222"/>
        <v>25</v>
      </c>
      <c r="H279" s="156">
        <f t="shared" ca="1" si="222"/>
        <v>20</v>
      </c>
      <c r="I279" s="156">
        <f t="shared" ca="1" si="222"/>
        <v>25</v>
      </c>
      <c r="J279" s="62"/>
    </row>
    <row r="280" spans="2:78" ht="26.25" customHeight="1" outlineLevel="1" x14ac:dyDescent="0.35">
      <c r="B280" s="71" t="s">
        <v>231</v>
      </c>
      <c r="C280" s="61" t="s">
        <v>370</v>
      </c>
      <c r="D280" s="70"/>
      <c r="F280" s="153" t="str">
        <f>IF(F$245="Inget antal angivet","",IFERROR(INDEX($AR$246:$BZ$273,MATCH(F$242,$AP$246:$AP$273,0),MATCH($B280,$AR$246:$BZ$246,0)),""))</f>
        <v/>
      </c>
      <c r="G280" s="154">
        <f t="shared" ca="1" si="222"/>
        <v>25</v>
      </c>
      <c r="H280" s="154">
        <f t="shared" ca="1" si="222"/>
        <v>20</v>
      </c>
      <c r="I280" s="154">
        <f t="shared" ca="1" si="222"/>
        <v>25</v>
      </c>
      <c r="J280" s="62"/>
    </row>
    <row r="281" spans="2:78" ht="24" customHeight="1" outlineLevel="1" x14ac:dyDescent="0.35"/>
    <row r="282" spans="2:78" ht="24" customHeight="1" x14ac:dyDescent="0.35"/>
    <row r="283" spans="2:78" ht="24" customHeight="1" x14ac:dyDescent="0.35">
      <c r="D283" s="72" t="s">
        <v>233</v>
      </c>
      <c r="F283" s="216" t="s">
        <v>362</v>
      </c>
      <c r="G283" s="216"/>
      <c r="H283" s="216"/>
      <c r="I283" s="217"/>
      <c r="J283" s="73"/>
    </row>
    <row r="284" spans="2:78" ht="24" customHeight="1" x14ac:dyDescent="0.35">
      <c r="D284" s="74"/>
      <c r="F284" s="202" t="str">
        <f ca="1">IFERROR(INDEX($Z$247:$Z$273,MATCH(F242,$AA$247:$AA$273,0))*D284,"")</f>
        <v/>
      </c>
      <c r="G284" s="202">
        <f ca="1">IFERROR(P247 *D284,"")</f>
        <v>0</v>
      </c>
      <c r="H284" s="202">
        <f ca="1">IFERROR(P248 *D284,"")</f>
        <v>0</v>
      </c>
      <c r="I284" s="202">
        <f ca="1">IFERROR(P249 * D284,"")</f>
        <v>0</v>
      </c>
      <c r="J284" s="54"/>
    </row>
    <row r="286" spans="2:78" ht="15" thickBot="1" x14ac:dyDescent="0.4">
      <c r="C286" s="174"/>
      <c r="D286" s="174"/>
      <c r="E286" s="174"/>
      <c r="F286" s="174"/>
      <c r="G286" s="174"/>
      <c r="H286" s="174"/>
      <c r="I286" s="174"/>
    </row>
    <row r="287" spans="2:78" ht="15" thickTop="1" x14ac:dyDescent="0.35"/>
    <row r="289" spans="2:92" ht="59.25" customHeight="1" collapsed="1" x14ac:dyDescent="0.35">
      <c r="C289" s="53"/>
      <c r="D289" s="53"/>
      <c r="F289" s="169" t="e">
        <f ca="1">N293</f>
        <v>#N/A</v>
      </c>
      <c r="G289" s="169" t="str">
        <f ca="1">INDEX(AA294:AA320,MATCH(P294,Z294:Z320,0))</f>
        <v>Offererad produktnr. 01Qlosr Göteborg AB</v>
      </c>
      <c r="H289" s="169" t="str">
        <f ca="1">INDEX(AA294:AA320,MATCH(P295,Z294:Z320,0))</f>
        <v>Offererad produktnr. 01Dustin Sverige AB</v>
      </c>
      <c r="I289" s="169" t="str">
        <f ca="1">INDEX(AA294:AA320,MATCH(P296,Z294:Z320,0))</f>
        <v>Offererad produktnr. 03Qlosr Göteborg AB</v>
      </c>
      <c r="J289" s="54"/>
      <c r="AR289" s="12" t="s">
        <v>124</v>
      </c>
      <c r="AS289" s="12" t="s">
        <v>124</v>
      </c>
      <c r="AT289" s="12" t="s">
        <v>124</v>
      </c>
      <c r="AU289" s="12" t="s">
        <v>124</v>
      </c>
      <c r="AV289" s="12" t="s">
        <v>124</v>
      </c>
      <c r="AW289" s="12" t="s">
        <v>124</v>
      </c>
      <c r="AX289" s="12" t="s">
        <v>124</v>
      </c>
      <c r="AY289" s="12" t="s">
        <v>124</v>
      </c>
      <c r="AZ289" s="12" t="s">
        <v>124</v>
      </c>
      <c r="BA289" s="12" t="s">
        <v>124</v>
      </c>
      <c r="BB289" s="12" t="s">
        <v>124</v>
      </c>
      <c r="BC289" s="12" t="s">
        <v>124</v>
      </c>
      <c r="BD289" s="12" t="s">
        <v>124</v>
      </c>
      <c r="BE289" s="12" t="s">
        <v>124</v>
      </c>
      <c r="BF289" s="12" t="s">
        <v>124</v>
      </c>
      <c r="BG289" s="12" t="s">
        <v>124</v>
      </c>
      <c r="BH289" s="12" t="s">
        <v>124</v>
      </c>
      <c r="BI289" s="12" t="s">
        <v>124</v>
      </c>
      <c r="BJ289" s="12" t="s">
        <v>124</v>
      </c>
      <c r="BK289" s="12" t="s">
        <v>124</v>
      </c>
      <c r="BL289" s="12" t="s">
        <v>124</v>
      </c>
      <c r="BM289" s="12" t="s">
        <v>124</v>
      </c>
      <c r="BN289" s="12" t="s">
        <v>124</v>
      </c>
      <c r="BO289" s="12" t="s">
        <v>124</v>
      </c>
      <c r="BP289" s="12" t="s">
        <v>124</v>
      </c>
      <c r="BQ289" s="12" t="s">
        <v>124</v>
      </c>
      <c r="BR289" s="12" t="s">
        <v>124</v>
      </c>
      <c r="BS289" s="12" t="s">
        <v>124</v>
      </c>
      <c r="BT289" s="12" t="s">
        <v>124</v>
      </c>
      <c r="BU289" s="12" t="s">
        <v>124</v>
      </c>
      <c r="BV289" s="12" t="s">
        <v>124</v>
      </c>
      <c r="BW289" s="12" t="s">
        <v>124</v>
      </c>
      <c r="BX289" s="12"/>
      <c r="BY289" s="12" t="s">
        <v>124</v>
      </c>
      <c r="BZ289" s="12" t="s">
        <v>124</v>
      </c>
      <c r="CA289" s="12"/>
      <c r="CB289" s="12"/>
      <c r="CC289" s="12"/>
      <c r="CD289" s="12"/>
      <c r="CE289" s="12"/>
      <c r="CF289" s="12"/>
      <c r="CG289" s="12"/>
      <c r="CH289" s="12"/>
      <c r="CI289" s="12"/>
      <c r="CJ289" s="12"/>
      <c r="CK289" s="12"/>
      <c r="CL289" s="12"/>
      <c r="CM289" s="12"/>
      <c r="CN289" s="12"/>
    </row>
    <row r="290" spans="2:92" ht="33" customHeight="1" thickBot="1" x14ac:dyDescent="0.4">
      <c r="C290" s="53"/>
      <c r="D290" s="53"/>
      <c r="F290" s="140" t="s">
        <v>446</v>
      </c>
      <c r="G290" s="205" t="s">
        <v>447</v>
      </c>
      <c r="H290" s="205"/>
      <c r="I290" s="205"/>
      <c r="J290" s="54"/>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row>
    <row r="291" spans="2:92" ht="22.5" customHeight="1" thickBot="1" x14ac:dyDescent="0.4">
      <c r="B291" t="str">
        <f ca="1" xml:space="preserve"> "Produkt "  &amp; B292</f>
        <v>Produkt 7</v>
      </c>
      <c r="C291" s="206" t="str">
        <f>IF(F292="Ingen produkt motsvarar","Felmeddelande",IF(COUNTIF($P$1:$P$6,TRUE)&gt;0,"","Felmeddelande"))</f>
        <v/>
      </c>
      <c r="D291" s="207"/>
      <c r="F291" s="208" t="s">
        <v>271</v>
      </c>
      <c r="G291" s="209"/>
      <c r="H291" s="209"/>
      <c r="I291" s="209"/>
      <c r="J291" s="55"/>
      <c r="O291">
        <v>1</v>
      </c>
      <c r="AR291" s="13" t="str">
        <f t="shared" ref="AR291:BF291" si="223">AR293</f>
        <v>Upplösning</v>
      </c>
      <c r="AS291" s="13" t="str">
        <f t="shared" si="223"/>
        <v>Processor</v>
      </c>
      <c r="AT291" s="13" t="str">
        <f t="shared" si="223"/>
        <v>Internminne (GB)</v>
      </c>
      <c r="AU291" s="13" t="str">
        <f t="shared" si="223"/>
        <v>Hårddisk</v>
      </c>
      <c r="AV291" s="13" t="str">
        <f t="shared" si="223"/>
        <v>Skärmstorlek (tum)</v>
      </c>
      <c r="AW291" s="13" t="str">
        <f t="shared" si="223"/>
        <v>Portar USB</v>
      </c>
      <c r="AX291" s="13" t="str">
        <f t="shared" si="223"/>
        <v>Portar USB C</v>
      </c>
      <c r="AY291" s="13" t="str">
        <f t="shared" si="223"/>
        <v>Portar HDMI/Display</v>
      </c>
      <c r="AZ291" s="13" t="str">
        <f t="shared" si="223"/>
        <v>Kommunikation WLAN</v>
      </c>
      <c r="BA291" s="13" t="str">
        <f t="shared" si="223"/>
        <v>Kommunikation Bluetooth</v>
      </c>
      <c r="BB291" s="13" t="str">
        <f t="shared" si="223"/>
        <v>Batteritid (tim)</v>
      </c>
      <c r="BC291" s="13" t="str">
        <f t="shared" si="223"/>
        <v>Energiprestanda</v>
      </c>
      <c r="BD291" s="13" t="str">
        <f t="shared" si="223"/>
        <v>Låsskydd</v>
      </c>
      <c r="BE291" s="13" t="str">
        <f t="shared" si="223"/>
        <v>Operativsystem</v>
      </c>
      <c r="BF291" s="13" t="str">
        <f t="shared" si="223"/>
        <v>Modellbenämning</v>
      </c>
      <c r="BG291" t="s">
        <v>224</v>
      </c>
      <c r="BH291" s="56" t="s">
        <v>53</v>
      </c>
      <c r="BI291" s="56" t="s">
        <v>54</v>
      </c>
      <c r="BJ291" s="56" t="s">
        <v>55</v>
      </c>
      <c r="BK291" s="56" t="s">
        <v>59</v>
      </c>
      <c r="BL291" s="57" t="s">
        <v>228</v>
      </c>
      <c r="BM291" s="57" t="s">
        <v>229</v>
      </c>
      <c r="BN291" s="57" t="s">
        <v>230</v>
      </c>
      <c r="BO291" s="57" t="s">
        <v>231</v>
      </c>
      <c r="BP291" s="57" t="s">
        <v>340</v>
      </c>
      <c r="BQ291" s="57" t="s">
        <v>341</v>
      </c>
      <c r="BR291" s="57" t="s">
        <v>342</v>
      </c>
      <c r="BS291" s="57" t="s">
        <v>343</v>
      </c>
      <c r="BT291" s="57" t="s">
        <v>345</v>
      </c>
      <c r="BU291" s="57" t="s">
        <v>346</v>
      </c>
      <c r="BV291" s="57" t="s">
        <v>347</v>
      </c>
      <c r="BW291" s="57" t="s">
        <v>348</v>
      </c>
      <c r="BX291" s="57"/>
      <c r="BY291" s="57" t="s">
        <v>6</v>
      </c>
      <c r="BZ291" s="4" t="s">
        <v>51</v>
      </c>
      <c r="CA291" s="13"/>
      <c r="CB291" s="13"/>
      <c r="CC291" s="13"/>
      <c r="CD291" s="13"/>
      <c r="CE291" s="13"/>
      <c r="CF291" s="13"/>
      <c r="CG291" s="13"/>
      <c r="CH291" s="13"/>
      <c r="CI291" s="13"/>
      <c r="CJ291" s="13"/>
      <c r="CK291" s="13"/>
      <c r="CL291" s="13"/>
      <c r="CM291" s="13"/>
      <c r="CN291" s="13"/>
    </row>
    <row r="292" spans="2:92" ht="22.5" customHeight="1" x14ac:dyDescent="0.35">
      <c r="B292">
        <f ca="1">COUNTIF($F$6:F295,"Produkt I varukorg*")</f>
        <v>7</v>
      </c>
      <c r="C292" t="s">
        <v>474</v>
      </c>
      <c r="F292" s="187" t="str" cm="1">
        <f t="array" ref="F292">IF(D331&lt;1,"Inget antal angivet",IFERROR(INDEX($Z294:$Z320,MATCH(F289,$AA294:$AA320,0),0),"Ingen produkt motsvarar"))</f>
        <v>Inget antal angivet</v>
      </c>
      <c r="G292" s="188">
        <f ca="1">IFERROR(P294,"Ingen produkt motsvarar")</f>
        <v>6420</v>
      </c>
      <c r="H292" s="188">
        <f ca="1">IFERROR(P295,"")</f>
        <v>7599</v>
      </c>
      <c r="I292" s="188">
        <f ca="1">IFERROR(P296,"")</f>
        <v>7640</v>
      </c>
      <c r="J292" s="54"/>
      <c r="AA292" t="str">
        <f>IF(COUNTIF(AB292:AK292,FALSE)&gt;0,AP292,"")</f>
        <v/>
      </c>
      <c r="AB292" t="b">
        <f>IF($D$297="",TRUE,IF(AR292=$D$297,TRUE,FALSE))</f>
        <v>1</v>
      </c>
      <c r="AC292" t="b">
        <f>IF(D294="",TRUE,IF(AS292=$D$298,TRUE,FALSE))</f>
        <v>1</v>
      </c>
      <c r="AD292" t="b">
        <f>IF(D297="",TRUE,IF(AT292=D297,TRUE,FALSE))</f>
        <v>1</v>
      </c>
      <c r="AE292" t="b">
        <f>IF(D298="",TRUE,IF(AU292=D298,TRUE,FALSE))</f>
        <v>1</v>
      </c>
      <c r="AF292" t="b">
        <f>IF(D299="",TRUE,IF(AV292=D299,TRUE,FALSE))</f>
        <v>1</v>
      </c>
      <c r="AG292" t="b">
        <f>IF(D300="",TRUE,IF(AW292=D300,TRUE,FALSE))</f>
        <v>1</v>
      </c>
      <c r="AH292" t="b">
        <f>IF(D296="",TRUE,IF(AX292=D296,TRUE,FALSE))</f>
        <v>1</v>
      </c>
      <c r="AI292" t="b">
        <f>IF(D301="",TRUE,IF(AY292=D301,TRUE,FALSE))</f>
        <v>1</v>
      </c>
      <c r="AJ292" t="b">
        <f>IF(D302="",TRUE,IF(AZ292=D302,TRUE,FALSE))</f>
        <v>1</v>
      </c>
      <c r="AK292" t="b">
        <f>IF(D303="",TRUE,IF(BA292=D303,TRUE,FALSE))</f>
        <v>1</v>
      </c>
      <c r="AP292" t="s">
        <v>126</v>
      </c>
      <c r="AR292" s="58" t="str">
        <f t="shared" ref="AR292:BW292" ca="1" si="224">IFERROR(INDEX(INDIRECT(AR$289&amp;"!$A$10:CC100000"),MATCH($AP292,INDIRECT(AR$289&amp;"!BH$10:BH100000"),0),MATCH(AR$291,INDIRECT(AR$289&amp;"!a10:CC10"),0)),"False")</f>
        <v>False</v>
      </c>
      <c r="AS292" s="58" t="str">
        <f t="shared" ca="1" si="224"/>
        <v>False</v>
      </c>
      <c r="AT292" s="58" t="str">
        <f t="shared" ca="1" si="224"/>
        <v>False</v>
      </c>
      <c r="AU292" s="58" t="str">
        <f t="shared" ca="1" si="224"/>
        <v>False</v>
      </c>
      <c r="AV292" s="58" t="str">
        <f t="shared" ca="1" si="224"/>
        <v>False</v>
      </c>
      <c r="AW292" s="58" t="str">
        <f t="shared" ca="1" si="224"/>
        <v>False</v>
      </c>
      <c r="AX292" s="58" t="str">
        <f t="shared" ca="1" si="224"/>
        <v>False</v>
      </c>
      <c r="AY292" s="58" t="str">
        <f t="shared" ca="1" si="224"/>
        <v>False</v>
      </c>
      <c r="AZ292" s="58" t="str">
        <f t="shared" ca="1" si="224"/>
        <v>False</v>
      </c>
      <c r="BA292" s="58" t="str">
        <f t="shared" ca="1" si="224"/>
        <v>False</v>
      </c>
      <c r="BB292" s="58" t="str">
        <f t="shared" ca="1" si="224"/>
        <v>False</v>
      </c>
      <c r="BC292" s="58" t="str">
        <f t="shared" ca="1" si="224"/>
        <v>False</v>
      </c>
      <c r="BD292" s="58" t="str">
        <f t="shared" ca="1" si="224"/>
        <v>False</v>
      </c>
      <c r="BE292" s="58" t="str">
        <f t="shared" ca="1" si="224"/>
        <v>False</v>
      </c>
      <c r="BF292" s="58" t="str">
        <f t="shared" ca="1" si="224"/>
        <v>False</v>
      </c>
      <c r="BG292" s="58" t="str">
        <f t="shared" ca="1" si="224"/>
        <v>False</v>
      </c>
      <c r="BH292" s="58" t="str">
        <f t="shared" ca="1" si="224"/>
        <v>False</v>
      </c>
      <c r="BI292" s="58" t="str">
        <f t="shared" ca="1" si="224"/>
        <v>False</v>
      </c>
      <c r="BJ292" s="58" t="str">
        <f t="shared" ca="1" si="224"/>
        <v>False</v>
      </c>
      <c r="BK292" s="58" t="str">
        <f t="shared" ca="1" si="224"/>
        <v>False</v>
      </c>
      <c r="BL292" s="58" t="str">
        <f t="shared" ca="1" si="224"/>
        <v>False</v>
      </c>
      <c r="BM292" s="58" t="str">
        <f t="shared" ca="1" si="224"/>
        <v>False</v>
      </c>
      <c r="BN292" s="58" t="str">
        <f t="shared" ca="1" si="224"/>
        <v>False</v>
      </c>
      <c r="BO292" s="58" t="str">
        <f t="shared" ca="1" si="224"/>
        <v>False</v>
      </c>
      <c r="BP292" s="58" t="str">
        <f t="shared" ca="1" si="224"/>
        <v>False</v>
      </c>
      <c r="BQ292" s="58" t="str">
        <f t="shared" ca="1" si="224"/>
        <v>False</v>
      </c>
      <c r="BR292" s="58" t="str">
        <f t="shared" ca="1" si="224"/>
        <v>False</v>
      </c>
      <c r="BS292" s="58" t="str">
        <f t="shared" ca="1" si="224"/>
        <v>False</v>
      </c>
      <c r="BT292" s="58" t="str">
        <f t="shared" ca="1" si="224"/>
        <v>False</v>
      </c>
      <c r="BU292" s="58" t="str">
        <f t="shared" ca="1" si="224"/>
        <v>False</v>
      </c>
      <c r="BV292" s="58" t="str">
        <f t="shared" ca="1" si="224"/>
        <v>False</v>
      </c>
      <c r="BW292" s="58" t="str">
        <f t="shared" ca="1" si="224"/>
        <v>False</v>
      </c>
      <c r="BX292" s="58"/>
      <c r="BY292" s="58" t="str">
        <f ca="1">IFERROR(INDEX(INDIRECT(BY$289&amp;"!$A$10:CC100000"),MATCH($AP292,INDIRECT(BY$289&amp;"!BH$10:BH100000"),0),MATCH(BY$291,INDIRECT(BY$289&amp;"!a10:CC10"),0)),"False")</f>
        <v>False</v>
      </c>
      <c r="BZ292" s="58" t="str">
        <f ca="1">IFERROR(INDEX(INDIRECT(BZ$289&amp;"!$A$10:CC100000"),MATCH($AP292,INDIRECT(BZ$289&amp;"!BH$10:BH100000"),0),MATCH(BZ$291,INDIRECT(BZ$289&amp;"!a10:CC10"),0)),"False")</f>
        <v>False</v>
      </c>
      <c r="CA292" s="58"/>
      <c r="CB292" s="58"/>
      <c r="CC292" s="58"/>
      <c r="CD292" s="58"/>
      <c r="CE292" s="58"/>
      <c r="CF292" s="58"/>
      <c r="CG292" s="58"/>
      <c r="CH292" s="58"/>
      <c r="CI292" s="58"/>
      <c r="CJ292" s="58"/>
      <c r="CK292" s="58"/>
      <c r="CL292" s="58"/>
      <c r="CM292" s="58"/>
      <c r="CN292" s="58"/>
    </row>
    <row r="293" spans="2:92" ht="22.5" customHeight="1" x14ac:dyDescent="0.35">
      <c r="C293" s="210" t="str">
        <f ca="1" xml:space="preserve"> "Bärbar dator (A) "  &amp; RIGHT("00" &amp; B292,2)</f>
        <v>Bärbar dator (A) 07</v>
      </c>
      <c r="D293" s="211"/>
      <c r="F293" s="59" t="str">
        <f>IF(F$292="Inget antal angivet","",IFERROR(INDEX($AR$293:$BZ$320,MATCH(F$289,$AP$293:$AP$320,0),MATCH("Modellbenämning",$AR$293:$BZ$293,0)),""))</f>
        <v/>
      </c>
      <c r="G293" s="59" t="str">
        <f ca="1">IFERROR(INDEX($AR$293:$BZ$320,MATCH(G$289,$AP$293:$AP$320,0),MATCH("Modellbenämning",$AR$293:$BZ$293,0)),"")</f>
        <v>ProBook 445 G8</v>
      </c>
      <c r="H293" s="59" t="str">
        <f ca="1">IFERROR(INDEX($AR$293:$BZ$320,MATCH(H$289,$AP$293:$AP$320,0),MATCH("Modellbenämning",$AR$293:$BZ$293,0)),"")</f>
        <v>ProBook 445 G10</v>
      </c>
      <c r="I293" s="59" t="str">
        <f ca="1">IFERROR(INDEX($AR$293:$BZ$320,MATCH(I$289,$AP$293:$AP$320,0),MATCH("Modellbenämning",$AR$293:$BZ$293,0)),"")</f>
        <v>ProBook 445 G8</v>
      </c>
      <c r="J293" s="60"/>
      <c r="K293" s="195"/>
      <c r="L293" s="195"/>
      <c r="M293" s="195"/>
      <c r="N293" s="195" t="e">
        <f ca="1">INDEX($N$294:$N$299,MATCH(Överblick!$L$2,$M$294:$M$299,0))</f>
        <v>#N/A</v>
      </c>
      <c r="O293" s="195"/>
      <c r="P293" s="195"/>
      <c r="Q293" s="195"/>
      <c r="R293" s="195">
        <v>1</v>
      </c>
      <c r="S293" s="195">
        <v>2</v>
      </c>
      <c r="T293" s="195">
        <v>3</v>
      </c>
      <c r="U293" s="195">
        <v>4</v>
      </c>
      <c r="V293" s="195">
        <v>5</v>
      </c>
      <c r="W293" s="195">
        <v>6</v>
      </c>
      <c r="X293" s="195">
        <v>7</v>
      </c>
      <c r="Y293" s="195">
        <v>8</v>
      </c>
      <c r="Z293" s="195"/>
      <c r="AA293" s="195" t="s">
        <v>122</v>
      </c>
      <c r="AB293" s="195" t="s">
        <v>2</v>
      </c>
      <c r="AC293" s="195" t="s">
        <v>4</v>
      </c>
      <c r="AD293" s="195" t="s">
        <v>119</v>
      </c>
      <c r="AE293" s="195" t="s">
        <v>16</v>
      </c>
      <c r="AF293" s="195" t="s">
        <v>7</v>
      </c>
      <c r="AG293" s="195" t="s">
        <v>67</v>
      </c>
      <c r="AH293" s="195" t="s">
        <v>74</v>
      </c>
      <c r="AI293" s="195" t="s">
        <v>97</v>
      </c>
      <c r="AJ293" s="195" t="s">
        <v>103</v>
      </c>
      <c r="AK293" s="195" t="s">
        <v>75</v>
      </c>
      <c r="AL293" s="195" t="s">
        <v>38</v>
      </c>
      <c r="AM293" s="195" t="s">
        <v>120</v>
      </c>
      <c r="AN293" s="195"/>
      <c r="AO293" s="195"/>
      <c r="AP293" s="195" t="s">
        <v>222</v>
      </c>
      <c r="AQ293" s="195">
        <v>1</v>
      </c>
      <c r="AR293" s="195" t="s">
        <v>2</v>
      </c>
      <c r="AS293" s="195" t="s">
        <v>4</v>
      </c>
      <c r="AT293" s="195" t="s">
        <v>119</v>
      </c>
      <c r="AU293" s="195" t="s">
        <v>16</v>
      </c>
      <c r="AV293" s="195" t="s">
        <v>7</v>
      </c>
      <c r="AW293" s="195" t="s">
        <v>67</v>
      </c>
      <c r="AX293" s="195" t="s">
        <v>74</v>
      </c>
      <c r="AY293" s="195" t="s">
        <v>97</v>
      </c>
      <c r="AZ293" s="195" t="s">
        <v>103</v>
      </c>
      <c r="BA293" s="195" t="s">
        <v>75</v>
      </c>
      <c r="BB293" s="195" t="s">
        <v>120</v>
      </c>
      <c r="BC293" s="195" t="s">
        <v>38</v>
      </c>
      <c r="BD293" s="195" t="s">
        <v>37</v>
      </c>
      <c r="BE293" s="195" t="s">
        <v>3</v>
      </c>
      <c r="BF293" s="195" t="s">
        <v>52</v>
      </c>
      <c r="BG293" s="195" t="s">
        <v>25</v>
      </c>
      <c r="BH293" s="195" t="s">
        <v>53</v>
      </c>
      <c r="BI293" s="195" t="s">
        <v>54</v>
      </c>
      <c r="BJ293" s="195" t="s">
        <v>55</v>
      </c>
      <c r="BK293" s="195" t="s">
        <v>59</v>
      </c>
      <c r="BL293" s="195" t="s">
        <v>228</v>
      </c>
      <c r="BM293" s="195" t="s">
        <v>229</v>
      </c>
      <c r="BN293" s="195" t="s">
        <v>230</v>
      </c>
      <c r="BO293" s="195" t="s">
        <v>231</v>
      </c>
      <c r="BP293" s="195" t="s">
        <v>340</v>
      </c>
      <c r="BQ293" s="195" t="s">
        <v>341</v>
      </c>
      <c r="BR293" s="195" t="s">
        <v>342</v>
      </c>
      <c r="BS293" s="195" t="s">
        <v>343</v>
      </c>
      <c r="BT293" s="195" t="s">
        <v>345</v>
      </c>
      <c r="BU293" s="195" t="s">
        <v>346</v>
      </c>
      <c r="BV293" s="195" t="s">
        <v>347</v>
      </c>
      <c r="BW293" s="195" t="s">
        <v>348</v>
      </c>
      <c r="BX293" s="195"/>
      <c r="BY293" s="195" t="s">
        <v>6</v>
      </c>
      <c r="BZ293" s="195" t="s">
        <v>51</v>
      </c>
      <c r="CA293" s="184" t="s">
        <v>2</v>
      </c>
      <c r="CB293" s="184" t="s">
        <v>4</v>
      </c>
      <c r="CC293" s="184" t="s">
        <v>119</v>
      </c>
      <c r="CD293" s="184" t="s">
        <v>16</v>
      </c>
      <c r="CE293" s="184" t="s">
        <v>7</v>
      </c>
      <c r="CF293" s="184" t="s">
        <v>67</v>
      </c>
      <c r="CG293" s="184" t="s">
        <v>74</v>
      </c>
      <c r="CH293" s="184" t="s">
        <v>97</v>
      </c>
      <c r="CI293" s="184" t="s">
        <v>103</v>
      </c>
      <c r="CJ293" s="184" t="s">
        <v>75</v>
      </c>
      <c r="CK293" s="184" t="s">
        <v>120</v>
      </c>
      <c r="CL293" s="184" t="s">
        <v>38</v>
      </c>
      <c r="CM293" s="184" t="s">
        <v>37</v>
      </c>
      <c r="CN293" s="184" t="s">
        <v>3</v>
      </c>
    </row>
    <row r="294" spans="2:92" ht="22.5" customHeight="1" outlineLevel="1" x14ac:dyDescent="0.35">
      <c r="C294" s="210" t="s">
        <v>261</v>
      </c>
      <c r="D294" s="211"/>
      <c r="F294" s="82" t="str">
        <f>IF(F$292="Inget antal angivet","",IFERROR(INDEX($AR$293:$BZ$320,MATCH(F$289,$AP$293:$AP$320,0),MATCH("Varumärke",$AR$293:$BZ$293,0)),""))</f>
        <v/>
      </c>
      <c r="G294" s="83" t="str">
        <f ca="1">IFERROR(INDEX($AR$293:$BZ$320,MATCH(G$289,$AP$293:$AP$320,0),MATCH("Varumärke",$AR$293:$BZ$293,0)),"")</f>
        <v>HP</v>
      </c>
      <c r="H294" s="83" t="str">
        <f ca="1">IFERROR(INDEX($AR$293:$BZ$320,MATCH(H$289,$AP$293:$AP$320,0),MATCH("Varumärke",$AR$293:$BZ$293,0)),"")</f>
        <v>HP</v>
      </c>
      <c r="I294" s="119" t="str">
        <f ca="1">IFERROR(INDEX($AR$293:$BZ$320,MATCH(I$289,$AP$293:$AP$320,0),MATCH("Varumärke",$AR$293:$BZ$293,0)),"")</f>
        <v>HP</v>
      </c>
      <c r="J294" s="62"/>
      <c r="K294" s="196">
        <f t="shared" ref="K294:K299" ca="1" si="225">O294*$D$331</f>
        <v>0</v>
      </c>
      <c r="L294" s="185" t="b">
        <f t="shared" ref="L294:L299" si="226">IF($D$331=0,TRUE,IF(K294=0,FALSE,TRUE))</f>
        <v>1</v>
      </c>
      <c r="M294" s="185" t="s">
        <v>162</v>
      </c>
      <c r="N294" s="185" t="str">
        <f t="shared" ref="N294:N299" ca="1" si="227">INDEX($AA$294:$AA$320,MATCH(O294,$Z$294:$Z$320,0))</f>
        <v>Offererad produktnr. 01Advania Sverige AB</v>
      </c>
      <c r="O294" s="196" cm="1">
        <f t="array" aca="1" ref="O294" ca="1">MIN(IF(($BY$294:$BY$317=M294)*($AQ$294:$AQ$317=$O$291),$Z$294:$Z$317))</f>
        <v>8880</v>
      </c>
      <c r="P294" s="197">
        <f ca="1">SMALL($Z$294:$Z$320,1)</f>
        <v>6420</v>
      </c>
      <c r="Q294" s="185">
        <f t="shared" ref="Q294:Q313" si="228">SUM(R294:Y294)</f>
        <v>0</v>
      </c>
      <c r="R294" s="185">
        <f t="shared" ref="R294:R313" si="229">IF($D$311="",0,BH294)</f>
        <v>0</v>
      </c>
      <c r="S294" s="185">
        <f t="shared" ref="S294:S313" si="230">IF($D$314="",0,BI294)</f>
        <v>0</v>
      </c>
      <c r="T294" s="185">
        <f t="shared" ref="T294:T313" si="231">IF($D$317="",0,BJ294)</f>
        <v>0</v>
      </c>
      <c r="U294" s="185">
        <f t="shared" ref="U294:U313" si="232">IF($D$320="",0,BK294)</f>
        <v>0</v>
      </c>
      <c r="V294" s="185">
        <f t="shared" ref="V294:V313" si="233">IF($D$324="",0,BL294)</f>
        <v>0</v>
      </c>
      <c r="W294" s="185">
        <f t="shared" ref="W294:W313" si="234">IF($D$325="",0,BM294)</f>
        <v>0</v>
      </c>
      <c r="X294" s="185">
        <f t="shared" ref="X294:X313" si="235">IF($D$326="",0,BN294)</f>
        <v>0</v>
      </c>
      <c r="Y294" s="185">
        <f t="shared" ref="Y294:Y313" si="236">IF($D$327="",0,BO294)</f>
        <v>0</v>
      </c>
      <c r="Z294" s="196">
        <f t="shared" ref="Z294:Z313" ca="1" si="237">IF(AA294="","",SUM(BG294,R294:Y294))</f>
        <v>8880</v>
      </c>
      <c r="AA294" s="185" t="str">
        <f t="shared" ref="AA294:AA313" ca="1" si="238">IF(COUNTIF(AB294:AO294,FALSE)&gt;0,"",AP294)</f>
        <v>Offererad produktnr. 01Advania Sverige AB</v>
      </c>
      <c r="AB294" s="185"/>
      <c r="AC294" s="185" t="b">
        <f ca="1">IFERROR(IF(D298="",TRUE,
IF(OR(D298=$CB$12,D298=$CB$13),IF(LEFT(AS294,FIND(" ",AS294)-1)=D298,TRUE,FALSE),
IF(OFFSET(Processor!$AB$1,MATCH($AS294,Processor!$AA$2:$AA$23,0),MATCH(LEFT(D298,FIND(" ",D298)-1),Processor!$AC$1:$AG$1,0))&gt;=
OFFSET(Processor!$AB$1,MATCH(D298,Processor!$AA$2:$AA$23,0),MATCH(LEFT(D298,FIND(" ",D298)-1),Processor!$AC$1:$AG$1,0)),TRUE,FALSE))),FALSE)</f>
        <v>1</v>
      </c>
      <c r="AD294" s="185" t="b">
        <f t="shared" ref="AD294:AD313" si="239">IF($D$299="",TRUE,IF(AT294&gt;=$D$299,TRUE,FALSE))</f>
        <v>1</v>
      </c>
      <c r="AE294" s="185" t="b">
        <f t="shared" ref="AE294:AE313" si="240">IF($D$300="",TRUE,IF(AU294&gt;=$D$300,TRUE,FALSE))</f>
        <v>1</v>
      </c>
      <c r="AF294" s="185" t="b">
        <f>IF($D$296="",TRUE,IF(COUNTIF(Processor!$I$2:$I$9,$D$296)&gt;0,AND(AV294&gt;INDEX(Processor!$J$2:$J$9,MATCH($D$296,Processor!$I$2:$I$9,0)),AV294&lt;INDEX(Processor!$K$2:$K$9,MATCH($D$296,Processor!$I$2:$I$9,0))),IF(AV294=$D$296,TRUE,FALSE)))</f>
        <v>1</v>
      </c>
      <c r="AG294" s="185" t="b">
        <f t="shared" ref="AG294:AG313" si="241">IF($D$301="",TRUE,IF(AW294&gt;=$D$301,TRUE,FALSE))</f>
        <v>1</v>
      </c>
      <c r="AH294" s="185" t="b">
        <f t="shared" ref="AH294:AH313" si="242">IF($D$302="",TRUE,IF(AX294&gt;=$D$302,TRUE,FALSE))</f>
        <v>1</v>
      </c>
      <c r="AI294" s="185" t="b">
        <f t="shared" ref="AI294:AI313" si="243">IF($D$303="",TRUE,IF(AY294=$D$303,TRUE,FALSE))</f>
        <v>1</v>
      </c>
      <c r="AJ294" s="185" t="b">
        <f t="shared" ref="AJ294:AJ313" si="244">IF($D$304="",TRUE,IF($D$304="802.11a/b/g/n/ac",TRUE,IF(AZ294&gt;=$D$304,TRUE,FALSE)))</f>
        <v>1</v>
      </c>
      <c r="AK294" s="185" t="b">
        <f t="shared" ref="AK294:AK313" si="245">IF($D$305="",TRUE,IF(BA294&gt;=$D$305,TRUE,FALSE))</f>
        <v>1</v>
      </c>
      <c r="AL294" s="185" t="b">
        <f>IFERROR(IF($D307="",TRUE,IF(MID(BC294,LEN(BC294)-2,1)*1&gt;=MID($D307,LEN($D307)-2,1)*1,TRUE,FALSE)),FALSE)</f>
        <v>1</v>
      </c>
      <c r="AM294" s="185" t="b">
        <f>IF(D306="",TRUE,IF(BB294&gt;=D306,TRUE,FALSE))</f>
        <v>1</v>
      </c>
      <c r="AN294" s="185"/>
      <c r="AO294" s="185"/>
      <c r="AP294" s="185" t="s">
        <v>198</v>
      </c>
      <c r="AQ294" s="185">
        <v>1</v>
      </c>
      <c r="AR294" s="185" t="str">
        <f t="shared" ref="AR294:BA303" ca="1" si="246">IFERROR(INDEX(INDIRECT(AR$289&amp;"!$A$10:CC100000"),MATCH($AP294,INDIRECT(AR$289&amp;"!BH$10:BH100000"),0),MATCH(AR$291,INDIRECT(AR$289&amp;"!a10:CC10"),0)),"False")</f>
        <v>1920x1080</v>
      </c>
      <c r="AS294" s="185" t="str">
        <f t="shared" ca="1" si="246"/>
        <v>AMD Ryzen 5</v>
      </c>
      <c r="AT294" s="185">
        <f t="shared" ca="1" si="246"/>
        <v>16</v>
      </c>
      <c r="AU294" s="185">
        <f t="shared" ca="1" si="246"/>
        <v>256</v>
      </c>
      <c r="AV294" s="185">
        <f t="shared" ca="1" si="246"/>
        <v>14</v>
      </c>
      <c r="AW294" s="185">
        <f t="shared" ca="1" si="246"/>
        <v>4</v>
      </c>
      <c r="AX294" s="185">
        <f t="shared" ca="1" si="246"/>
        <v>1</v>
      </c>
      <c r="AY294" s="185" t="str">
        <f t="shared" ca="1" si="246"/>
        <v>Ja, HDMI-port finns</v>
      </c>
      <c r="AZ294" s="185" t="str">
        <f t="shared" ca="1" si="246"/>
        <v>802.11a/b/g/n/ac/ax</v>
      </c>
      <c r="BA294" s="185">
        <f t="shared" ca="1" si="246"/>
        <v>5.3</v>
      </c>
      <c r="BB294" s="185">
        <f t="shared" ref="BB294:BK303" ca="1" si="247">IFERROR(INDEX(INDIRECT(BB$289&amp;"!$A$10:CC100000"),MATCH($AP294,INDIRECT(BB$289&amp;"!BH$10:BH100000"),0),MATCH(BB$291,INDIRECT(BB$289&amp;"!a10:CC10"),0)),"False")</f>
        <v>11</v>
      </c>
      <c r="BC294" s="185" t="str">
        <f t="shared" ca="1" si="247"/>
        <v>Version 8.0</v>
      </c>
      <c r="BD294" s="185" t="str">
        <f t="shared" ca="1" si="247"/>
        <v>Ja</v>
      </c>
      <c r="BE294" s="185" t="str">
        <f t="shared" ca="1" si="247"/>
        <v>Windows 11 Pro</v>
      </c>
      <c r="BF294" s="185" t="str">
        <f t="shared" ca="1" si="247"/>
        <v>ProBook 445 G10</v>
      </c>
      <c r="BG294" s="185">
        <f t="shared" ca="1" si="247"/>
        <v>8880</v>
      </c>
      <c r="BH294" s="192">
        <f t="shared" ca="1" si="247"/>
        <v>60</v>
      </c>
      <c r="BI294" s="192">
        <f t="shared" ca="1" si="247"/>
        <v>218</v>
      </c>
      <c r="BJ294" s="192">
        <f t="shared" ca="1" si="247"/>
        <v>251</v>
      </c>
      <c r="BK294" s="192">
        <f t="shared" ca="1" si="247"/>
        <v>1462</v>
      </c>
      <c r="BL294" s="192">
        <f t="shared" ref="BL294:BW303" ca="1" si="248">IFERROR(INDEX(INDIRECT(BL$289&amp;"!$A$10:CC100000"),MATCH($AP294,INDIRECT(BL$289&amp;"!BH$10:BH100000"),0),MATCH(BL$291,INDIRECT(BL$289&amp;"!a10:CC10"),0)),"False")</f>
        <v>226</v>
      </c>
      <c r="BM294" s="192">
        <f t="shared" ca="1" si="248"/>
        <v>112</v>
      </c>
      <c r="BN294" s="192">
        <f t="shared" ca="1" si="248"/>
        <v>50</v>
      </c>
      <c r="BO294" s="192">
        <f t="shared" ca="1" si="248"/>
        <v>50</v>
      </c>
      <c r="BP294" s="192" t="str">
        <f t="shared" ca="1" si="248"/>
        <v>V7</v>
      </c>
      <c r="BQ294" s="192" t="str">
        <f t="shared" ca="1" si="248"/>
        <v>PORT Designs</v>
      </c>
      <c r="BR294" s="192" t="str">
        <f t="shared" ca="1" si="248"/>
        <v>CoreParts</v>
      </c>
      <c r="BS294" s="192" t="str">
        <f t="shared" ca="1" si="248"/>
        <v>HP</v>
      </c>
      <c r="BT294" s="192" t="str">
        <f t="shared" ca="1" si="248"/>
        <v xml:space="preserve"> CSE14-BLK-3E  -Fodral för bärbar dator - 14" - svart</v>
      </c>
      <c r="BU294" s="192" t="str">
        <f t="shared" ca="1" si="248"/>
        <v>900003 - Professional - filter för personlig integritet - 14"</v>
      </c>
      <c r="BV294" s="192" t="str">
        <f t="shared" ca="1" si="248"/>
        <v>MBXUSBC-AC0005 - USB-C - strömadapter 45 Watt</v>
      </c>
      <c r="BW294" s="192" t="str">
        <f t="shared" ca="1" si="248"/>
        <v>72C71AA#ABB - Essential - dockningsstation</v>
      </c>
      <c r="BX294" s="192"/>
      <c r="BY294" s="192" t="str">
        <f t="shared" ref="BY294:BZ313" ca="1" si="249">IFERROR(INDEX(INDIRECT(BY$289&amp;"!$A$10:CC100000"),MATCH($AP294,INDIRECT(BY$289&amp;"!BH$10:BH100000"),0),MATCH(BY$291,INDIRECT(BY$289&amp;"!a10:CC10"),0)),"False")</f>
        <v>Advania Sverige AB</v>
      </c>
      <c r="BZ294" s="192" t="str">
        <f t="shared" ca="1" si="249"/>
        <v>HP</v>
      </c>
      <c r="CA294" s="185" t="s">
        <v>71</v>
      </c>
      <c r="CB294" s="185" t="s">
        <v>687</v>
      </c>
      <c r="CC294" s="185">
        <v>8</v>
      </c>
      <c r="CD294" s="185">
        <v>256</v>
      </c>
      <c r="CE294" s="185">
        <v>14</v>
      </c>
      <c r="CF294" s="185">
        <v>3</v>
      </c>
      <c r="CG294" s="185">
        <v>1</v>
      </c>
      <c r="CH294" s="185" t="s">
        <v>84</v>
      </c>
      <c r="CI294" s="185" t="s">
        <v>86</v>
      </c>
      <c r="CJ294" s="186">
        <v>5.3</v>
      </c>
      <c r="CK294" s="185">
        <v>11</v>
      </c>
      <c r="CL294" s="185" t="s">
        <v>686</v>
      </c>
      <c r="CM294" s="185" t="s">
        <v>69</v>
      </c>
      <c r="CN294" s="185" t="s">
        <v>567</v>
      </c>
    </row>
    <row r="295" spans="2:92" ht="22.5" customHeight="1" outlineLevel="1" x14ac:dyDescent="0.35">
      <c r="C295" s="61" t="s">
        <v>3</v>
      </c>
      <c r="D295" s="64"/>
      <c r="F295" s="80" t="str">
        <f t="shared" ref="F295:F308" si="250">IF(F$292="Inget antal angivet","",IFERROR(INDEX($AR$293:$BZ$320,MATCH(F$289,$AP$293:$AP$320,0),MATCH($C295,$AR$293:$BZ$293,0)),""))</f>
        <v/>
      </c>
      <c r="G295" s="81" t="str">
        <f t="shared" ref="G295:I308" ca="1" si="251">IFERROR(INDEX($AR$293:$BZ$320,MATCH(G$289,$AP$293:$AP$320,0),MATCH($C295,$AR$293:$BZ$293,0)),"")</f>
        <v>Windows 10 Pro</v>
      </c>
      <c r="H295" s="81" t="str">
        <f t="shared" ca="1" si="251"/>
        <v>Windows 11 Pro</v>
      </c>
      <c r="I295" s="120" t="str">
        <f t="shared" ca="1" si="251"/>
        <v>Windows 10 Pro</v>
      </c>
      <c r="J295" s="62"/>
      <c r="K295" s="196">
        <f t="shared" ca="1" si="225"/>
        <v>0</v>
      </c>
      <c r="L295" s="185" t="b">
        <f t="shared" si="226"/>
        <v>1</v>
      </c>
      <c r="M295" s="185" t="s">
        <v>150</v>
      </c>
      <c r="N295" s="185" t="str">
        <f t="shared" ca="1" si="227"/>
        <v>Offererad produktnr. 01Atea Sverige AB</v>
      </c>
      <c r="O295" s="196" cm="1">
        <f t="array" aca="1" ref="O295" ca="1">MIN(IF(($BY$294:$BY$317=M295)*($AQ$294:$AQ$317=$O$291),$Z$294:$Z$317))</f>
        <v>11724</v>
      </c>
      <c r="P295" s="197">
        <f ca="1">SMALL($Z$294:$Z$320,2)</f>
        <v>7599</v>
      </c>
      <c r="Q295" s="185">
        <f t="shared" si="228"/>
        <v>0</v>
      </c>
      <c r="R295" s="185">
        <f t="shared" si="229"/>
        <v>0</v>
      </c>
      <c r="S295" s="185">
        <f t="shared" si="230"/>
        <v>0</v>
      </c>
      <c r="T295" s="185">
        <f t="shared" si="231"/>
        <v>0</v>
      </c>
      <c r="U295" s="185">
        <f t="shared" si="232"/>
        <v>0</v>
      </c>
      <c r="V295" s="185">
        <f t="shared" si="233"/>
        <v>0</v>
      </c>
      <c r="W295" s="185">
        <f t="shared" si="234"/>
        <v>0</v>
      </c>
      <c r="X295" s="185">
        <f t="shared" si="235"/>
        <v>0</v>
      </c>
      <c r="Y295" s="185">
        <f t="shared" si="236"/>
        <v>0</v>
      </c>
      <c r="Z295" s="196">
        <f t="shared" ca="1" si="237"/>
        <v>9324</v>
      </c>
      <c r="AA295" s="185" t="str">
        <f t="shared" ca="1" si="238"/>
        <v>Offererad produktnr. 02Advania Sverige AB</v>
      </c>
      <c r="AB295" s="185"/>
      <c r="AC295" s="185" t="b">
        <f ca="1">IFERROR(IF(D298="",TRUE,
IF(OR(D298=$CB$12,D298=$CB$13),IF(LEFT(AS295,FIND(" ",AS295)-1)=D298,TRUE,FALSE),
IF(OFFSET(Processor!$AB$1,MATCH($AS295,Processor!$AA$2:$AA$23,0),MATCH(LEFT(D298,FIND(" ",D298)-1),Processor!$AC$1:$AG$1,0))&gt;=
OFFSET(Processor!$AB$1,MATCH(D298,Processor!$AA$2:$AA$23,0),MATCH(LEFT(D298,FIND(" ",D298)-1),Processor!$AC$1:$AG$1,0)),TRUE,FALSE))),FALSE)</f>
        <v>1</v>
      </c>
      <c r="AD295" s="185" t="b">
        <f t="shared" si="239"/>
        <v>1</v>
      </c>
      <c r="AE295" s="185" t="b">
        <f t="shared" si="240"/>
        <v>1</v>
      </c>
      <c r="AF295" s="185" t="b">
        <f>IF($D$296="",TRUE,IF(COUNTIF(Processor!$I$2:$I$9,$D$296)&gt;0,AND(AV295&gt;INDEX(Processor!$J$2:$J$9,MATCH($D$296,Processor!$I$2:$I$9,0)),AV295&lt;INDEX(Processor!$K$2:$K$9,MATCH($D$296,Processor!$I$2:$I$9,0))),IF(AV295=$D$296,TRUE,FALSE)))</f>
        <v>1</v>
      </c>
      <c r="AG295" s="185" t="b">
        <f t="shared" si="241"/>
        <v>1</v>
      </c>
      <c r="AH295" s="185" t="b">
        <f t="shared" si="242"/>
        <v>1</v>
      </c>
      <c r="AI295" s="185" t="b">
        <f t="shared" si="243"/>
        <v>1</v>
      </c>
      <c r="AJ295" s="185" t="b">
        <f t="shared" si="244"/>
        <v>1</v>
      </c>
      <c r="AK295" s="185" t="b">
        <f t="shared" si="245"/>
        <v>1</v>
      </c>
      <c r="AL295" s="185" t="b">
        <f>IFERROR(IF($D307="",TRUE,IF(MID(BC295,LEN(BC295)-2,1)*1&gt;=MID($D307,LEN($D307)-2,1)*1,TRUE,FALSE)),FALSE)</f>
        <v>1</v>
      </c>
      <c r="AM295" s="185" t="b">
        <f>IF(D306="",TRUE,IF(BB295&gt;=D306,TRUE,FALSE))</f>
        <v>1</v>
      </c>
      <c r="AN295" s="185"/>
      <c r="AO295" s="185"/>
      <c r="AP295" s="185" t="s">
        <v>199</v>
      </c>
      <c r="AQ295" s="185">
        <v>1</v>
      </c>
      <c r="AR295" s="185" t="str">
        <f t="shared" ca="1" si="246"/>
        <v>1920x1080</v>
      </c>
      <c r="AS295" s="185" t="str">
        <f t="shared" ca="1" si="246"/>
        <v>Intel i5 Gen 12</v>
      </c>
      <c r="AT295" s="185">
        <f t="shared" ca="1" si="246"/>
        <v>16</v>
      </c>
      <c r="AU295" s="185">
        <f t="shared" ca="1" si="246"/>
        <v>256</v>
      </c>
      <c r="AV295" s="185">
        <f t="shared" ca="1" si="246"/>
        <v>14</v>
      </c>
      <c r="AW295" s="185">
        <f t="shared" ca="1" si="246"/>
        <v>4</v>
      </c>
      <c r="AX295" s="185">
        <f t="shared" ca="1" si="246"/>
        <v>1</v>
      </c>
      <c r="AY295" s="185" t="str">
        <f t="shared" ca="1" si="246"/>
        <v>Ja, HDMI-port finns</v>
      </c>
      <c r="AZ295" s="185" t="str">
        <f t="shared" ca="1" si="246"/>
        <v>802.11a/b/g/n/ac</v>
      </c>
      <c r="BA295" s="185">
        <f t="shared" ca="1" si="246"/>
        <v>5.2</v>
      </c>
      <c r="BB295" s="185">
        <f t="shared" ca="1" si="247"/>
        <v>11</v>
      </c>
      <c r="BC295" s="185" t="str">
        <f t="shared" ca="1" si="247"/>
        <v>Version 8.0</v>
      </c>
      <c r="BD295" s="185" t="str">
        <f t="shared" ca="1" si="247"/>
        <v>Ja</v>
      </c>
      <c r="BE295" s="185" t="str">
        <f t="shared" ca="1" si="247"/>
        <v>Windows 11 Pro</v>
      </c>
      <c r="BF295" s="185" t="str">
        <f t="shared" ca="1" si="247"/>
        <v>ProBook 440 G10</v>
      </c>
      <c r="BG295" s="185">
        <f t="shared" ca="1" si="247"/>
        <v>9324</v>
      </c>
      <c r="BH295" s="192">
        <f t="shared" ca="1" si="247"/>
        <v>60</v>
      </c>
      <c r="BI295" s="192">
        <f t="shared" ca="1" si="247"/>
        <v>218</v>
      </c>
      <c r="BJ295" s="192">
        <f t="shared" ca="1" si="247"/>
        <v>251</v>
      </c>
      <c r="BK295" s="192">
        <f t="shared" ca="1" si="247"/>
        <v>1462</v>
      </c>
      <c r="BL295" s="192">
        <f t="shared" ca="1" si="248"/>
        <v>226</v>
      </c>
      <c r="BM295" s="192">
        <f t="shared" ca="1" si="248"/>
        <v>112</v>
      </c>
      <c r="BN295" s="192">
        <f t="shared" ca="1" si="248"/>
        <v>50</v>
      </c>
      <c r="BO295" s="192">
        <f t="shared" ca="1" si="248"/>
        <v>50</v>
      </c>
      <c r="BP295" s="192" t="str">
        <f t="shared" ca="1" si="248"/>
        <v>V7</v>
      </c>
      <c r="BQ295" s="192" t="str">
        <f t="shared" ca="1" si="248"/>
        <v>PORT Designs</v>
      </c>
      <c r="BR295" s="192" t="str">
        <f t="shared" ca="1" si="248"/>
        <v>CoreParts</v>
      </c>
      <c r="BS295" s="192" t="str">
        <f t="shared" ca="1" si="248"/>
        <v>HP</v>
      </c>
      <c r="BT295" s="192" t="str">
        <f t="shared" ca="1" si="248"/>
        <v xml:space="preserve"> CSE14-BLK-3E  -Fodral för bärbar dator - 14" - svart</v>
      </c>
      <c r="BU295" s="192" t="str">
        <f t="shared" ca="1" si="248"/>
        <v>900003 - Professional - filter för personlig integritet - 14"</v>
      </c>
      <c r="BV295" s="192" t="str">
        <f t="shared" ca="1" si="248"/>
        <v>MBXUSBC-AC0005 - USB-C - strömadapter 45 Watt</v>
      </c>
      <c r="BW295" s="192" t="str">
        <f t="shared" ca="1" si="248"/>
        <v>72C71AA#ABB - Essential - dockningsstation</v>
      </c>
      <c r="BX295" s="192"/>
      <c r="BY295" s="192" t="str">
        <f t="shared" ca="1" si="249"/>
        <v>Advania Sverige AB</v>
      </c>
      <c r="BZ295" s="192" t="str">
        <f t="shared" ca="1" si="249"/>
        <v>HP</v>
      </c>
      <c r="CA295" s="185" t="s">
        <v>163</v>
      </c>
      <c r="CB295" s="185" t="s">
        <v>688</v>
      </c>
      <c r="CC295" s="185">
        <v>16</v>
      </c>
      <c r="CD295" s="185">
        <v>512</v>
      </c>
      <c r="CE295" s="185">
        <v>0</v>
      </c>
      <c r="CF295" s="185">
        <v>4</v>
      </c>
      <c r="CG295" s="185">
        <v>2</v>
      </c>
      <c r="CH295" s="185">
        <v>0</v>
      </c>
      <c r="CI295" s="185" t="s">
        <v>79</v>
      </c>
      <c r="CJ295" s="186">
        <v>5.2</v>
      </c>
      <c r="CK295" s="185">
        <v>8</v>
      </c>
      <c r="CL295" s="185" t="s">
        <v>527</v>
      </c>
      <c r="CM295" s="185">
        <v>0</v>
      </c>
      <c r="CN295" s="185" t="s">
        <v>80</v>
      </c>
    </row>
    <row r="296" spans="2:92" ht="22.5" customHeight="1" outlineLevel="1" x14ac:dyDescent="0.35">
      <c r="C296" s="61" t="s">
        <v>7</v>
      </c>
      <c r="D296" s="64"/>
      <c r="F296" s="80" t="str">
        <f t="shared" si="250"/>
        <v/>
      </c>
      <c r="G296" s="81">
        <f t="shared" ca="1" si="251"/>
        <v>14</v>
      </c>
      <c r="H296" s="81">
        <f t="shared" ca="1" si="251"/>
        <v>14</v>
      </c>
      <c r="I296" s="120">
        <f t="shared" ca="1" si="251"/>
        <v>14</v>
      </c>
      <c r="J296" s="62"/>
      <c r="K296" s="196">
        <f t="shared" ca="1" si="225"/>
        <v>0</v>
      </c>
      <c r="L296" s="185" t="b">
        <f t="shared" si="226"/>
        <v>1</v>
      </c>
      <c r="M296" s="185" t="s">
        <v>128</v>
      </c>
      <c r="N296" s="185" t="str">
        <f t="shared" ca="1" si="227"/>
        <v>Offererad produktnr. 01Dustin Sverige AB</v>
      </c>
      <c r="O296" s="196" cm="1">
        <f t="array" aca="1" ref="O296" ca="1">MIN(IF(($BY$294:$BY$317=M296)*($AQ$294:$AQ$317=$O$291),$Z$294:$Z$317))</f>
        <v>7599</v>
      </c>
      <c r="P296" s="197">
        <f ca="1">SMALL($Z$294:$Z$320,3)</f>
        <v>7640</v>
      </c>
      <c r="Q296" s="185">
        <f t="shared" si="228"/>
        <v>0</v>
      </c>
      <c r="R296" s="185">
        <f t="shared" si="229"/>
        <v>0</v>
      </c>
      <c r="S296" s="185">
        <f t="shared" si="230"/>
        <v>0</v>
      </c>
      <c r="T296" s="185">
        <f t="shared" si="231"/>
        <v>0</v>
      </c>
      <c r="U296" s="185">
        <f t="shared" si="232"/>
        <v>0</v>
      </c>
      <c r="V296" s="185">
        <f t="shared" si="233"/>
        <v>0</v>
      </c>
      <c r="W296" s="185">
        <f t="shared" si="234"/>
        <v>0</v>
      </c>
      <c r="X296" s="185">
        <f t="shared" si="235"/>
        <v>0</v>
      </c>
      <c r="Y296" s="185">
        <f t="shared" si="236"/>
        <v>0</v>
      </c>
      <c r="Z296" s="196">
        <f t="shared" ca="1" si="237"/>
        <v>10608</v>
      </c>
      <c r="AA296" s="185" t="str">
        <f t="shared" ca="1" si="238"/>
        <v>Offererad produktnr. 03Advania Sverige AB</v>
      </c>
      <c r="AB296" s="185"/>
      <c r="AC296" s="185" t="b">
        <f ca="1">IFERROR(IF(D298="",TRUE,
IF(OR(D298=$CB$12,D298=$CB$13),IF(LEFT(AS296,FIND(" ",AS296)-1)=D298,TRUE,FALSE),
IF(OFFSET(Processor!$AB$1,MATCH($AS296,Processor!$AA$2:$AA$23,0),MATCH(LEFT(D298,FIND(" ",D298)-1),Processor!$AC$1:$AG$1,0))&gt;=
OFFSET(Processor!$AB$1,MATCH(D298,Processor!$AA$2:$AA$23,0),MATCH(LEFT(D298,FIND(" ",D298)-1),Processor!$AC$1:$AG$1,0)),TRUE,FALSE))),FALSE)</f>
        <v>1</v>
      </c>
      <c r="AD296" s="185" t="b">
        <f t="shared" si="239"/>
        <v>1</v>
      </c>
      <c r="AE296" s="185" t="b">
        <f t="shared" si="240"/>
        <v>1</v>
      </c>
      <c r="AF296" s="185" t="b">
        <f>IF($D$296="",TRUE,IF(COUNTIF(Processor!$I$2:$I$9,$D$296)&gt;0,AND(AV296&gt;INDEX(Processor!$J$2:$J$9,MATCH($D$296,Processor!$I$2:$I$9,0)),AV296&lt;INDEX(Processor!$K$2:$K$9,MATCH($D$296,Processor!$I$2:$I$9,0))),IF(AV296=$D$296,TRUE,FALSE)))</f>
        <v>1</v>
      </c>
      <c r="AG296" s="185" t="b">
        <f t="shared" si="241"/>
        <v>1</v>
      </c>
      <c r="AH296" s="185" t="b">
        <f t="shared" si="242"/>
        <v>1</v>
      </c>
      <c r="AI296" s="185" t="b">
        <f t="shared" si="243"/>
        <v>1</v>
      </c>
      <c r="AJ296" s="185" t="b">
        <f t="shared" si="244"/>
        <v>1</v>
      </c>
      <c r="AK296" s="185" t="b">
        <f t="shared" si="245"/>
        <v>1</v>
      </c>
      <c r="AL296" s="185" t="b">
        <f>IFERROR(IF($D307="",TRUE,IF(MID(BC296,LEN(BC296)-2,1)*1&gt;=MID($D307,LEN($D307)-2,1)*1,TRUE,FALSE)),FALSE)</f>
        <v>1</v>
      </c>
      <c r="AM296" s="185" t="b">
        <f>IF(D306="",TRUE,IF(BB296&gt;=D306,TRUE,FALSE))</f>
        <v>1</v>
      </c>
      <c r="AN296" s="185"/>
      <c r="AO296" s="185"/>
      <c r="AP296" s="185" t="s">
        <v>200</v>
      </c>
      <c r="AQ296" s="185">
        <v>1</v>
      </c>
      <c r="AR296" s="185" t="str">
        <f t="shared" ca="1" si="246"/>
        <v>1920x1080</v>
      </c>
      <c r="AS296" s="185" t="str">
        <f t="shared" ca="1" si="246"/>
        <v>AMD Ryzen 7</v>
      </c>
      <c r="AT296" s="185">
        <f t="shared" ca="1" si="246"/>
        <v>16</v>
      </c>
      <c r="AU296" s="185">
        <f t="shared" ca="1" si="246"/>
        <v>512</v>
      </c>
      <c r="AV296" s="185">
        <f t="shared" ca="1" si="246"/>
        <v>14</v>
      </c>
      <c r="AW296" s="185">
        <f t="shared" ca="1" si="246"/>
        <v>4</v>
      </c>
      <c r="AX296" s="185">
        <f t="shared" ca="1" si="246"/>
        <v>1</v>
      </c>
      <c r="AY296" s="185" t="str">
        <f t="shared" ca="1" si="246"/>
        <v>Ja, HDMI-port finns</v>
      </c>
      <c r="AZ296" s="185" t="str">
        <f t="shared" ca="1" si="246"/>
        <v>802.11a/b/g/n/ac/ax</v>
      </c>
      <c r="BA296" s="185">
        <f t="shared" ca="1" si="246"/>
        <v>5.2</v>
      </c>
      <c r="BB296" s="185">
        <f t="shared" ca="1" si="247"/>
        <v>11</v>
      </c>
      <c r="BC296" s="185" t="str">
        <f t="shared" ca="1" si="247"/>
        <v>Version 8.0</v>
      </c>
      <c r="BD296" s="185" t="str">
        <f t="shared" ca="1" si="247"/>
        <v>Ja</v>
      </c>
      <c r="BE296" s="185" t="str">
        <f t="shared" ca="1" si="247"/>
        <v>Windows 11 Pro</v>
      </c>
      <c r="BF296" s="185" t="str">
        <f t="shared" ca="1" si="247"/>
        <v>HP ProBook 445 G10</v>
      </c>
      <c r="BG296" s="185">
        <f t="shared" ca="1" si="247"/>
        <v>10608</v>
      </c>
      <c r="BH296" s="192">
        <f t="shared" ca="1" si="247"/>
        <v>60</v>
      </c>
      <c r="BI296" s="192">
        <f t="shared" ca="1" si="247"/>
        <v>218</v>
      </c>
      <c r="BJ296" s="192">
        <f t="shared" ca="1" si="247"/>
        <v>251</v>
      </c>
      <c r="BK296" s="192">
        <f t="shared" ca="1" si="247"/>
        <v>1462</v>
      </c>
      <c r="BL296" s="192">
        <f t="shared" ca="1" si="248"/>
        <v>226</v>
      </c>
      <c r="BM296" s="192">
        <f t="shared" ca="1" si="248"/>
        <v>112</v>
      </c>
      <c r="BN296" s="192">
        <f t="shared" ca="1" si="248"/>
        <v>50</v>
      </c>
      <c r="BO296" s="192">
        <f t="shared" ca="1" si="248"/>
        <v>50</v>
      </c>
      <c r="BP296" s="192" t="str">
        <f t="shared" ca="1" si="248"/>
        <v>V7</v>
      </c>
      <c r="BQ296" s="192" t="str">
        <f t="shared" ca="1" si="248"/>
        <v>PORT Designs</v>
      </c>
      <c r="BR296" s="192" t="str">
        <f t="shared" ca="1" si="248"/>
        <v>CoreParts</v>
      </c>
      <c r="BS296" s="192" t="str">
        <f t="shared" ca="1" si="248"/>
        <v>HP</v>
      </c>
      <c r="BT296" s="192" t="str">
        <f t="shared" ca="1" si="248"/>
        <v xml:space="preserve"> CSE14-BLK-3E  -Fodral för bärbar dator - 14" - svart</v>
      </c>
      <c r="BU296" s="192" t="str">
        <f t="shared" ca="1" si="248"/>
        <v>900003 - Professional - filter för personlig integritet - 14"</v>
      </c>
      <c r="BV296" s="192" t="str">
        <f t="shared" ca="1" si="248"/>
        <v>MBXUSBC-AC0005 - USB-C - strömadapter 45 Watt</v>
      </c>
      <c r="BW296" s="192" t="str">
        <f t="shared" ca="1" si="248"/>
        <v>72C71AA#ABB - Essential - dockningsstation</v>
      </c>
      <c r="BX296" s="192"/>
      <c r="BY296" s="192" t="str">
        <f t="shared" ca="1" si="249"/>
        <v>Advania Sverige AB</v>
      </c>
      <c r="BZ296" s="192" t="str">
        <f t="shared" ca="1" si="249"/>
        <v>HP</v>
      </c>
      <c r="CA296" s="185">
        <v>0</v>
      </c>
      <c r="CB296" s="185"/>
      <c r="CC296" s="185">
        <v>32</v>
      </c>
      <c r="CD296" s="185">
        <v>0</v>
      </c>
      <c r="CE296" s="185"/>
      <c r="CF296" s="185">
        <v>2</v>
      </c>
      <c r="CG296" s="185">
        <v>0</v>
      </c>
      <c r="CH296" s="185"/>
      <c r="CI296" s="185">
        <v>0</v>
      </c>
      <c r="CJ296" s="186">
        <v>5</v>
      </c>
      <c r="CK296" s="185">
        <v>0</v>
      </c>
      <c r="CL296" s="185">
        <v>0</v>
      </c>
      <c r="CM296" s="185"/>
      <c r="CN296" s="185">
        <v>0</v>
      </c>
    </row>
    <row r="297" spans="2:92" ht="22.5" customHeight="1" outlineLevel="1" x14ac:dyDescent="0.35">
      <c r="C297" s="61" t="s">
        <v>2</v>
      </c>
      <c r="D297" s="64"/>
      <c r="F297" s="80" t="str">
        <f t="shared" si="250"/>
        <v/>
      </c>
      <c r="G297" s="81" t="str">
        <f t="shared" ca="1" si="251"/>
        <v>1920x1080</v>
      </c>
      <c r="H297" s="81" t="str">
        <f t="shared" ca="1" si="251"/>
        <v>1920x1080</v>
      </c>
      <c r="I297" s="120" t="str">
        <f t="shared" ca="1" si="251"/>
        <v>1920x1080</v>
      </c>
      <c r="J297" s="62"/>
      <c r="K297" s="196">
        <f t="shared" ca="1" si="225"/>
        <v>0</v>
      </c>
      <c r="L297" s="185" t="b">
        <f t="shared" si="226"/>
        <v>1</v>
      </c>
      <c r="M297" s="185" t="s">
        <v>169</v>
      </c>
      <c r="N297" s="185" t="str">
        <f t="shared" ca="1" si="227"/>
        <v>Offererad produktnr. 01Foxway Education AB</v>
      </c>
      <c r="O297" s="196" cm="1">
        <f t="array" aca="1" ref="O297" ca="1">MIN(IF(($BY$294:$BY$317=M297)*($AQ$294:$AQ$317=$O$291),$Z$294:$Z$317))</f>
        <v>8848</v>
      </c>
      <c r="P297" s="197"/>
      <c r="Q297" s="185">
        <f t="shared" si="228"/>
        <v>0</v>
      </c>
      <c r="R297" s="185">
        <f t="shared" si="229"/>
        <v>0</v>
      </c>
      <c r="S297" s="185">
        <f t="shared" si="230"/>
        <v>0</v>
      </c>
      <c r="T297" s="185">
        <f t="shared" si="231"/>
        <v>0</v>
      </c>
      <c r="U297" s="185">
        <f t="shared" si="232"/>
        <v>0</v>
      </c>
      <c r="V297" s="185">
        <f t="shared" si="233"/>
        <v>0</v>
      </c>
      <c r="W297" s="185">
        <f t="shared" si="234"/>
        <v>0</v>
      </c>
      <c r="X297" s="185">
        <f t="shared" si="235"/>
        <v>0</v>
      </c>
      <c r="Y297" s="185">
        <f t="shared" si="236"/>
        <v>0</v>
      </c>
      <c r="Z297" s="196">
        <f t="shared" ca="1" si="237"/>
        <v>11474</v>
      </c>
      <c r="AA297" s="185" t="str">
        <f t="shared" ca="1" si="238"/>
        <v>Offererad produktnr. 04Advania Sverige AB</v>
      </c>
      <c r="AB297" s="185"/>
      <c r="AC297" s="185" t="b">
        <f ca="1">IFERROR(IF(D298="",TRUE,
IF(OR(D298=$CB$12,D298=$CB$13),IF(LEFT(AS297,FIND(" ",AS297)-1)=D298,TRUE,FALSE),
IF(OFFSET(Processor!$AB$1,MATCH($AS297,Processor!$AA$2:$AA$23,0),MATCH(LEFT(D298,FIND(" ",D298)-1),Processor!$AC$1:$AG$1,0))&gt;=
OFFSET(Processor!$AB$1,MATCH(D298,Processor!$AA$2:$AA$23,0),MATCH(LEFT(D298,FIND(" ",D298)-1),Processor!$AC$1:$AG$1,0)),TRUE,FALSE))),FALSE)</f>
        <v>1</v>
      </c>
      <c r="AD297" s="185" t="b">
        <f t="shared" si="239"/>
        <v>1</v>
      </c>
      <c r="AE297" s="185" t="b">
        <f t="shared" si="240"/>
        <v>1</v>
      </c>
      <c r="AF297" s="185" t="b">
        <f>IF($D$296="",TRUE,IF(COUNTIF(Processor!$I$2:$I$9,$D$296)&gt;0,AND(AV297&gt;INDEX(Processor!$J$2:$J$9,MATCH($D$296,Processor!$I$2:$I$9,0)),AV297&lt;INDEX(Processor!$K$2:$K$9,MATCH($D$296,Processor!$I$2:$I$9,0))),IF(AV297=$D$296,TRUE,FALSE)))</f>
        <v>1</v>
      </c>
      <c r="AG297" s="185" t="b">
        <f t="shared" si="241"/>
        <v>1</v>
      </c>
      <c r="AH297" s="185" t="b">
        <f t="shared" si="242"/>
        <v>1</v>
      </c>
      <c r="AI297" s="185" t="b">
        <f t="shared" si="243"/>
        <v>1</v>
      </c>
      <c r="AJ297" s="185" t="b">
        <f t="shared" si="244"/>
        <v>1</v>
      </c>
      <c r="AK297" s="185" t="b">
        <f t="shared" si="245"/>
        <v>1</v>
      </c>
      <c r="AL297" s="185" t="b">
        <f>IFERROR(IF($D307="",TRUE,IF(MID(BC297,LEN(BC297)-2,1)*1&gt;=MID($D307,LEN($D307)-2,1)*1,TRUE,FALSE)),FALSE)</f>
        <v>1</v>
      </c>
      <c r="AM297" s="185" t="b">
        <f>IF(D306="",TRUE,IF(BB297&gt;=D306,TRUE,FALSE))</f>
        <v>1</v>
      </c>
      <c r="AN297" s="185"/>
      <c r="AO297" s="185"/>
      <c r="AP297" s="185" t="s">
        <v>201</v>
      </c>
      <c r="AQ297" s="185">
        <v>1</v>
      </c>
      <c r="AR297" s="185" t="str">
        <f t="shared" ca="1" si="246"/>
        <v>1920x1080</v>
      </c>
      <c r="AS297" s="185" t="str">
        <f t="shared" ca="1" si="246"/>
        <v>Intel i7 Gen 12</v>
      </c>
      <c r="AT297" s="185">
        <f t="shared" ca="1" si="246"/>
        <v>16</v>
      </c>
      <c r="AU297" s="185">
        <f t="shared" ca="1" si="246"/>
        <v>512</v>
      </c>
      <c r="AV297" s="185">
        <f t="shared" ca="1" si="246"/>
        <v>14</v>
      </c>
      <c r="AW297" s="185">
        <f t="shared" ca="1" si="246"/>
        <v>4</v>
      </c>
      <c r="AX297" s="185">
        <f t="shared" ca="1" si="246"/>
        <v>2</v>
      </c>
      <c r="AY297" s="185" t="str">
        <f t="shared" ca="1" si="246"/>
        <v>Ja, HDMI-port finns</v>
      </c>
      <c r="AZ297" s="185" t="str">
        <f t="shared" ca="1" si="246"/>
        <v>802.11a/b/g/n/ac/ax</v>
      </c>
      <c r="BA297" s="185">
        <f t="shared" ca="1" si="246"/>
        <v>5.2</v>
      </c>
      <c r="BB297" s="185">
        <f t="shared" ca="1" si="247"/>
        <v>11</v>
      </c>
      <c r="BC297" s="185" t="str">
        <f t="shared" ca="1" si="247"/>
        <v>Version 8.0</v>
      </c>
      <c r="BD297" s="185" t="str">
        <f t="shared" ca="1" si="247"/>
        <v>Ja</v>
      </c>
      <c r="BE297" s="185" t="str">
        <f t="shared" ca="1" si="247"/>
        <v>Windows 11 Pro</v>
      </c>
      <c r="BF297" s="185" t="str">
        <f t="shared" ca="1" si="247"/>
        <v>ProBook 440 G11</v>
      </c>
      <c r="BG297" s="185">
        <f t="shared" ca="1" si="247"/>
        <v>11474</v>
      </c>
      <c r="BH297" s="192">
        <f t="shared" ca="1" si="247"/>
        <v>60</v>
      </c>
      <c r="BI297" s="192">
        <f t="shared" ca="1" si="247"/>
        <v>218</v>
      </c>
      <c r="BJ297" s="192">
        <f t="shared" ca="1" si="247"/>
        <v>251</v>
      </c>
      <c r="BK297" s="192">
        <f t="shared" ca="1" si="247"/>
        <v>1462</v>
      </c>
      <c r="BL297" s="192">
        <f t="shared" ca="1" si="248"/>
        <v>226</v>
      </c>
      <c r="BM297" s="192">
        <f t="shared" ca="1" si="248"/>
        <v>112</v>
      </c>
      <c r="BN297" s="192">
        <f t="shared" ca="1" si="248"/>
        <v>50</v>
      </c>
      <c r="BO297" s="192">
        <f t="shared" ca="1" si="248"/>
        <v>50</v>
      </c>
      <c r="BP297" s="192" t="str">
        <f t="shared" ca="1" si="248"/>
        <v>V7</v>
      </c>
      <c r="BQ297" s="192" t="str">
        <f t="shared" ca="1" si="248"/>
        <v>DICOTA</v>
      </c>
      <c r="BR297" s="192" t="str">
        <f t="shared" ca="1" si="248"/>
        <v>CoreParts</v>
      </c>
      <c r="BS297" s="192" t="str">
        <f t="shared" ca="1" si="248"/>
        <v>HP</v>
      </c>
      <c r="BT297" s="192" t="str">
        <f t="shared" ca="1" si="248"/>
        <v xml:space="preserve"> CSE14-BLK-3E  -Fodral för bärbar dator - 14" - svart</v>
      </c>
      <c r="BU297" s="192" t="str">
        <f t="shared" ca="1" si="248"/>
        <v>D70513 - Sekretessfilter till bärbar dator - 2-vägs - borttagbar - lim - 14 tum bred - svart</v>
      </c>
      <c r="BV297" s="192" t="str">
        <f t="shared" ca="1" si="248"/>
        <v>MBXUSBC-AC0005 - USB-C - strömadapter 45 Watt</v>
      </c>
      <c r="BW297" s="192" t="str">
        <f t="shared" ca="1" si="248"/>
        <v>72C71AA#ABB - Essential - dockningsstation</v>
      </c>
      <c r="BX297" s="192"/>
      <c r="BY297" s="192" t="str">
        <f t="shared" ca="1" si="249"/>
        <v>Advania Sverige AB</v>
      </c>
      <c r="BZ297" s="192" t="str">
        <f t="shared" ca="1" si="249"/>
        <v>HP</v>
      </c>
      <c r="CA297" s="185"/>
      <c r="CB297" s="185" t="s">
        <v>65</v>
      </c>
      <c r="CC297" s="185">
        <v>0</v>
      </c>
      <c r="CD297" s="185"/>
      <c r="CE297" s="185"/>
      <c r="CF297" s="185">
        <v>0</v>
      </c>
      <c r="CG297" s="185"/>
      <c r="CH297" s="185"/>
      <c r="CI297" s="185"/>
      <c r="CJ297" s="186">
        <v>0</v>
      </c>
      <c r="CK297" s="185"/>
      <c r="CL297" s="185"/>
      <c r="CM297" s="185"/>
      <c r="CN297" s="185"/>
    </row>
    <row r="298" spans="2:92" ht="22.5" customHeight="1" outlineLevel="1" x14ac:dyDescent="0.35">
      <c r="C298" s="61" t="s">
        <v>4</v>
      </c>
      <c r="D298" s="64"/>
      <c r="F298" s="80" t="str">
        <f t="shared" si="250"/>
        <v/>
      </c>
      <c r="G298" s="81" t="str">
        <f t="shared" ca="1" si="251"/>
        <v>AMD Ryzen 5</v>
      </c>
      <c r="H298" s="81" t="str">
        <f t="shared" ca="1" si="251"/>
        <v>AMD Ryzen 5</v>
      </c>
      <c r="I298" s="120" t="str">
        <f t="shared" ca="1" si="251"/>
        <v>AMD Ryzen 7</v>
      </c>
      <c r="J298" s="62"/>
      <c r="K298" s="196">
        <f t="shared" ca="1" si="225"/>
        <v>0</v>
      </c>
      <c r="L298" s="185" t="b">
        <f t="shared" si="226"/>
        <v>1</v>
      </c>
      <c r="M298" s="185" t="s">
        <v>167</v>
      </c>
      <c r="N298" s="185" t="e">
        <f t="shared" ca="1" si="227"/>
        <v>#N/A</v>
      </c>
      <c r="O298" s="196" cm="1">
        <f t="array" aca="1" ref="O298" ca="1">MIN(IF(($BY$294:$BY$317=M298)*($AQ$294:$AQ$317=$O$291),$Z$294:$Z$317))</f>
        <v>0</v>
      </c>
      <c r="P298" s="197"/>
      <c r="Q298" s="185">
        <f t="shared" si="228"/>
        <v>0</v>
      </c>
      <c r="R298" s="185">
        <f t="shared" si="229"/>
        <v>0</v>
      </c>
      <c r="S298" s="185">
        <f t="shared" si="230"/>
        <v>0</v>
      </c>
      <c r="T298" s="185">
        <f t="shared" si="231"/>
        <v>0</v>
      </c>
      <c r="U298" s="185">
        <f t="shared" si="232"/>
        <v>0</v>
      </c>
      <c r="V298" s="185">
        <f t="shared" si="233"/>
        <v>0</v>
      </c>
      <c r="W298" s="185">
        <f t="shared" si="234"/>
        <v>0</v>
      </c>
      <c r="X298" s="185">
        <f t="shared" si="235"/>
        <v>0</v>
      </c>
      <c r="Y298" s="185">
        <f t="shared" si="236"/>
        <v>0</v>
      </c>
      <c r="Z298" s="196">
        <f t="shared" ca="1" si="237"/>
        <v>11724</v>
      </c>
      <c r="AA298" s="185" t="str">
        <f t="shared" ca="1" si="238"/>
        <v>Offererad produktnr. 01Atea Sverige AB</v>
      </c>
      <c r="AB298" s="185"/>
      <c r="AC298" s="185" t="b">
        <f ca="1">IFERROR(IF(D298="",TRUE,
IF(OR(D298=$CB$12,D298=$CB$13),IF(LEFT(AS298,FIND(" ",AS298)-1)=D298,TRUE,FALSE),
IF(OFFSET(Processor!$AB$1,MATCH($AS298,Processor!$AA$2:$AA$23,0),MATCH(LEFT(D298,FIND(" ",D298)-1),Processor!$AC$1:$AG$1,0))&gt;=
OFFSET(Processor!$AB$1,MATCH(D298,Processor!$AA$2:$AA$23,0),MATCH(LEFT(D298,FIND(" ",D298)-1),Processor!$AC$1:$AG$1,0)),TRUE,FALSE))),FALSE)</f>
        <v>1</v>
      </c>
      <c r="AD298" s="185" t="b">
        <f t="shared" si="239"/>
        <v>1</v>
      </c>
      <c r="AE298" s="185" t="b">
        <f t="shared" si="240"/>
        <v>1</v>
      </c>
      <c r="AF298" s="185" t="b">
        <f>IF($D$296="",TRUE,IF(COUNTIF(Processor!$I$2:$I$9,$D$296)&gt;0,AND(AV298&gt;INDEX(Processor!$J$2:$J$9,MATCH($D$296,Processor!$I$2:$I$9,0)),AV298&lt;INDEX(Processor!$K$2:$K$9,MATCH($D$296,Processor!$I$2:$I$9,0))),IF(AV298=$D$296,TRUE,FALSE)))</f>
        <v>1</v>
      </c>
      <c r="AG298" s="185" t="b">
        <f t="shared" si="241"/>
        <v>1</v>
      </c>
      <c r="AH298" s="185" t="b">
        <f t="shared" si="242"/>
        <v>1</v>
      </c>
      <c r="AI298" s="185" t="b">
        <f t="shared" si="243"/>
        <v>1</v>
      </c>
      <c r="AJ298" s="185" t="b">
        <f t="shared" si="244"/>
        <v>1</v>
      </c>
      <c r="AK298" s="185" t="b">
        <f t="shared" si="245"/>
        <v>1</v>
      </c>
      <c r="AL298" s="185" t="b">
        <f>IFERROR(IF($D307="",TRUE,IF(MID(BC298,LEN(BC298)-2,1)*1&gt;=MID($D307,LEN($D307)-2,1)*1,TRUE,FALSE)),FALSE)</f>
        <v>1</v>
      </c>
      <c r="AM298" s="185" t="b">
        <f>IF(D306="",TRUE,IF(BB298&gt;=D306,TRUE,FALSE))</f>
        <v>1</v>
      </c>
      <c r="AN298" s="185"/>
      <c r="AO298" s="185"/>
      <c r="AP298" s="185" t="s">
        <v>186</v>
      </c>
      <c r="AQ298" s="185">
        <v>1</v>
      </c>
      <c r="AR298" s="185" t="str">
        <f t="shared" ca="1" si="246"/>
        <v>1920x1080</v>
      </c>
      <c r="AS298" s="185" t="str">
        <f t="shared" ca="1" si="246"/>
        <v>Intel i5 Gen 13</v>
      </c>
      <c r="AT298" s="185">
        <f t="shared" ca="1" si="246"/>
        <v>16</v>
      </c>
      <c r="AU298" s="185">
        <f t="shared" ca="1" si="246"/>
        <v>256</v>
      </c>
      <c r="AV298" s="185">
        <f t="shared" ca="1" si="246"/>
        <v>14</v>
      </c>
      <c r="AW298" s="185">
        <f t="shared" ca="1" si="246"/>
        <v>4</v>
      </c>
      <c r="AX298" s="185">
        <f t="shared" ca="1" si="246"/>
        <v>2</v>
      </c>
      <c r="AY298" s="185" t="str">
        <f t="shared" ca="1" si="246"/>
        <v>Ja, HDMI-port finns</v>
      </c>
      <c r="AZ298" s="185" t="str">
        <f t="shared" ca="1" si="246"/>
        <v>802.11a/b/g/n/ac/ax</v>
      </c>
      <c r="BA298" s="185">
        <f t="shared" ca="1" si="246"/>
        <v>5.2</v>
      </c>
      <c r="BB298" s="185">
        <f t="shared" ca="1" si="247"/>
        <v>8</v>
      </c>
      <c r="BC298" s="185" t="str">
        <f t="shared" ca="1" si="247"/>
        <v>Version 8.0</v>
      </c>
      <c r="BD298" s="185" t="str">
        <f t="shared" ca="1" si="247"/>
        <v>Ja</v>
      </c>
      <c r="BE298" s="185" t="str">
        <f t="shared" ca="1" si="247"/>
        <v>Windows 11 Pro</v>
      </c>
      <c r="BF298" s="185" t="str">
        <f t="shared" ca="1" si="247"/>
        <v>Elitebook 640 G10</v>
      </c>
      <c r="BG298" s="185">
        <f t="shared" ca="1" si="247"/>
        <v>11724</v>
      </c>
      <c r="BH298" s="192">
        <f t="shared" ca="1" si="247"/>
        <v>134</v>
      </c>
      <c r="BI298" s="192">
        <f t="shared" ca="1" si="247"/>
        <v>449</v>
      </c>
      <c r="BJ298" s="192">
        <f t="shared" ca="1" si="247"/>
        <v>241</v>
      </c>
      <c r="BK298" s="192">
        <f t="shared" ca="1" si="247"/>
        <v>1788</v>
      </c>
      <c r="BL298" s="192">
        <f t="shared" ca="1" si="248"/>
        <v>706</v>
      </c>
      <c r="BM298" s="192">
        <f t="shared" ca="1" si="248"/>
        <v>120</v>
      </c>
      <c r="BN298" s="192">
        <f t="shared" ca="1" si="248"/>
        <v>85</v>
      </c>
      <c r="BO298" s="192">
        <f t="shared" ca="1" si="248"/>
        <v>100</v>
      </c>
      <c r="BP298" s="192" t="str">
        <f t="shared" ca="1" si="248"/>
        <v>DELTACO</v>
      </c>
      <c r="BQ298" s="192" t="str">
        <f t="shared" ca="1" si="248"/>
        <v>Targus</v>
      </c>
      <c r="BR298" s="192" t="str">
        <f t="shared" ca="1" si="248"/>
        <v>HP</v>
      </c>
      <c r="BS298" s="192" t="str">
        <f t="shared" ca="1" si="248"/>
        <v>HP</v>
      </c>
      <c r="BT298" s="192" t="str">
        <f t="shared" ca="1" si="248"/>
        <v>Fodral för bärbar dator</v>
      </c>
      <c r="BU298" s="192" t="str">
        <f t="shared" ca="1" si="248"/>
        <v>Targus Privacy Screen 14" Widescreen</v>
      </c>
      <c r="BV298" s="192" t="str">
        <f t="shared" ca="1" si="248"/>
        <v>HP 65W Smart AC Adapter</v>
      </c>
      <c r="BW298" s="192" t="str">
        <f t="shared" ca="1" si="248"/>
        <v>HP USB-C Dock G5 Essential</v>
      </c>
      <c r="BX298" s="192"/>
      <c r="BY298" s="192" t="str">
        <f t="shared" ca="1" si="249"/>
        <v>Atea Sverige AB</v>
      </c>
      <c r="BZ298" s="192" t="str">
        <f t="shared" ca="1" si="249"/>
        <v>HP</v>
      </c>
      <c r="CA298" s="185"/>
      <c r="CB298" s="185" t="s">
        <v>66</v>
      </c>
      <c r="CC298" s="185"/>
      <c r="CD298" s="185"/>
      <c r="CE298" s="185"/>
      <c r="CF298" s="185"/>
      <c r="CG298" s="185"/>
      <c r="CH298" s="185"/>
      <c r="CI298" s="185"/>
      <c r="CJ298" s="185"/>
      <c r="CK298" s="185"/>
      <c r="CL298" s="185"/>
      <c r="CM298" s="185"/>
      <c r="CN298" s="185"/>
    </row>
    <row r="299" spans="2:92" ht="22.5" customHeight="1" outlineLevel="1" x14ac:dyDescent="0.35">
      <c r="C299" s="61" t="s">
        <v>119</v>
      </c>
      <c r="D299" s="64"/>
      <c r="F299" s="80" t="str">
        <f t="shared" si="250"/>
        <v/>
      </c>
      <c r="G299" s="81">
        <f t="shared" ca="1" si="251"/>
        <v>8</v>
      </c>
      <c r="H299" s="81">
        <f t="shared" ca="1" si="251"/>
        <v>8</v>
      </c>
      <c r="I299" s="120">
        <f t="shared" ca="1" si="251"/>
        <v>16</v>
      </c>
      <c r="J299" s="62"/>
      <c r="K299" s="196">
        <f t="shared" ca="1" si="225"/>
        <v>0</v>
      </c>
      <c r="L299" s="185" t="b">
        <f t="shared" si="226"/>
        <v>1</v>
      </c>
      <c r="M299" s="185" t="s">
        <v>546</v>
      </c>
      <c r="N299" s="185" t="str">
        <f t="shared" ca="1" si="227"/>
        <v>Offererad produktnr. 01Qlosr Göteborg AB</v>
      </c>
      <c r="O299" s="196" cm="1">
        <f t="array" aca="1" ref="O299" ca="1">MIN(IF(($BY$294:$BY$317=M299)*($AQ$294:$AQ$317=$O$291),$Z$294:$Z$317))</f>
        <v>6420</v>
      </c>
      <c r="P299" s="197"/>
      <c r="Q299" s="185">
        <f t="shared" si="228"/>
        <v>0</v>
      </c>
      <c r="R299" s="185">
        <f t="shared" si="229"/>
        <v>0</v>
      </c>
      <c r="S299" s="185">
        <f t="shared" si="230"/>
        <v>0</v>
      </c>
      <c r="T299" s="185">
        <f t="shared" si="231"/>
        <v>0</v>
      </c>
      <c r="U299" s="185">
        <f t="shared" si="232"/>
        <v>0</v>
      </c>
      <c r="V299" s="185">
        <f t="shared" si="233"/>
        <v>0</v>
      </c>
      <c r="W299" s="185">
        <f t="shared" si="234"/>
        <v>0</v>
      </c>
      <c r="X299" s="185">
        <f t="shared" si="235"/>
        <v>0</v>
      </c>
      <c r="Y299" s="185">
        <f t="shared" si="236"/>
        <v>0</v>
      </c>
      <c r="Z299" s="196">
        <f t="shared" ca="1" si="237"/>
        <v>14238</v>
      </c>
      <c r="AA299" s="185" t="str">
        <f t="shared" ca="1" si="238"/>
        <v>Offererad produktnr. 02Atea Sverige AB</v>
      </c>
      <c r="AB299" s="185"/>
      <c r="AC299" s="185" t="b">
        <f ca="1">IFERROR(IF(D298="",TRUE,
IF(OR(D298=$CB$12,D298=$CB$13),IF(LEFT(AS299,FIND(" ",AS299)-1)=D298,TRUE,FALSE),
IF(OFFSET(Processor!$AB$1,MATCH($AS299,Processor!$AA$2:$AA$23,0),MATCH(LEFT(D298,FIND(" ",D298)-1),Processor!$AC$1:$AG$1,0))&gt;=
OFFSET(Processor!$AB$1,MATCH(D298,Processor!$AA$2:$AA$23,0),MATCH(LEFT(D298,FIND(" ",D298)-1),Processor!$AC$1:$AG$1,0)),TRUE,FALSE))),FALSE)</f>
        <v>1</v>
      </c>
      <c r="AD299" s="185" t="b">
        <f t="shared" si="239"/>
        <v>1</v>
      </c>
      <c r="AE299" s="185" t="b">
        <f t="shared" si="240"/>
        <v>1</v>
      </c>
      <c r="AF299" s="185" t="b">
        <f>IF($D$296="",TRUE,IF(COUNTIF(Processor!$I$2:$I$9,$D$296)&gt;0,AND(AV299&gt;INDEX(Processor!$J$2:$J$9,MATCH($D$296,Processor!$I$2:$I$9,0)),AV299&lt;INDEX(Processor!$K$2:$K$9,MATCH($D$296,Processor!$I$2:$I$9,0))),IF(AV299=$D$296,TRUE,FALSE)))</f>
        <v>1</v>
      </c>
      <c r="AG299" s="185" t="b">
        <f t="shared" si="241"/>
        <v>1</v>
      </c>
      <c r="AH299" s="185" t="b">
        <f t="shared" si="242"/>
        <v>1</v>
      </c>
      <c r="AI299" s="185" t="b">
        <f t="shared" si="243"/>
        <v>1</v>
      </c>
      <c r="AJ299" s="185" t="b">
        <f t="shared" si="244"/>
        <v>1</v>
      </c>
      <c r="AK299" s="185" t="b">
        <f t="shared" si="245"/>
        <v>1</v>
      </c>
      <c r="AL299" s="185" t="b">
        <f>IFERROR(IF($D307="",TRUE,IF(MID(BC299,LEN(BC299)-2,1)*1&gt;=MID($D307,LEN($D307)-2,1)*1,TRUE,FALSE)),FALSE)</f>
        <v>1</v>
      </c>
      <c r="AM299" s="185" t="b">
        <f>IF(D306="",TRUE,IF(BB299&gt;=D306,TRUE,FALSE))</f>
        <v>1</v>
      </c>
      <c r="AN299" s="185"/>
      <c r="AO299" s="185"/>
      <c r="AP299" s="185" t="s">
        <v>187</v>
      </c>
      <c r="AQ299" s="185">
        <v>1</v>
      </c>
      <c r="AR299" s="185" t="str">
        <f t="shared" ca="1" si="246"/>
        <v>1920x1200</v>
      </c>
      <c r="AS299" s="185" t="str">
        <f t="shared" ca="1" si="246"/>
        <v>Intel i5 Gen 13</v>
      </c>
      <c r="AT299" s="185">
        <f t="shared" ca="1" si="246"/>
        <v>16</v>
      </c>
      <c r="AU299" s="185">
        <f t="shared" ca="1" si="246"/>
        <v>256</v>
      </c>
      <c r="AV299" s="185">
        <f t="shared" ca="1" si="246"/>
        <v>14</v>
      </c>
      <c r="AW299" s="185">
        <f t="shared" ca="1" si="246"/>
        <v>4</v>
      </c>
      <c r="AX299" s="185">
        <f t="shared" ca="1" si="246"/>
        <v>2</v>
      </c>
      <c r="AY299" s="185" t="str">
        <f t="shared" ca="1" si="246"/>
        <v>Ja, HDMI-port finns</v>
      </c>
      <c r="AZ299" s="185" t="str">
        <f t="shared" ca="1" si="246"/>
        <v>802.11a/b/g/n/ac/ax</v>
      </c>
      <c r="BA299" s="185">
        <f t="shared" ca="1" si="246"/>
        <v>5.3</v>
      </c>
      <c r="BB299" s="185">
        <f t="shared" ca="1" si="247"/>
        <v>8</v>
      </c>
      <c r="BC299" s="185" t="str">
        <f t="shared" ca="1" si="247"/>
        <v>Version 8.0</v>
      </c>
      <c r="BD299" s="185" t="str">
        <f t="shared" ca="1" si="247"/>
        <v>Ja</v>
      </c>
      <c r="BE299" s="185" t="str">
        <f t="shared" ca="1" si="247"/>
        <v>Windows 11 Pro</v>
      </c>
      <c r="BF299" s="185" t="str">
        <f t="shared" ca="1" si="247"/>
        <v>Elitebook 840 G10</v>
      </c>
      <c r="BG299" s="185">
        <f t="shared" ca="1" si="247"/>
        <v>14238</v>
      </c>
      <c r="BH299" s="192">
        <f t="shared" ca="1" si="247"/>
        <v>134</v>
      </c>
      <c r="BI299" s="192">
        <f t="shared" ca="1" si="247"/>
        <v>449</v>
      </c>
      <c r="BJ299" s="192">
        <f t="shared" ca="1" si="247"/>
        <v>241</v>
      </c>
      <c r="BK299" s="192">
        <f t="shared" ca="1" si="247"/>
        <v>1788</v>
      </c>
      <c r="BL299" s="192">
        <f t="shared" ca="1" si="248"/>
        <v>2039</v>
      </c>
      <c r="BM299" s="192">
        <f t="shared" ca="1" si="248"/>
        <v>120</v>
      </c>
      <c r="BN299" s="192">
        <f t="shared" ca="1" si="248"/>
        <v>85</v>
      </c>
      <c r="BO299" s="192">
        <f t="shared" ca="1" si="248"/>
        <v>100</v>
      </c>
      <c r="BP299" s="192" t="str">
        <f t="shared" ca="1" si="248"/>
        <v>DELTACO</v>
      </c>
      <c r="BQ299" s="192" t="str">
        <f t="shared" ca="1" si="248"/>
        <v>Targus</v>
      </c>
      <c r="BR299" s="192" t="str">
        <f t="shared" ca="1" si="248"/>
        <v>HP</v>
      </c>
      <c r="BS299" s="192" t="str">
        <f t="shared" ca="1" si="248"/>
        <v>HP</v>
      </c>
      <c r="BT299" s="192" t="str">
        <f t="shared" ca="1" si="248"/>
        <v>Fodral för bärbar dator</v>
      </c>
      <c r="BU299" s="192" t="str">
        <f t="shared" ca="1" si="248"/>
        <v>Targus Privacy Screen 14" Widescreen</v>
      </c>
      <c r="BV299" s="192" t="str">
        <f t="shared" ca="1" si="248"/>
        <v>HP 65W Smart AC Adapter</v>
      </c>
      <c r="BW299" s="192" t="str">
        <f t="shared" ca="1" si="248"/>
        <v>HP USB-C Dock G5 Essential</v>
      </c>
      <c r="BX299" s="192"/>
      <c r="BY299" s="192" t="str">
        <f t="shared" ca="1" si="249"/>
        <v>Atea Sverige AB</v>
      </c>
      <c r="BZ299" s="192" t="str">
        <f t="shared" ca="1" si="249"/>
        <v>HP</v>
      </c>
      <c r="CA299" s="185"/>
      <c r="CB299" s="185" t="s">
        <v>63</v>
      </c>
      <c r="CC299" s="185"/>
      <c r="CD299" s="185"/>
      <c r="CE299" s="185"/>
      <c r="CF299" s="185"/>
      <c r="CG299" s="185"/>
      <c r="CH299" s="185"/>
      <c r="CI299" s="185"/>
      <c r="CJ299" s="186"/>
      <c r="CK299" s="185"/>
      <c r="CL299" s="185"/>
      <c r="CM299" s="185"/>
      <c r="CN299" s="185"/>
    </row>
    <row r="300" spans="2:92" ht="22.5" customHeight="1" outlineLevel="1" x14ac:dyDescent="0.35">
      <c r="C300" s="61" t="s">
        <v>16</v>
      </c>
      <c r="D300" s="64"/>
      <c r="F300" s="80" t="str">
        <f t="shared" si="250"/>
        <v/>
      </c>
      <c r="G300" s="81">
        <f t="shared" ca="1" si="251"/>
        <v>256</v>
      </c>
      <c r="H300" s="81">
        <f t="shared" ca="1" si="251"/>
        <v>256</v>
      </c>
      <c r="I300" s="120">
        <f t="shared" ca="1" si="251"/>
        <v>512</v>
      </c>
      <c r="J300" s="62"/>
      <c r="Q300" s="185">
        <f t="shared" si="228"/>
        <v>0</v>
      </c>
      <c r="R300" s="185">
        <f t="shared" si="229"/>
        <v>0</v>
      </c>
      <c r="S300" s="185">
        <f t="shared" si="230"/>
        <v>0</v>
      </c>
      <c r="T300" s="185">
        <f t="shared" si="231"/>
        <v>0</v>
      </c>
      <c r="U300" s="185">
        <f t="shared" si="232"/>
        <v>0</v>
      </c>
      <c r="V300" s="185">
        <f t="shared" si="233"/>
        <v>0</v>
      </c>
      <c r="W300" s="185">
        <f t="shared" si="234"/>
        <v>0</v>
      </c>
      <c r="X300" s="185">
        <f t="shared" si="235"/>
        <v>0</v>
      </c>
      <c r="Y300" s="185">
        <f t="shared" si="236"/>
        <v>0</v>
      </c>
      <c r="Z300" s="196">
        <f t="shared" ca="1" si="237"/>
        <v>13908</v>
      </c>
      <c r="AA300" s="185" t="str">
        <f t="shared" ca="1" si="238"/>
        <v>Offererad produktnr. 03Atea Sverige AB</v>
      </c>
      <c r="AB300" s="185"/>
      <c r="AC300" s="185" t="b">
        <f ca="1">IFERROR(IF(D298="",TRUE,
IF(OR(D298=$CB$12,D298=$CB$13),IF(LEFT(AS300,FIND(" ",AS300)-1)=D298,TRUE,FALSE),
IF(OFFSET(Processor!$AB$1,MATCH($AS300,Processor!$AA$2:$AA$23,0),MATCH(LEFT(D298,FIND(" ",D298)-1),Processor!$AC$1:$AG$1,0))&gt;=
OFFSET(Processor!$AB$1,MATCH(D298,Processor!$AA$2:$AA$23,0),MATCH(LEFT(D298,FIND(" ",D298)-1),Processor!$AC$1:$AG$1,0)),TRUE,FALSE))),FALSE)</f>
        <v>1</v>
      </c>
      <c r="AD300" s="185" t="b">
        <f t="shared" si="239"/>
        <v>1</v>
      </c>
      <c r="AE300" s="185" t="b">
        <f t="shared" si="240"/>
        <v>1</v>
      </c>
      <c r="AF300" s="185" t="b">
        <f>IF($D$296="",TRUE,IF(COUNTIF(Processor!$I$2:$I$9,$D$296)&gt;0,AND(AV300&gt;INDEX(Processor!$J$2:$J$9,MATCH($D$296,Processor!$I$2:$I$9,0)),AV300&lt;INDEX(Processor!$K$2:$K$9,MATCH($D$296,Processor!$I$2:$I$9,0))),IF(AV300=$D$296,TRUE,FALSE)))</f>
        <v>1</v>
      </c>
      <c r="AG300" s="185" t="b">
        <f t="shared" si="241"/>
        <v>1</v>
      </c>
      <c r="AH300" s="185" t="b">
        <f t="shared" si="242"/>
        <v>1</v>
      </c>
      <c r="AI300" s="185" t="b">
        <f t="shared" si="243"/>
        <v>1</v>
      </c>
      <c r="AJ300" s="185" t="b">
        <f t="shared" si="244"/>
        <v>1</v>
      </c>
      <c r="AK300" s="185" t="b">
        <f t="shared" si="245"/>
        <v>1</v>
      </c>
      <c r="AL300" s="185" t="b">
        <f>IFERROR(IF($D307="",TRUE,IF(MID(BC300,LEN(BC300)-2,1)*1&gt;=MID($D307,LEN($D307)-2,1)*1,TRUE,FALSE)),FALSE)</f>
        <v>1</v>
      </c>
      <c r="AM300" s="185" t="b">
        <f>IF(D306="",TRUE,IF(BB300&gt;=D306,TRUE,FALSE))</f>
        <v>1</v>
      </c>
      <c r="AN300" s="185"/>
      <c r="AO300" s="185"/>
      <c r="AP300" s="185" t="s">
        <v>188</v>
      </c>
      <c r="AQ300" s="185">
        <v>1</v>
      </c>
      <c r="AR300" s="185" t="str">
        <f t="shared" ca="1" si="246"/>
        <v>1920x1080</v>
      </c>
      <c r="AS300" s="185" t="str">
        <f t="shared" ca="1" si="246"/>
        <v>Intel i7 Gen 13</v>
      </c>
      <c r="AT300" s="185">
        <f t="shared" ca="1" si="246"/>
        <v>16</v>
      </c>
      <c r="AU300" s="185">
        <f t="shared" ca="1" si="246"/>
        <v>512</v>
      </c>
      <c r="AV300" s="185">
        <f t="shared" ca="1" si="246"/>
        <v>14</v>
      </c>
      <c r="AW300" s="185">
        <f t="shared" ca="1" si="246"/>
        <v>4</v>
      </c>
      <c r="AX300" s="185">
        <f t="shared" ca="1" si="246"/>
        <v>2</v>
      </c>
      <c r="AY300" s="185" t="str">
        <f t="shared" ca="1" si="246"/>
        <v>Ja, HDMI-port finns</v>
      </c>
      <c r="AZ300" s="185" t="str">
        <f t="shared" ca="1" si="246"/>
        <v>802.11a/b/g/n/ac/ax</v>
      </c>
      <c r="BA300" s="185">
        <f t="shared" ca="1" si="246"/>
        <v>5.3</v>
      </c>
      <c r="BB300" s="185">
        <f t="shared" ca="1" si="247"/>
        <v>8</v>
      </c>
      <c r="BC300" s="185" t="str">
        <f t="shared" ca="1" si="247"/>
        <v>Version 8.0</v>
      </c>
      <c r="BD300" s="185" t="str">
        <f t="shared" ca="1" si="247"/>
        <v>Ja</v>
      </c>
      <c r="BE300" s="185" t="str">
        <f t="shared" ca="1" si="247"/>
        <v>Windows 11 Pro</v>
      </c>
      <c r="BF300" s="185" t="str">
        <f t="shared" ca="1" si="247"/>
        <v>Probook 440 G10</v>
      </c>
      <c r="BG300" s="185">
        <f t="shared" ca="1" si="247"/>
        <v>13908</v>
      </c>
      <c r="BH300" s="192">
        <f t="shared" ca="1" si="247"/>
        <v>134</v>
      </c>
      <c r="BI300" s="192">
        <f t="shared" ca="1" si="247"/>
        <v>449</v>
      </c>
      <c r="BJ300" s="192">
        <f t="shared" ca="1" si="247"/>
        <v>241</v>
      </c>
      <c r="BK300" s="192">
        <f t="shared" ca="1" si="247"/>
        <v>1788</v>
      </c>
      <c r="BL300" s="192">
        <f t="shared" ca="1" si="248"/>
        <v>706</v>
      </c>
      <c r="BM300" s="192">
        <f t="shared" ca="1" si="248"/>
        <v>120</v>
      </c>
      <c r="BN300" s="192">
        <f t="shared" ca="1" si="248"/>
        <v>85</v>
      </c>
      <c r="BO300" s="192">
        <f t="shared" ca="1" si="248"/>
        <v>100</v>
      </c>
      <c r="BP300" s="192" t="str">
        <f t="shared" ca="1" si="248"/>
        <v>DELTACO</v>
      </c>
      <c r="BQ300" s="192" t="str">
        <f t="shared" ca="1" si="248"/>
        <v>Targus</v>
      </c>
      <c r="BR300" s="192" t="str">
        <f t="shared" ca="1" si="248"/>
        <v>HP</v>
      </c>
      <c r="BS300" s="192" t="str">
        <f t="shared" ca="1" si="248"/>
        <v>HP</v>
      </c>
      <c r="BT300" s="192" t="str">
        <f t="shared" ca="1" si="248"/>
        <v>Fodral för bärbar dator</v>
      </c>
      <c r="BU300" s="192" t="str">
        <f t="shared" ca="1" si="248"/>
        <v>Targus Privacy Screen 14" Widescreen</v>
      </c>
      <c r="BV300" s="192" t="str">
        <f t="shared" ca="1" si="248"/>
        <v>HP 65W Smart AC Adapter</v>
      </c>
      <c r="BW300" s="192" t="str">
        <f t="shared" ca="1" si="248"/>
        <v>HP USB-C Dock G5 Essential</v>
      </c>
      <c r="BX300" s="192"/>
      <c r="BY300" s="192" t="str">
        <f t="shared" ca="1" si="249"/>
        <v>Atea Sverige AB</v>
      </c>
      <c r="BZ300" s="192" t="str">
        <f t="shared" ca="1" si="249"/>
        <v>HP</v>
      </c>
      <c r="CA300" s="185"/>
      <c r="CB300" s="185" t="s">
        <v>569</v>
      </c>
      <c r="CC300" s="185"/>
      <c r="CD300" s="185"/>
      <c r="CE300" s="185"/>
      <c r="CF300" s="185"/>
      <c r="CG300" s="185"/>
      <c r="CH300" s="185"/>
      <c r="CI300" s="185"/>
      <c r="CJ300" s="185"/>
      <c r="CK300" s="185"/>
      <c r="CL300" s="185"/>
      <c r="CM300" s="185"/>
      <c r="CN300" s="185"/>
    </row>
    <row r="301" spans="2:92" ht="22.5" customHeight="1" outlineLevel="1" x14ac:dyDescent="0.35">
      <c r="C301" s="61" t="s">
        <v>67</v>
      </c>
      <c r="D301" s="64"/>
      <c r="F301" s="80" t="str">
        <f t="shared" si="250"/>
        <v/>
      </c>
      <c r="G301" s="81">
        <f t="shared" ca="1" si="251"/>
        <v>4</v>
      </c>
      <c r="H301" s="81">
        <f t="shared" ca="1" si="251"/>
        <v>3</v>
      </c>
      <c r="I301" s="120">
        <f t="shared" ca="1" si="251"/>
        <v>4</v>
      </c>
      <c r="J301" s="62"/>
      <c r="Q301" s="185">
        <f t="shared" si="228"/>
        <v>0</v>
      </c>
      <c r="R301" s="185">
        <f t="shared" si="229"/>
        <v>0</v>
      </c>
      <c r="S301" s="185">
        <f t="shared" si="230"/>
        <v>0</v>
      </c>
      <c r="T301" s="185">
        <f t="shared" si="231"/>
        <v>0</v>
      </c>
      <c r="U301" s="185">
        <f t="shared" si="232"/>
        <v>0</v>
      </c>
      <c r="V301" s="185">
        <f t="shared" si="233"/>
        <v>0</v>
      </c>
      <c r="W301" s="185">
        <f t="shared" si="234"/>
        <v>0</v>
      </c>
      <c r="X301" s="185">
        <f t="shared" si="235"/>
        <v>0</v>
      </c>
      <c r="Y301" s="185">
        <f t="shared" si="236"/>
        <v>0</v>
      </c>
      <c r="Z301" s="196">
        <f t="shared" ca="1" si="237"/>
        <v>15588</v>
      </c>
      <c r="AA301" s="185" t="str">
        <f t="shared" ca="1" si="238"/>
        <v>Offererad produktnr. 04Atea Sverige AB</v>
      </c>
      <c r="AB301" s="185"/>
      <c r="AC301" s="185" t="b">
        <f ca="1">IFERROR(IF(D298="",TRUE,
IF(OR(D298=$CB$12,D298=$CB$13),IF(LEFT(AS301,FIND(" ",AS301)-1)=D298,TRUE,FALSE),
IF(OFFSET(Processor!$AB$1,MATCH($AS301,Processor!$AA$2:$AA$23,0),MATCH(LEFT(D298,FIND(" ",D298)-1),Processor!$AC$1:$AG$1,0))&gt;=
OFFSET(Processor!$AB$1,MATCH(D298,Processor!$AA$2:$AA$23,0),MATCH(LEFT(D298,FIND(" ",D298)-1),Processor!$AC$1:$AG$1,0)),TRUE,FALSE))),FALSE)</f>
        <v>1</v>
      </c>
      <c r="AD301" s="185" t="b">
        <f t="shared" si="239"/>
        <v>1</v>
      </c>
      <c r="AE301" s="185" t="b">
        <f t="shared" si="240"/>
        <v>1</v>
      </c>
      <c r="AF301" s="185" t="b">
        <f>IF($D$296="",TRUE,IF(COUNTIF(Processor!$I$2:$I$9,$D$296)&gt;0,AND(AV301&gt;INDEX(Processor!$J$2:$J$9,MATCH($D$296,Processor!$I$2:$I$9,0)),AV301&lt;INDEX(Processor!$K$2:$K$9,MATCH($D$296,Processor!$I$2:$I$9,0))),IF(AV301=$D$296,TRUE,FALSE)))</f>
        <v>1</v>
      </c>
      <c r="AG301" s="185" t="b">
        <f t="shared" si="241"/>
        <v>1</v>
      </c>
      <c r="AH301" s="185" t="b">
        <f t="shared" si="242"/>
        <v>1</v>
      </c>
      <c r="AI301" s="185" t="b">
        <f t="shared" si="243"/>
        <v>1</v>
      </c>
      <c r="AJ301" s="185" t="b">
        <f t="shared" si="244"/>
        <v>1</v>
      </c>
      <c r="AK301" s="185" t="b">
        <f t="shared" si="245"/>
        <v>1</v>
      </c>
      <c r="AL301" s="185" t="b">
        <f>IFERROR(IF($D307="",TRUE,IF(MID(BC301,LEN(BC301)-2,1)*1&gt;=MID($D307,LEN($D307)-2,1)*1,TRUE,FALSE)),FALSE)</f>
        <v>1</v>
      </c>
      <c r="AM301" s="185" t="b">
        <f>IF(D306="",TRUE,IF(BB301&gt;=D306,TRUE,FALSE))</f>
        <v>1</v>
      </c>
      <c r="AN301" s="185"/>
      <c r="AO301" s="185"/>
      <c r="AP301" s="185" t="s">
        <v>189</v>
      </c>
      <c r="AQ301" s="185">
        <v>1</v>
      </c>
      <c r="AR301" s="185" t="str">
        <f t="shared" ca="1" si="246"/>
        <v>1920x1080</v>
      </c>
      <c r="AS301" s="185" t="str">
        <f t="shared" ca="1" si="246"/>
        <v>Intel i7 Gen 13</v>
      </c>
      <c r="AT301" s="185">
        <f t="shared" ca="1" si="246"/>
        <v>16</v>
      </c>
      <c r="AU301" s="185">
        <f t="shared" ca="1" si="246"/>
        <v>512</v>
      </c>
      <c r="AV301" s="185">
        <f t="shared" ca="1" si="246"/>
        <v>14</v>
      </c>
      <c r="AW301" s="185">
        <f t="shared" ca="1" si="246"/>
        <v>4</v>
      </c>
      <c r="AX301" s="185">
        <f t="shared" ca="1" si="246"/>
        <v>2</v>
      </c>
      <c r="AY301" s="185" t="str">
        <f t="shared" ca="1" si="246"/>
        <v>Ja, HDMI-port finns</v>
      </c>
      <c r="AZ301" s="185" t="str">
        <f t="shared" ca="1" si="246"/>
        <v>802.11a/b/g/n/ac/ax</v>
      </c>
      <c r="BA301" s="185">
        <f t="shared" ca="1" si="246"/>
        <v>5.2</v>
      </c>
      <c r="BB301" s="185">
        <f t="shared" ca="1" si="247"/>
        <v>8</v>
      </c>
      <c r="BC301" s="185" t="str">
        <f t="shared" ca="1" si="247"/>
        <v>Version 8.0</v>
      </c>
      <c r="BD301" s="185" t="str">
        <f t="shared" ca="1" si="247"/>
        <v>Ja</v>
      </c>
      <c r="BE301" s="185" t="str">
        <f t="shared" ca="1" si="247"/>
        <v>Windows 11 Pro</v>
      </c>
      <c r="BF301" s="185" t="str">
        <f t="shared" ca="1" si="247"/>
        <v>Elitebook 640 G10</v>
      </c>
      <c r="BG301" s="185">
        <f t="shared" ca="1" si="247"/>
        <v>15588</v>
      </c>
      <c r="BH301" s="192">
        <f t="shared" ca="1" si="247"/>
        <v>134</v>
      </c>
      <c r="BI301" s="192">
        <f t="shared" ca="1" si="247"/>
        <v>449</v>
      </c>
      <c r="BJ301" s="192">
        <f t="shared" ca="1" si="247"/>
        <v>241</v>
      </c>
      <c r="BK301" s="192">
        <f t="shared" ca="1" si="247"/>
        <v>1788</v>
      </c>
      <c r="BL301" s="192">
        <f t="shared" ca="1" si="248"/>
        <v>2039</v>
      </c>
      <c r="BM301" s="192">
        <f t="shared" ca="1" si="248"/>
        <v>120</v>
      </c>
      <c r="BN301" s="192">
        <f t="shared" ca="1" si="248"/>
        <v>85</v>
      </c>
      <c r="BO301" s="192">
        <f t="shared" ca="1" si="248"/>
        <v>100</v>
      </c>
      <c r="BP301" s="192" t="str">
        <f t="shared" ca="1" si="248"/>
        <v>DELTACO</v>
      </c>
      <c r="BQ301" s="192" t="str">
        <f t="shared" ca="1" si="248"/>
        <v>Targus</v>
      </c>
      <c r="BR301" s="192" t="str">
        <f t="shared" ca="1" si="248"/>
        <v>HP</v>
      </c>
      <c r="BS301" s="192" t="str">
        <f t="shared" ca="1" si="248"/>
        <v>HP</v>
      </c>
      <c r="BT301" s="192" t="str">
        <f t="shared" ca="1" si="248"/>
        <v>Fodral för bärbar dator</v>
      </c>
      <c r="BU301" s="192" t="str">
        <f t="shared" ca="1" si="248"/>
        <v>Targus Privacy Screen 14" Widescreen</v>
      </c>
      <c r="BV301" s="192" t="str">
        <f t="shared" ca="1" si="248"/>
        <v>HP 65W Smart AC Adapter</v>
      </c>
      <c r="BW301" s="192" t="str">
        <f t="shared" ca="1" si="248"/>
        <v>HP USB-C Dock G5 Essential</v>
      </c>
      <c r="BX301" s="192"/>
      <c r="BY301" s="192" t="str">
        <f t="shared" ca="1" si="249"/>
        <v>Atea Sverige AB</v>
      </c>
      <c r="BZ301" s="192" t="str">
        <f t="shared" ca="1" si="249"/>
        <v>HP</v>
      </c>
      <c r="CA301" s="185"/>
      <c r="CB301" s="185" t="s">
        <v>711</v>
      </c>
      <c r="CC301" s="185"/>
      <c r="CD301" s="185"/>
      <c r="CE301" s="185"/>
      <c r="CF301" s="185"/>
      <c r="CG301" s="185"/>
      <c r="CH301" s="185"/>
      <c r="CI301" s="185"/>
      <c r="CJ301" s="185"/>
      <c r="CK301" s="185"/>
      <c r="CL301" s="185"/>
      <c r="CM301" s="185"/>
      <c r="CN301" s="185"/>
    </row>
    <row r="302" spans="2:92" ht="22.5" customHeight="1" outlineLevel="1" x14ac:dyDescent="0.35">
      <c r="C302" s="61" t="s">
        <v>74</v>
      </c>
      <c r="D302" s="64"/>
      <c r="F302" s="80" t="str">
        <f t="shared" si="250"/>
        <v/>
      </c>
      <c r="G302" s="81">
        <f t="shared" ca="1" si="251"/>
        <v>1</v>
      </c>
      <c r="H302" s="81">
        <f t="shared" ca="1" si="251"/>
        <v>1</v>
      </c>
      <c r="I302" s="120">
        <f t="shared" ca="1" si="251"/>
        <v>1</v>
      </c>
      <c r="J302" s="62"/>
      <c r="Q302" s="185">
        <f t="shared" si="228"/>
        <v>0</v>
      </c>
      <c r="R302" s="185">
        <f t="shared" si="229"/>
        <v>0</v>
      </c>
      <c r="S302" s="185">
        <f t="shared" si="230"/>
        <v>0</v>
      </c>
      <c r="T302" s="185">
        <f t="shared" si="231"/>
        <v>0</v>
      </c>
      <c r="U302" s="185">
        <f t="shared" si="232"/>
        <v>0</v>
      </c>
      <c r="V302" s="185">
        <f t="shared" si="233"/>
        <v>0</v>
      </c>
      <c r="W302" s="185">
        <f t="shared" si="234"/>
        <v>0</v>
      </c>
      <c r="X302" s="185">
        <f t="shared" si="235"/>
        <v>0</v>
      </c>
      <c r="Y302" s="185">
        <f t="shared" si="236"/>
        <v>0</v>
      </c>
      <c r="Z302" s="196">
        <f t="shared" ca="1" si="237"/>
        <v>7599</v>
      </c>
      <c r="AA302" s="185" t="str">
        <f t="shared" ca="1" si="238"/>
        <v>Offererad produktnr. 01Dustin Sverige AB</v>
      </c>
      <c r="AB302" s="185"/>
      <c r="AC302" s="185" t="b">
        <f ca="1">IFERROR(IF(D298="",TRUE,
IF(OR(D298=$CB$12,D298=$CB$13),IF(LEFT(AS302,FIND(" ",AS302)-1)=D298,TRUE,FALSE),
IF(OFFSET(Processor!$AB$1,MATCH($AS302,Processor!$AA$2:$AA$23,0),MATCH(LEFT(D298,FIND(" ",D298)-1),Processor!$AC$1:$AG$1,0))&gt;=
OFFSET(Processor!$AB$1,MATCH(D298,Processor!$AA$2:$AA$23,0),MATCH(LEFT(D298,FIND(" ",D298)-1),Processor!$AC$1:$AG$1,0)),TRUE,FALSE))),FALSE)</f>
        <v>1</v>
      </c>
      <c r="AD302" s="185" t="b">
        <f t="shared" si="239"/>
        <v>1</v>
      </c>
      <c r="AE302" s="185" t="b">
        <f t="shared" si="240"/>
        <v>1</v>
      </c>
      <c r="AF302" s="185" t="b">
        <f>IF($D$296="",TRUE,IF(COUNTIF(Processor!$I$2:$I$9,$D$296)&gt;0,AND(AV302&gt;INDEX(Processor!$J$2:$J$9,MATCH($D$296,Processor!$I$2:$I$9,0)),AV302&lt;INDEX(Processor!$K$2:$K$9,MATCH($D$296,Processor!$I$2:$I$9,0))),IF(AV302=$D$296,TRUE,FALSE)))</f>
        <v>1</v>
      </c>
      <c r="AG302" s="185" t="b">
        <f t="shared" si="241"/>
        <v>1</v>
      </c>
      <c r="AH302" s="185" t="b">
        <f t="shared" si="242"/>
        <v>1</v>
      </c>
      <c r="AI302" s="185" t="b">
        <f t="shared" si="243"/>
        <v>1</v>
      </c>
      <c r="AJ302" s="185" t="b">
        <f t="shared" si="244"/>
        <v>1</v>
      </c>
      <c r="AK302" s="185" t="b">
        <f t="shared" si="245"/>
        <v>1</v>
      </c>
      <c r="AL302" s="185" t="b">
        <f>IFERROR(IF($D307="",TRUE,IF(MID(BC302,LEN(BC302)-2,1)*1&gt;=MID($D307,LEN($D307)-2,1)*1,TRUE,FALSE)),FALSE)</f>
        <v>1</v>
      </c>
      <c r="AM302" s="185" t="b">
        <f>IF(D306="",TRUE,IF(BB302&gt;=D306,TRUE,FALSE))</f>
        <v>1</v>
      </c>
      <c r="AN302" s="185"/>
      <c r="AO302" s="185"/>
      <c r="AP302" s="185" t="s">
        <v>174</v>
      </c>
      <c r="AQ302" s="185">
        <v>1</v>
      </c>
      <c r="AR302" s="185" t="str">
        <f t="shared" ca="1" si="246"/>
        <v>1920x1080</v>
      </c>
      <c r="AS302" s="185" t="str">
        <f t="shared" ca="1" si="246"/>
        <v>AMD Ryzen 5</v>
      </c>
      <c r="AT302" s="185">
        <f t="shared" ca="1" si="246"/>
        <v>8</v>
      </c>
      <c r="AU302" s="185">
        <f t="shared" ca="1" si="246"/>
        <v>256</v>
      </c>
      <c r="AV302" s="185">
        <f t="shared" ca="1" si="246"/>
        <v>14</v>
      </c>
      <c r="AW302" s="185">
        <f t="shared" ca="1" si="246"/>
        <v>3</v>
      </c>
      <c r="AX302" s="185">
        <f t="shared" ca="1" si="246"/>
        <v>1</v>
      </c>
      <c r="AY302" s="185" t="str">
        <f t="shared" ca="1" si="246"/>
        <v>Ja, HDMI-port finns</v>
      </c>
      <c r="AZ302" s="185" t="str">
        <f t="shared" ca="1" si="246"/>
        <v>802.11a/b/g/n/ac/ax</v>
      </c>
      <c r="BA302" s="185">
        <f t="shared" ca="1" si="246"/>
        <v>5.3</v>
      </c>
      <c r="BB302" s="185">
        <f t="shared" ca="1" si="247"/>
        <v>11</v>
      </c>
      <c r="BC302" s="185" t="str">
        <f t="shared" ca="1" si="247"/>
        <v>Version 8.0</v>
      </c>
      <c r="BD302" s="185" t="str">
        <f t="shared" ca="1" si="247"/>
        <v>Ja</v>
      </c>
      <c r="BE302" s="185" t="str">
        <f t="shared" ca="1" si="247"/>
        <v>Windows 11 Pro</v>
      </c>
      <c r="BF302" s="185" t="str">
        <f t="shared" ca="1" si="247"/>
        <v>ProBook 445 G10</v>
      </c>
      <c r="BG302" s="185">
        <f t="shared" ca="1" si="247"/>
        <v>7599</v>
      </c>
      <c r="BH302" s="192">
        <f t="shared" ca="1" si="247"/>
        <v>123</v>
      </c>
      <c r="BI302" s="192">
        <f t="shared" ca="1" si="247"/>
        <v>425</v>
      </c>
      <c r="BJ302" s="192">
        <f t="shared" ca="1" si="247"/>
        <v>149</v>
      </c>
      <c r="BK302" s="192">
        <f t="shared" ca="1" si="247"/>
        <v>1185</v>
      </c>
      <c r="BL302" s="192">
        <f t="shared" ca="1" si="248"/>
        <v>450</v>
      </c>
      <c r="BM302" s="192">
        <f t="shared" ca="1" si="248"/>
        <v>133</v>
      </c>
      <c r="BN302" s="192">
        <f t="shared" ca="1" si="248"/>
        <v>20</v>
      </c>
      <c r="BO302" s="192">
        <f t="shared" ca="1" si="248"/>
        <v>20</v>
      </c>
      <c r="BP302" s="192" t="str">
        <f t="shared" ca="1" si="248"/>
        <v>Cirafon</v>
      </c>
      <c r="BQ302" s="192" t="str">
        <f t="shared" ca="1" si="248"/>
        <v>Cirafon</v>
      </c>
      <c r="BR302" s="192" t="str">
        <f t="shared" ca="1" si="248"/>
        <v>HP</v>
      </c>
      <c r="BS302" s="192" t="str">
        <f t="shared" ca="1" si="248"/>
        <v>HP</v>
      </c>
      <c r="BT302" s="192" t="str">
        <f t="shared" ca="1" si="248"/>
        <v>LSN8696R2-14.1</v>
      </c>
      <c r="BU302" s="192" t="str">
        <f t="shared" ca="1" si="248"/>
        <v>DPF14-9</v>
      </c>
      <c r="BV302" s="192" t="str">
        <f t="shared" ca="1" si="248"/>
        <v xml:space="preserve">1MZ01AA </v>
      </c>
      <c r="BW302" s="192" t="str">
        <f t="shared" ca="1" si="248"/>
        <v>72C71AA</v>
      </c>
      <c r="BX302" s="192"/>
      <c r="BY302" s="192" t="str">
        <f t="shared" ca="1" si="249"/>
        <v>Dustin Sverige AB</v>
      </c>
      <c r="BZ302" s="192" t="str">
        <f t="shared" ca="1" si="249"/>
        <v>HP</v>
      </c>
      <c r="CA302" s="185"/>
      <c r="CB302" s="185" t="s">
        <v>64</v>
      </c>
      <c r="CC302" s="185"/>
      <c r="CD302" s="185"/>
      <c r="CE302" s="185"/>
      <c r="CF302" s="185"/>
      <c r="CG302" s="185"/>
      <c r="CH302" s="185"/>
      <c r="CI302" s="185"/>
      <c r="CJ302" s="185"/>
      <c r="CK302" s="185"/>
      <c r="CL302" s="185"/>
      <c r="CM302" s="185"/>
      <c r="CN302" s="185"/>
    </row>
    <row r="303" spans="2:92" ht="22.5" customHeight="1" outlineLevel="1" x14ac:dyDescent="0.35">
      <c r="C303" s="61" t="s">
        <v>97</v>
      </c>
      <c r="D303" s="64"/>
      <c r="F303" s="80" t="str">
        <f t="shared" si="250"/>
        <v/>
      </c>
      <c r="G303" s="81" t="str">
        <f t="shared" ca="1" si="251"/>
        <v>Ja, HDMI-port finns</v>
      </c>
      <c r="H303" s="81" t="str">
        <f t="shared" ca="1" si="251"/>
        <v>Ja, HDMI-port finns</v>
      </c>
      <c r="I303" s="120" t="str">
        <f t="shared" ca="1" si="251"/>
        <v>Ja, HDMI-port finns</v>
      </c>
      <c r="J303" s="62"/>
      <c r="Q303" s="185">
        <f t="shared" si="228"/>
        <v>0</v>
      </c>
      <c r="R303" s="185">
        <f t="shared" si="229"/>
        <v>0</v>
      </c>
      <c r="S303" s="185">
        <f t="shared" si="230"/>
        <v>0</v>
      </c>
      <c r="T303" s="185">
        <f t="shared" si="231"/>
        <v>0</v>
      </c>
      <c r="U303" s="185">
        <f t="shared" si="232"/>
        <v>0</v>
      </c>
      <c r="V303" s="185">
        <f t="shared" si="233"/>
        <v>0</v>
      </c>
      <c r="W303" s="185">
        <f t="shared" si="234"/>
        <v>0</v>
      </c>
      <c r="X303" s="185">
        <f t="shared" si="235"/>
        <v>0</v>
      </c>
      <c r="Y303" s="185">
        <f t="shared" si="236"/>
        <v>0</v>
      </c>
      <c r="Z303" s="196">
        <f t="shared" ca="1" si="237"/>
        <v>11900</v>
      </c>
      <c r="AA303" s="185" t="str">
        <f t="shared" ca="1" si="238"/>
        <v>Offererad produktnr. 02Dustin Sverige AB</v>
      </c>
      <c r="AB303" s="185"/>
      <c r="AC303" s="198" t="b">
        <f ca="1">IFERROR(IF(D298="",TRUE,
IF(OR(D298=$CB$12,D298=$CB$13),IF(LEFT(AS303,FIND(" ",AS303)-1)=D298,TRUE,FALSE),
IF(OFFSET(Processor!$AB$1,MATCH($AS303,Processor!$AA$2:$AA$23,0),MATCH(LEFT(D298,FIND(" ",D298)-1),Processor!$AC$1:$AG$1,0))&gt;=
OFFSET(Processor!$AB$1,MATCH(D298,Processor!$AA$2:$AA$23,0),MATCH(LEFT(D298,FIND(" ",D298)-1),Processor!$AC$1:$AG$1,0)),TRUE,FALSE))),FALSE)</f>
        <v>1</v>
      </c>
      <c r="AD303" s="185" t="b">
        <f t="shared" si="239"/>
        <v>1</v>
      </c>
      <c r="AE303" s="185" t="b">
        <f t="shared" si="240"/>
        <v>1</v>
      </c>
      <c r="AF303" s="185" t="b">
        <f>IF($D$296="",TRUE,IF(COUNTIF(Processor!$I$2:$I$9,$D$296)&gt;0,AND(AV303&gt;INDEX(Processor!$J$2:$J$9,MATCH($D$296,Processor!$I$2:$I$9,0)),AV303&lt;INDEX(Processor!$K$2:$K$9,MATCH($D$296,Processor!$I$2:$I$9,0))),IF(AV303=$D$296,TRUE,FALSE)))</f>
        <v>1</v>
      </c>
      <c r="AG303" s="185" t="b">
        <f t="shared" si="241"/>
        <v>1</v>
      </c>
      <c r="AH303" s="185" t="b">
        <f t="shared" si="242"/>
        <v>1</v>
      </c>
      <c r="AI303" s="185" t="b">
        <f t="shared" si="243"/>
        <v>1</v>
      </c>
      <c r="AJ303" s="185" t="b">
        <f t="shared" si="244"/>
        <v>1</v>
      </c>
      <c r="AK303" s="185" t="b">
        <f t="shared" si="245"/>
        <v>1</v>
      </c>
      <c r="AL303" s="185" t="b">
        <f>IFERROR(IF($D307="",TRUE,IF(MID(BC303,LEN(BC303)-2,1)*1&gt;=MID($D307,LEN($D307)-2,1)*1,TRUE,FALSE)),FALSE)</f>
        <v>1</v>
      </c>
      <c r="AM303" s="185" t="b">
        <f>IF(D306="",TRUE,IF(BB303&gt;=D306,TRUE,FALSE))</f>
        <v>1</v>
      </c>
      <c r="AN303" s="185"/>
      <c r="AO303" s="185"/>
      <c r="AP303" s="185" t="s">
        <v>175</v>
      </c>
      <c r="AQ303" s="185">
        <v>1</v>
      </c>
      <c r="AR303" s="185" t="str">
        <f t="shared" ca="1" si="246"/>
        <v>1920x1200</v>
      </c>
      <c r="AS303" s="185" t="str">
        <f t="shared" ca="1" si="246"/>
        <v>Intel i5</v>
      </c>
      <c r="AT303" s="185">
        <f t="shared" ca="1" si="246"/>
        <v>16</v>
      </c>
      <c r="AU303" s="185">
        <f t="shared" ca="1" si="246"/>
        <v>256</v>
      </c>
      <c r="AV303" s="185">
        <f t="shared" ca="1" si="246"/>
        <v>14</v>
      </c>
      <c r="AW303" s="185">
        <f t="shared" ca="1" si="246"/>
        <v>2</v>
      </c>
      <c r="AX303" s="185">
        <f t="shared" ca="1" si="246"/>
        <v>2</v>
      </c>
      <c r="AY303" s="185" t="str">
        <f t="shared" ca="1" si="246"/>
        <v>Ja, HDMI-port finns</v>
      </c>
      <c r="AZ303" s="185" t="str">
        <f t="shared" ca="1" si="246"/>
        <v>802.11a/b/g/n/ac/ax</v>
      </c>
      <c r="BA303" s="185">
        <f t="shared" ca="1" si="246"/>
        <v>5.3</v>
      </c>
      <c r="BB303" s="185">
        <f t="shared" ca="1" si="247"/>
        <v>11</v>
      </c>
      <c r="BC303" s="185" t="str">
        <f t="shared" ca="1" si="247"/>
        <v>Version 8.0</v>
      </c>
      <c r="BD303" s="185" t="str">
        <f t="shared" ca="1" si="247"/>
        <v>Ja</v>
      </c>
      <c r="BE303" s="185" t="str">
        <f t="shared" ca="1" si="247"/>
        <v>Windows 11 Pro</v>
      </c>
      <c r="BF303" s="185" t="str">
        <f t="shared" ca="1" si="247"/>
        <v>Elitebook 840 G9</v>
      </c>
      <c r="BG303" s="185">
        <f t="shared" ca="1" si="247"/>
        <v>11900</v>
      </c>
      <c r="BH303" s="192">
        <f t="shared" ca="1" si="247"/>
        <v>123</v>
      </c>
      <c r="BI303" s="192">
        <f t="shared" ca="1" si="247"/>
        <v>425</v>
      </c>
      <c r="BJ303" s="192">
        <f t="shared" ca="1" si="247"/>
        <v>149</v>
      </c>
      <c r="BK303" s="192">
        <f t="shared" ca="1" si="247"/>
        <v>1185</v>
      </c>
      <c r="BL303" s="192">
        <f t="shared" ca="1" si="248"/>
        <v>450</v>
      </c>
      <c r="BM303" s="192">
        <f t="shared" ca="1" si="248"/>
        <v>133</v>
      </c>
      <c r="BN303" s="192">
        <f t="shared" ca="1" si="248"/>
        <v>20</v>
      </c>
      <c r="BO303" s="192">
        <f t="shared" ca="1" si="248"/>
        <v>20</v>
      </c>
      <c r="BP303" s="192" t="str">
        <f t="shared" ca="1" si="248"/>
        <v>Cirafon</v>
      </c>
      <c r="BQ303" s="192" t="str">
        <f t="shared" ca="1" si="248"/>
        <v>Cirafon</v>
      </c>
      <c r="BR303" s="192" t="str">
        <f t="shared" ca="1" si="248"/>
        <v>HP</v>
      </c>
      <c r="BS303" s="192" t="str">
        <f t="shared" ca="1" si="248"/>
        <v>HP</v>
      </c>
      <c r="BT303" s="192" t="str">
        <f t="shared" ca="1" si="248"/>
        <v>LSN8696R2-14.1</v>
      </c>
      <c r="BU303" s="192" t="str">
        <f t="shared" ca="1" si="248"/>
        <v>DPF14-9</v>
      </c>
      <c r="BV303" s="192" t="str">
        <f t="shared" ca="1" si="248"/>
        <v xml:space="preserve">1MZ01AA </v>
      </c>
      <c r="BW303" s="192" t="str">
        <f t="shared" ca="1" si="248"/>
        <v>72C71AA</v>
      </c>
      <c r="BX303" s="192"/>
      <c r="BY303" s="192" t="str">
        <f t="shared" ca="1" si="249"/>
        <v>Dustin Sverige AB</v>
      </c>
      <c r="BZ303" s="192" t="str">
        <f t="shared" ca="1" si="249"/>
        <v>HP</v>
      </c>
      <c r="CA303" s="185"/>
      <c r="CB303" s="185" t="s">
        <v>571</v>
      </c>
      <c r="CC303" s="185"/>
      <c r="CD303" s="185"/>
      <c r="CE303" s="185"/>
      <c r="CF303" s="185"/>
      <c r="CG303" s="185"/>
      <c r="CH303" s="185"/>
      <c r="CI303" s="185"/>
      <c r="CJ303" s="185"/>
      <c r="CK303" s="185"/>
      <c r="CL303" s="185"/>
      <c r="CM303" s="185"/>
      <c r="CN303" s="185"/>
    </row>
    <row r="304" spans="2:92" ht="22.5" customHeight="1" outlineLevel="1" x14ac:dyDescent="0.35">
      <c r="C304" s="61" t="s">
        <v>103</v>
      </c>
      <c r="D304" s="64"/>
      <c r="F304" s="80" t="str">
        <f t="shared" si="250"/>
        <v/>
      </c>
      <c r="G304" s="81" t="str">
        <f t="shared" ca="1" si="251"/>
        <v>802.11a/b/g/n/ac/ax</v>
      </c>
      <c r="H304" s="81" t="str">
        <f t="shared" ca="1" si="251"/>
        <v>802.11a/b/g/n/ac/ax</v>
      </c>
      <c r="I304" s="120" t="str">
        <f t="shared" ca="1" si="251"/>
        <v>802.11a/b/g/n/ac/ax</v>
      </c>
      <c r="J304" s="62"/>
      <c r="Q304" s="185">
        <f t="shared" si="228"/>
        <v>0</v>
      </c>
      <c r="R304" s="185">
        <f t="shared" si="229"/>
        <v>0</v>
      </c>
      <c r="S304" s="185">
        <f t="shared" si="230"/>
        <v>0</v>
      </c>
      <c r="T304" s="185">
        <f t="shared" si="231"/>
        <v>0</v>
      </c>
      <c r="U304" s="185">
        <f t="shared" si="232"/>
        <v>0</v>
      </c>
      <c r="V304" s="185">
        <f t="shared" si="233"/>
        <v>0</v>
      </c>
      <c r="W304" s="185">
        <f t="shared" si="234"/>
        <v>0</v>
      </c>
      <c r="X304" s="185">
        <f t="shared" si="235"/>
        <v>0</v>
      </c>
      <c r="Y304" s="185">
        <f t="shared" si="236"/>
        <v>0</v>
      </c>
      <c r="Z304" s="196">
        <f t="shared" ca="1" si="237"/>
        <v>10490</v>
      </c>
      <c r="AA304" s="185" t="str">
        <f t="shared" ca="1" si="238"/>
        <v>Offererad produktnr. 03Dustin Sverige AB</v>
      </c>
      <c r="AB304" s="185"/>
      <c r="AC304" s="185" t="b">
        <f ca="1">IFERROR(IF(D298="",TRUE,
IF(OR(D298=$CB$12,D298=$CB$13),IF(LEFT(AS304,FIND(" ",AS304)-1)=D298,TRUE,FALSE),
IF(OFFSET(Processor!$AB$1,MATCH($AS304,Processor!$AA$2:$AA$23,0),MATCH(LEFT(D298,FIND(" ",D298)-1),Processor!$AC$1:$AG$1,0))&gt;=
OFFSET(Processor!$AB$1,MATCH(D298,Processor!$AA$2:$AA$23,0),MATCH(LEFT(D298,FIND(" ",D298)-1),Processor!$AC$1:$AG$1,0)),TRUE,FALSE))),FALSE)</f>
        <v>1</v>
      </c>
      <c r="AD304" s="185" t="b">
        <f t="shared" si="239"/>
        <v>1</v>
      </c>
      <c r="AE304" s="185" t="b">
        <f t="shared" si="240"/>
        <v>1</v>
      </c>
      <c r="AF304" s="185" t="b">
        <f>IF($D$296="",TRUE,IF(COUNTIF(Processor!$I$2:$I$9,$D$296)&gt;0,AND(AV304&gt;INDEX(Processor!$J$2:$J$9,MATCH($D$296,Processor!$I$2:$I$9,0)),AV304&lt;INDEX(Processor!$K$2:$K$9,MATCH($D$296,Processor!$I$2:$I$9,0))),IF(AV304=$D$296,TRUE,FALSE)))</f>
        <v>1</v>
      </c>
      <c r="AG304" s="185" t="b">
        <f t="shared" si="241"/>
        <v>1</v>
      </c>
      <c r="AH304" s="185" t="b">
        <f t="shared" si="242"/>
        <v>1</v>
      </c>
      <c r="AI304" s="185" t="b">
        <f t="shared" si="243"/>
        <v>1</v>
      </c>
      <c r="AJ304" s="185" t="b">
        <f t="shared" si="244"/>
        <v>1</v>
      </c>
      <c r="AK304" s="185" t="b">
        <f t="shared" si="245"/>
        <v>1</v>
      </c>
      <c r="AL304" s="185" t="b">
        <f>IFERROR(IF($D307="",TRUE,IF(MID(BC304,LEN(BC304)-2,1)*1&gt;=MID($D307,LEN($D307)-2,1)*1,TRUE,FALSE)),FALSE)</f>
        <v>1</v>
      </c>
      <c r="AM304" s="185" t="b">
        <f>IF(D306="",TRUE,IF(BB304&gt;=D306,TRUE,FALSE))</f>
        <v>1</v>
      </c>
      <c r="AN304" s="185"/>
      <c r="AO304" s="185"/>
      <c r="AP304" s="185" t="s">
        <v>176</v>
      </c>
      <c r="AQ304" s="185">
        <v>1</v>
      </c>
      <c r="AR304" s="185" t="str">
        <f t="shared" ref="AR304:BA313" ca="1" si="252">IFERROR(INDEX(INDIRECT(AR$289&amp;"!$A$10:CC100000"),MATCH($AP304,INDIRECT(AR$289&amp;"!BH$10:BH100000"),0),MATCH(AR$291,INDIRECT(AR$289&amp;"!a10:CC10"),0)),"False")</f>
        <v>1920x1080</v>
      </c>
      <c r="AS304" s="185" t="str">
        <f t="shared" ca="1" si="252"/>
        <v>Intel i7 Gen 12</v>
      </c>
      <c r="AT304" s="185">
        <f t="shared" ca="1" si="252"/>
        <v>32</v>
      </c>
      <c r="AU304" s="185">
        <f t="shared" ca="1" si="252"/>
        <v>512</v>
      </c>
      <c r="AV304" s="185">
        <f t="shared" ca="1" si="252"/>
        <v>14</v>
      </c>
      <c r="AW304" s="185">
        <f t="shared" ca="1" si="252"/>
        <v>3</v>
      </c>
      <c r="AX304" s="185">
        <f t="shared" ca="1" si="252"/>
        <v>1</v>
      </c>
      <c r="AY304" s="185" t="str">
        <f t="shared" ca="1" si="252"/>
        <v>Ja, HDMI-port finns</v>
      </c>
      <c r="AZ304" s="185" t="str">
        <f t="shared" ca="1" si="252"/>
        <v>802.11a/b/g/n/ac/ax</v>
      </c>
      <c r="BA304" s="185">
        <f t="shared" ca="1" si="252"/>
        <v>5.3</v>
      </c>
      <c r="BB304" s="185">
        <f t="shared" ref="BB304:BK313" ca="1" si="253">IFERROR(INDEX(INDIRECT(BB$289&amp;"!$A$10:CC100000"),MATCH($AP304,INDIRECT(BB$289&amp;"!BH$10:BH100000"),0),MATCH(BB$291,INDIRECT(BB$289&amp;"!a10:CC10"),0)),"False")</f>
        <v>11</v>
      </c>
      <c r="BC304" s="185" t="str">
        <f t="shared" ca="1" si="253"/>
        <v>Version 8.0</v>
      </c>
      <c r="BD304" s="185" t="str">
        <f t="shared" ca="1" si="253"/>
        <v>Ja</v>
      </c>
      <c r="BE304" s="185" t="str">
        <f t="shared" ca="1" si="253"/>
        <v>Windows 11 Pro</v>
      </c>
      <c r="BF304" s="185" t="str">
        <f t="shared" ca="1" si="253"/>
        <v>ProBook 440 G9</v>
      </c>
      <c r="BG304" s="185">
        <f t="shared" ca="1" si="253"/>
        <v>10490</v>
      </c>
      <c r="BH304" s="192">
        <f t="shared" ca="1" si="253"/>
        <v>123</v>
      </c>
      <c r="BI304" s="192">
        <f t="shared" ca="1" si="253"/>
        <v>425</v>
      </c>
      <c r="BJ304" s="192">
        <f t="shared" ca="1" si="253"/>
        <v>149</v>
      </c>
      <c r="BK304" s="192">
        <f t="shared" ca="1" si="253"/>
        <v>1185</v>
      </c>
      <c r="BL304" s="192">
        <f t="shared" ref="BL304:BW313" ca="1" si="254">IFERROR(INDEX(INDIRECT(BL$289&amp;"!$A$10:CC100000"),MATCH($AP304,INDIRECT(BL$289&amp;"!BH$10:BH100000"),0),MATCH(BL$291,INDIRECT(BL$289&amp;"!a10:CC10"),0)),"False")</f>
        <v>450</v>
      </c>
      <c r="BM304" s="192">
        <f t="shared" ca="1" si="254"/>
        <v>133</v>
      </c>
      <c r="BN304" s="192">
        <f t="shared" ca="1" si="254"/>
        <v>20</v>
      </c>
      <c r="BO304" s="192">
        <f t="shared" ca="1" si="254"/>
        <v>20</v>
      </c>
      <c r="BP304" s="192" t="str">
        <f t="shared" ca="1" si="254"/>
        <v>Cirafon</v>
      </c>
      <c r="BQ304" s="192" t="str">
        <f t="shared" ca="1" si="254"/>
        <v>Cirafon</v>
      </c>
      <c r="BR304" s="192" t="str">
        <f t="shared" ca="1" si="254"/>
        <v>HP</v>
      </c>
      <c r="BS304" s="192" t="str">
        <f t="shared" ca="1" si="254"/>
        <v>HP</v>
      </c>
      <c r="BT304" s="192" t="str">
        <f t="shared" ca="1" si="254"/>
        <v>LSN8696R2-14.1</v>
      </c>
      <c r="BU304" s="192" t="str">
        <f t="shared" ca="1" si="254"/>
        <v>DPF14-9</v>
      </c>
      <c r="BV304" s="192" t="str">
        <f t="shared" ca="1" si="254"/>
        <v xml:space="preserve">1MZ01AA </v>
      </c>
      <c r="BW304" s="192" t="str">
        <f t="shared" ca="1" si="254"/>
        <v>72C71AA</v>
      </c>
      <c r="BX304" s="192"/>
      <c r="BY304" s="192" t="str">
        <f t="shared" ca="1" si="249"/>
        <v>Dustin Sverige AB</v>
      </c>
      <c r="BZ304" s="192" t="str">
        <f t="shared" ca="1" si="249"/>
        <v>HP</v>
      </c>
      <c r="CA304" s="185"/>
      <c r="CB304" s="185" t="s">
        <v>710</v>
      </c>
      <c r="CC304" s="185"/>
      <c r="CD304" s="185"/>
      <c r="CE304" s="185"/>
      <c r="CF304" s="185"/>
      <c r="CG304" s="185"/>
      <c r="CH304" s="185"/>
      <c r="CI304" s="185"/>
      <c r="CJ304" s="185"/>
      <c r="CK304" s="185"/>
      <c r="CL304" s="185"/>
      <c r="CM304" s="185"/>
      <c r="CN304" s="185"/>
    </row>
    <row r="305" spans="2:92" ht="33.75" customHeight="1" outlineLevel="1" x14ac:dyDescent="0.35">
      <c r="C305" s="61" t="s">
        <v>75</v>
      </c>
      <c r="D305" s="110"/>
      <c r="F305" s="80" t="str">
        <f t="shared" si="250"/>
        <v/>
      </c>
      <c r="G305" s="81">
        <f t="shared" ca="1" si="251"/>
        <v>5</v>
      </c>
      <c r="H305" s="81">
        <f t="shared" ca="1" si="251"/>
        <v>5.3</v>
      </c>
      <c r="I305" s="120">
        <f t="shared" ca="1" si="251"/>
        <v>5</v>
      </c>
      <c r="J305" s="62"/>
      <c r="Q305" s="185">
        <f t="shared" si="228"/>
        <v>0</v>
      </c>
      <c r="R305" s="185">
        <f t="shared" si="229"/>
        <v>0</v>
      </c>
      <c r="S305" s="185">
        <f t="shared" si="230"/>
        <v>0</v>
      </c>
      <c r="T305" s="185">
        <f t="shared" si="231"/>
        <v>0</v>
      </c>
      <c r="U305" s="185">
        <f t="shared" si="232"/>
        <v>0</v>
      </c>
      <c r="V305" s="185">
        <f t="shared" si="233"/>
        <v>0</v>
      </c>
      <c r="W305" s="185">
        <f t="shared" si="234"/>
        <v>0</v>
      </c>
      <c r="X305" s="185">
        <f t="shared" si="235"/>
        <v>0</v>
      </c>
      <c r="Y305" s="185">
        <f t="shared" si="236"/>
        <v>0</v>
      </c>
      <c r="Z305" s="196">
        <f t="shared" ca="1" si="237"/>
        <v>13790</v>
      </c>
      <c r="AA305" s="185" t="str">
        <f t="shared" ca="1" si="238"/>
        <v>Offererad produktnr. 04Dustin Sverige AB</v>
      </c>
      <c r="AB305" s="185"/>
      <c r="AC305" s="185" t="b">
        <f ca="1">IFERROR(IF(D298="",TRUE,
IF(OR(D298=$CB$12,D298=$CB$13),IF(LEFT(AS305,FIND(" ",AS305)-1)=D298,TRUE,FALSE),
IF(OFFSET(Processor!$AB$1,MATCH($AS305,Processor!$AA$2:$AA$23,0),MATCH(LEFT(D298,FIND(" ",D298)-1),Processor!$AC$1:$AG$1,0))&gt;=
OFFSET(Processor!$AB$1,MATCH(D298,Processor!$AA$2:$AA$23,0),MATCH(LEFT(D298,FIND(" ",D298)-1),Processor!$AC$1:$AG$1,0)),TRUE,FALSE))),FALSE)</f>
        <v>1</v>
      </c>
      <c r="AD305" s="185" t="b">
        <f t="shared" si="239"/>
        <v>1</v>
      </c>
      <c r="AE305" s="185" t="b">
        <f t="shared" si="240"/>
        <v>1</v>
      </c>
      <c r="AF305" s="185" t="b">
        <f>IF($D$296="",TRUE,IF(COUNTIF(Processor!$I$2:$I$9,$D$296)&gt;0,AND(AV305&gt;INDEX(Processor!$J$2:$J$9,MATCH($D$296,Processor!$I$2:$I$9,0)),AV305&lt;INDEX(Processor!$K$2:$K$9,MATCH($D$296,Processor!$I$2:$I$9,0))),IF(AV305=$D$296,TRUE,FALSE)))</f>
        <v>1</v>
      </c>
      <c r="AG305" s="185" t="b">
        <f t="shared" si="241"/>
        <v>1</v>
      </c>
      <c r="AH305" s="185" t="b">
        <f t="shared" si="242"/>
        <v>1</v>
      </c>
      <c r="AI305" s="185" t="b">
        <f t="shared" si="243"/>
        <v>1</v>
      </c>
      <c r="AJ305" s="185" t="b">
        <f t="shared" si="244"/>
        <v>1</v>
      </c>
      <c r="AK305" s="185" t="b">
        <f t="shared" si="245"/>
        <v>1</v>
      </c>
      <c r="AL305" s="185" t="b">
        <f>IFERROR(IF($D307="",TRUE,IF(MID(BC305,LEN(BC305)-2,1)*1&gt;=MID($D307,LEN($D307)-2,1)*1,TRUE,FALSE)),FALSE)</f>
        <v>1</v>
      </c>
      <c r="AM305" s="185" t="b">
        <f>IF(D306="",TRUE,IF(BB305&gt;=D306,TRUE,FALSE))</f>
        <v>1</v>
      </c>
      <c r="AN305" s="185"/>
      <c r="AO305" s="185"/>
      <c r="AP305" s="185" t="s">
        <v>177</v>
      </c>
      <c r="AQ305" s="185">
        <v>1</v>
      </c>
      <c r="AR305" s="185" t="str">
        <f t="shared" ca="1" si="252"/>
        <v>1920x1200</v>
      </c>
      <c r="AS305" s="185" t="str">
        <f t="shared" ca="1" si="252"/>
        <v>Intel i7</v>
      </c>
      <c r="AT305" s="185">
        <f t="shared" ca="1" si="252"/>
        <v>16</v>
      </c>
      <c r="AU305" s="185">
        <f t="shared" ca="1" si="252"/>
        <v>512</v>
      </c>
      <c r="AV305" s="185">
        <f t="shared" ca="1" si="252"/>
        <v>14</v>
      </c>
      <c r="AW305" s="185">
        <f t="shared" ca="1" si="252"/>
        <v>2</v>
      </c>
      <c r="AX305" s="185">
        <f t="shared" ca="1" si="252"/>
        <v>2</v>
      </c>
      <c r="AY305" s="185" t="str">
        <f t="shared" ca="1" si="252"/>
        <v>Ja, HDMI-port finns</v>
      </c>
      <c r="AZ305" s="185" t="str">
        <f t="shared" ca="1" si="252"/>
        <v>802.11a/b/g/n/ac/ax</v>
      </c>
      <c r="BA305" s="185">
        <f t="shared" ca="1" si="252"/>
        <v>5.3</v>
      </c>
      <c r="BB305" s="185">
        <f t="shared" ca="1" si="253"/>
        <v>11</v>
      </c>
      <c r="BC305" s="185" t="str">
        <f t="shared" ca="1" si="253"/>
        <v>Version 8.0</v>
      </c>
      <c r="BD305" s="185" t="str">
        <f t="shared" ca="1" si="253"/>
        <v>Ja</v>
      </c>
      <c r="BE305" s="185" t="str">
        <f t="shared" ca="1" si="253"/>
        <v>Windows 11 Pro</v>
      </c>
      <c r="BF305" s="185" t="str">
        <f t="shared" ca="1" si="253"/>
        <v>EliteBook 840 G9</v>
      </c>
      <c r="BG305" s="185">
        <f t="shared" ca="1" si="253"/>
        <v>13790</v>
      </c>
      <c r="BH305" s="192">
        <f t="shared" ca="1" si="253"/>
        <v>123</v>
      </c>
      <c r="BI305" s="192">
        <f t="shared" ca="1" si="253"/>
        <v>425</v>
      </c>
      <c r="BJ305" s="192">
        <f t="shared" ca="1" si="253"/>
        <v>149</v>
      </c>
      <c r="BK305" s="192">
        <f t="shared" ca="1" si="253"/>
        <v>1185</v>
      </c>
      <c r="BL305" s="192">
        <f t="shared" ca="1" si="254"/>
        <v>450</v>
      </c>
      <c r="BM305" s="192">
        <f t="shared" ca="1" si="254"/>
        <v>133</v>
      </c>
      <c r="BN305" s="192">
        <f t="shared" ca="1" si="254"/>
        <v>20</v>
      </c>
      <c r="BO305" s="192">
        <f t="shared" ca="1" si="254"/>
        <v>20</v>
      </c>
      <c r="BP305" s="192" t="str">
        <f t="shared" ca="1" si="254"/>
        <v>Cirafon</v>
      </c>
      <c r="BQ305" s="192" t="str">
        <f t="shared" ca="1" si="254"/>
        <v>Cirafon</v>
      </c>
      <c r="BR305" s="192" t="str">
        <f t="shared" ca="1" si="254"/>
        <v>HP</v>
      </c>
      <c r="BS305" s="192" t="str">
        <f t="shared" ca="1" si="254"/>
        <v>HP</v>
      </c>
      <c r="BT305" s="192" t="str">
        <f t="shared" ca="1" si="254"/>
        <v>LSN8696R2-14.1</v>
      </c>
      <c r="BU305" s="192" t="str">
        <f t="shared" ca="1" si="254"/>
        <v>DPF14-9</v>
      </c>
      <c r="BV305" s="192" t="str">
        <f t="shared" ca="1" si="254"/>
        <v xml:space="preserve">1MZ01AA </v>
      </c>
      <c r="BW305" s="192" t="str">
        <f t="shared" ca="1" si="254"/>
        <v>72C71AA</v>
      </c>
      <c r="BX305" s="192"/>
      <c r="BY305" s="192" t="str">
        <f t="shared" ca="1" si="249"/>
        <v>Dustin Sverige AB</v>
      </c>
      <c r="BZ305" s="192" t="str">
        <f t="shared" ca="1" si="249"/>
        <v>HP</v>
      </c>
      <c r="CA305" s="185"/>
      <c r="CB305" s="185"/>
      <c r="CC305" s="185"/>
      <c r="CD305" s="185"/>
      <c r="CE305" s="185"/>
      <c r="CF305" s="185"/>
      <c r="CG305" s="185"/>
      <c r="CH305" s="185"/>
      <c r="CI305" s="185"/>
      <c r="CJ305" s="185"/>
      <c r="CK305" s="185"/>
      <c r="CL305" s="185"/>
      <c r="CM305" s="185"/>
      <c r="CN305" s="185"/>
    </row>
    <row r="306" spans="2:92" ht="32.25" customHeight="1" outlineLevel="1" x14ac:dyDescent="0.35">
      <c r="C306" s="61" t="s">
        <v>120</v>
      </c>
      <c r="D306" s="65"/>
      <c r="F306" s="80" t="str">
        <f t="shared" si="250"/>
        <v/>
      </c>
      <c r="G306" s="81">
        <f t="shared" ca="1" si="251"/>
        <v>11</v>
      </c>
      <c r="H306" s="81">
        <f t="shared" ca="1" si="251"/>
        <v>11</v>
      </c>
      <c r="I306" s="121">
        <f t="shared" ca="1" si="251"/>
        <v>11</v>
      </c>
      <c r="J306" s="62"/>
      <c r="Q306" s="185">
        <f t="shared" si="228"/>
        <v>0</v>
      </c>
      <c r="R306" s="185">
        <f t="shared" si="229"/>
        <v>0</v>
      </c>
      <c r="S306" s="185">
        <f t="shared" si="230"/>
        <v>0</v>
      </c>
      <c r="T306" s="185">
        <f t="shared" si="231"/>
        <v>0</v>
      </c>
      <c r="U306" s="185">
        <f t="shared" si="232"/>
        <v>0</v>
      </c>
      <c r="V306" s="185">
        <f t="shared" si="233"/>
        <v>0</v>
      </c>
      <c r="W306" s="185">
        <f t="shared" si="234"/>
        <v>0</v>
      </c>
      <c r="X306" s="185">
        <f t="shared" si="235"/>
        <v>0</v>
      </c>
      <c r="Y306" s="185">
        <f t="shared" si="236"/>
        <v>0</v>
      </c>
      <c r="Z306" s="196">
        <f t="shared" ca="1" si="237"/>
        <v>8848</v>
      </c>
      <c r="AA306" s="185" t="str">
        <f t="shared" ca="1" si="238"/>
        <v>Offererad produktnr. 01Foxway Education AB</v>
      </c>
      <c r="AB306" s="185"/>
      <c r="AC306" s="185" t="b">
        <f ca="1">IFERROR(IF(D298="",TRUE,
IF(OR(D298=$CB$12,D298=$CB$13),IF(LEFT(AS306,FIND(" ",AS306)-1)=D298,TRUE,FALSE),
IF(OFFSET(Processor!$AB$1,MATCH($AS306,Processor!$AA$2:$AA$23,0),MATCH(LEFT(D298,FIND(" ",D298)-1),Processor!$AC$1:$AG$1,0))&gt;=
OFFSET(Processor!$AB$1,MATCH(D298,Processor!$AA$2:$AA$23,0),MATCH(LEFT(D298,FIND(" ",D298)-1),Processor!$AC$1:$AG$1,0)),TRUE,FALSE))),FALSE)</f>
        <v>1</v>
      </c>
      <c r="AD306" s="185" t="b">
        <f t="shared" si="239"/>
        <v>1</v>
      </c>
      <c r="AE306" s="185" t="b">
        <f t="shared" si="240"/>
        <v>1</v>
      </c>
      <c r="AF306" s="185" t="b">
        <f>IF($D$296="",TRUE,IF(COUNTIF(Processor!$I$2:$I$9,$D$296)&gt;0,AND(AV306&gt;INDEX(Processor!$J$2:$J$9,MATCH($D$296,Processor!$I$2:$I$9,0)),AV306&lt;INDEX(Processor!$K$2:$K$9,MATCH($D$296,Processor!$I$2:$I$9,0))),IF(AV306=$D$296,TRUE,FALSE)))</f>
        <v>1</v>
      </c>
      <c r="AG306" s="185" t="b">
        <f t="shared" si="241"/>
        <v>1</v>
      </c>
      <c r="AH306" s="185" t="b">
        <f t="shared" si="242"/>
        <v>1</v>
      </c>
      <c r="AI306" s="185" t="b">
        <f t="shared" si="243"/>
        <v>1</v>
      </c>
      <c r="AJ306" s="185" t="b">
        <f t="shared" si="244"/>
        <v>1</v>
      </c>
      <c r="AK306" s="185" t="b">
        <f t="shared" si="245"/>
        <v>1</v>
      </c>
      <c r="AL306" s="185" t="b">
        <f>IFERROR(IF($D307="",TRUE,IF(MID(BC306,LEN(BC306)-2,1)*1&gt;=MID($D307,LEN($D307)-2,1)*1,TRUE,FALSE)),FALSE)</f>
        <v>1</v>
      </c>
      <c r="AM306" s="185" t="b">
        <f>IF(D306="",TRUE,IF(BB306&gt;=D306,TRUE,FALSE))</f>
        <v>1</v>
      </c>
      <c r="AN306" s="185"/>
      <c r="AO306" s="185"/>
      <c r="AP306" s="185" t="s">
        <v>210</v>
      </c>
      <c r="AQ306" s="185">
        <v>1</v>
      </c>
      <c r="AR306" s="185" t="str">
        <f t="shared" ca="1" si="252"/>
        <v>1920x1080</v>
      </c>
      <c r="AS306" s="185" t="str">
        <f t="shared" ca="1" si="252"/>
        <v>AMD Ryzen 5</v>
      </c>
      <c r="AT306" s="185">
        <f t="shared" ca="1" si="252"/>
        <v>8</v>
      </c>
      <c r="AU306" s="185">
        <f t="shared" ca="1" si="252"/>
        <v>256</v>
      </c>
      <c r="AV306" s="185">
        <f t="shared" ca="1" si="252"/>
        <v>14</v>
      </c>
      <c r="AW306" s="185">
        <f t="shared" ca="1" si="252"/>
        <v>4</v>
      </c>
      <c r="AX306" s="185">
        <f t="shared" ca="1" si="252"/>
        <v>1</v>
      </c>
      <c r="AY306" s="185" t="str">
        <f t="shared" ca="1" si="252"/>
        <v>Ja, HDMI-port finns</v>
      </c>
      <c r="AZ306" s="185" t="str">
        <f t="shared" ca="1" si="252"/>
        <v>802.11a/b/g/n/ac/ax</v>
      </c>
      <c r="BA306" s="185">
        <f t="shared" ca="1" si="252"/>
        <v>5.3</v>
      </c>
      <c r="BB306" s="185">
        <f t="shared" ca="1" si="253"/>
        <v>11</v>
      </c>
      <c r="BC306" s="185" t="str">
        <f t="shared" ca="1" si="253"/>
        <v>Version 8.0</v>
      </c>
      <c r="BD306" s="185" t="str">
        <f t="shared" ca="1" si="253"/>
        <v>Ja</v>
      </c>
      <c r="BE306" s="185" t="str">
        <f t="shared" ca="1" si="253"/>
        <v>Windows 11 Pro</v>
      </c>
      <c r="BF306" s="185" t="str">
        <f t="shared" ca="1" si="253"/>
        <v>ProBook 445 G10</v>
      </c>
      <c r="BG306" s="185">
        <f t="shared" ca="1" si="253"/>
        <v>8848</v>
      </c>
      <c r="BH306" s="192">
        <f t="shared" ca="1" si="253"/>
        <v>78</v>
      </c>
      <c r="BI306" s="192">
        <f t="shared" ca="1" si="253"/>
        <v>252</v>
      </c>
      <c r="BJ306" s="192">
        <f t="shared" ca="1" si="253"/>
        <v>138</v>
      </c>
      <c r="BK306" s="192">
        <f t="shared" ca="1" si="253"/>
        <v>1150</v>
      </c>
      <c r="BL306" s="192">
        <f t="shared" ca="1" si="254"/>
        <v>160</v>
      </c>
      <c r="BM306" s="192">
        <f t="shared" ca="1" si="254"/>
        <v>185</v>
      </c>
      <c r="BN306" s="192">
        <f t="shared" ca="1" si="254"/>
        <v>60</v>
      </c>
      <c r="BO306" s="192">
        <f t="shared" ca="1" si="254"/>
        <v>50</v>
      </c>
      <c r="BP306" s="192" t="str">
        <f t="shared" ca="1" si="254"/>
        <v>V7</v>
      </c>
      <c r="BQ306" s="192" t="str">
        <f t="shared" ca="1" si="254"/>
        <v>Targus</v>
      </c>
      <c r="BR306" s="192" t="str">
        <f t="shared" ca="1" si="254"/>
        <v>HP</v>
      </c>
      <c r="BS306" s="192" t="str">
        <f t="shared" ca="1" si="254"/>
        <v>HP</v>
      </c>
      <c r="BT306" s="192" t="str">
        <f t="shared" ca="1" si="254"/>
        <v>V7 Elite Sleeve 14"</v>
      </c>
      <c r="BU306" s="192" t="str">
        <f t="shared" ca="1" si="254"/>
        <v>Targus Privacy Screen 14"</v>
      </c>
      <c r="BV306" s="192" t="str">
        <f t="shared" ca="1" si="254"/>
        <v>HP 45W Smart AC Adapter</v>
      </c>
      <c r="BW306" s="192" t="str">
        <f t="shared" ca="1" si="254"/>
        <v>HP USB-C Dock G5</v>
      </c>
      <c r="BX306" s="192"/>
      <c r="BY306" s="192" t="str">
        <f t="shared" ca="1" si="249"/>
        <v>Foxway Education AB</v>
      </c>
      <c r="BZ306" s="192" t="str">
        <f t="shared" ca="1" si="249"/>
        <v>HP</v>
      </c>
      <c r="CA306" s="185"/>
      <c r="CB306" s="185"/>
      <c r="CC306" s="185"/>
      <c r="CD306" s="185"/>
      <c r="CE306" s="185"/>
      <c r="CF306" s="185"/>
      <c r="CG306" s="185"/>
      <c r="CH306" s="185"/>
      <c r="CI306" s="185"/>
      <c r="CJ306" s="185"/>
      <c r="CK306" s="185"/>
      <c r="CL306" s="185"/>
      <c r="CM306" s="185"/>
      <c r="CN306" s="185"/>
    </row>
    <row r="307" spans="2:92" ht="24" customHeight="1" outlineLevel="1" x14ac:dyDescent="0.35">
      <c r="C307" s="61" t="s">
        <v>38</v>
      </c>
      <c r="D307" s="64"/>
      <c r="F307" s="80" t="str">
        <f t="shared" si="250"/>
        <v/>
      </c>
      <c r="G307" s="81" t="str">
        <f t="shared" ca="1" si="251"/>
        <v>Version 8.0</v>
      </c>
      <c r="H307" s="81" t="str">
        <f t="shared" ca="1" si="251"/>
        <v>Version 8.0</v>
      </c>
      <c r="I307" s="120" t="str">
        <f t="shared" ca="1" si="251"/>
        <v>Version 8.0</v>
      </c>
      <c r="J307" s="62"/>
      <c r="Q307" s="185">
        <f t="shared" si="228"/>
        <v>0</v>
      </c>
      <c r="R307" s="185">
        <f t="shared" si="229"/>
        <v>0</v>
      </c>
      <c r="S307" s="185">
        <f t="shared" si="230"/>
        <v>0</v>
      </c>
      <c r="T307" s="185">
        <f t="shared" si="231"/>
        <v>0</v>
      </c>
      <c r="U307" s="185">
        <f t="shared" si="232"/>
        <v>0</v>
      </c>
      <c r="V307" s="185">
        <f t="shared" si="233"/>
        <v>0</v>
      </c>
      <c r="W307" s="185">
        <f t="shared" si="234"/>
        <v>0</v>
      </c>
      <c r="X307" s="185">
        <f t="shared" si="235"/>
        <v>0</v>
      </c>
      <c r="Y307" s="185">
        <f t="shared" si="236"/>
        <v>0</v>
      </c>
      <c r="Z307" s="196">
        <f t="shared" ca="1" si="237"/>
        <v>9288</v>
      </c>
      <c r="AA307" s="185" t="str">
        <f t="shared" ca="1" si="238"/>
        <v>Offererad produktnr. 02Foxway Education AB</v>
      </c>
      <c r="AB307" s="185"/>
      <c r="AC307" s="185" t="b">
        <f ca="1">IFERROR(IF(D298="",TRUE,
IF(OR(D298=$CB$12,D298=$CB$13),IF(LEFT(AS307,FIND(" ",AS307)-1)=D298,TRUE,FALSE),
IF(OFFSET(Processor!$AB$1,MATCH($AS307,Processor!$AA$2:$AA$23,0),MATCH(LEFT(D298,FIND(" ",D298)-1),Processor!$AC$1:$AG$1,0))&gt;=
OFFSET(Processor!$AB$1,MATCH(D298,Processor!$AA$2:$AA$23,0),MATCH(LEFT(D298,FIND(" ",D298)-1),Processor!$AC$1:$AG$1,0)),TRUE,FALSE))),FALSE)</f>
        <v>1</v>
      </c>
      <c r="AD307" s="185" t="b">
        <f t="shared" si="239"/>
        <v>1</v>
      </c>
      <c r="AE307" s="185" t="b">
        <f t="shared" si="240"/>
        <v>1</v>
      </c>
      <c r="AF307" s="185" t="b">
        <f>IF($D$296="",TRUE,IF(COUNTIF(Processor!$I$2:$I$9,$D$296)&gt;0,AND(AV307&gt;INDEX(Processor!$J$2:$J$9,MATCH($D$296,Processor!$I$2:$I$9,0)),AV307&lt;INDEX(Processor!$K$2:$K$9,MATCH($D$296,Processor!$I$2:$I$9,0))),IF(AV307=$D$296,TRUE,FALSE)))</f>
        <v>1</v>
      </c>
      <c r="AG307" s="185" t="b">
        <f t="shared" si="241"/>
        <v>1</v>
      </c>
      <c r="AH307" s="185" t="b">
        <f t="shared" si="242"/>
        <v>1</v>
      </c>
      <c r="AI307" s="185" t="b">
        <f t="shared" si="243"/>
        <v>1</v>
      </c>
      <c r="AJ307" s="185" t="b">
        <f t="shared" si="244"/>
        <v>1</v>
      </c>
      <c r="AK307" s="185" t="b">
        <f t="shared" si="245"/>
        <v>1</v>
      </c>
      <c r="AL307" s="185" t="b">
        <f>IFERROR(IF($D307="",TRUE,IF(MID(BC307,LEN(BC307)-2,1)*1&gt;=MID($D307,LEN($D307)-2,1)*1,TRUE,FALSE)),FALSE)</f>
        <v>1</v>
      </c>
      <c r="AM307" s="185" t="b">
        <f>IF(D306="",TRUE,IF(BB307&gt;=D306,TRUE,FALSE))</f>
        <v>1</v>
      </c>
      <c r="AN307" s="185"/>
      <c r="AO307" s="185"/>
      <c r="AP307" s="185" t="s">
        <v>211</v>
      </c>
      <c r="AQ307" s="185">
        <v>1</v>
      </c>
      <c r="AR307" s="185" t="str">
        <f t="shared" ca="1" si="252"/>
        <v>1920x1080</v>
      </c>
      <c r="AS307" s="185" t="str">
        <f t="shared" ca="1" si="252"/>
        <v>AMD Ryzen 5</v>
      </c>
      <c r="AT307" s="185">
        <f t="shared" ca="1" si="252"/>
        <v>8</v>
      </c>
      <c r="AU307" s="185">
        <f t="shared" ca="1" si="252"/>
        <v>256</v>
      </c>
      <c r="AV307" s="185">
        <f t="shared" ca="1" si="252"/>
        <v>14</v>
      </c>
      <c r="AW307" s="185">
        <f t="shared" ca="1" si="252"/>
        <v>3</v>
      </c>
      <c r="AX307" s="185">
        <f t="shared" ca="1" si="252"/>
        <v>1</v>
      </c>
      <c r="AY307" s="185" t="str">
        <f t="shared" ca="1" si="252"/>
        <v>Ja, HDMI-port finns</v>
      </c>
      <c r="AZ307" s="185" t="str">
        <f t="shared" ca="1" si="252"/>
        <v>802.11a/b/g/n/ac</v>
      </c>
      <c r="BA307" s="185">
        <f t="shared" ca="1" si="252"/>
        <v>5</v>
      </c>
      <c r="BB307" s="185">
        <f t="shared" ca="1" si="253"/>
        <v>11</v>
      </c>
      <c r="BC307" s="185" t="str">
        <f t="shared" ca="1" si="253"/>
        <v>Version 8.0</v>
      </c>
      <c r="BD307" s="185" t="str">
        <f t="shared" ca="1" si="253"/>
        <v>Ja</v>
      </c>
      <c r="BE307" s="185" t="str">
        <f t="shared" ca="1" si="253"/>
        <v>Windows 11 Pro</v>
      </c>
      <c r="BF307" s="185" t="str">
        <f t="shared" ca="1" si="253"/>
        <v>E14 G5 AMD</v>
      </c>
      <c r="BG307" s="185">
        <f t="shared" ca="1" si="253"/>
        <v>9288</v>
      </c>
      <c r="BH307" s="192">
        <f t="shared" ca="1" si="253"/>
        <v>78</v>
      </c>
      <c r="BI307" s="192">
        <f t="shared" ca="1" si="253"/>
        <v>252</v>
      </c>
      <c r="BJ307" s="192">
        <f t="shared" ca="1" si="253"/>
        <v>210</v>
      </c>
      <c r="BK307" s="192">
        <f t="shared" ca="1" si="253"/>
        <v>1824</v>
      </c>
      <c r="BL307" s="192">
        <f t="shared" ca="1" si="254"/>
        <v>290</v>
      </c>
      <c r="BM307" s="192">
        <f t="shared" ca="1" si="254"/>
        <v>185</v>
      </c>
      <c r="BN307" s="192">
        <f t="shared" ca="1" si="254"/>
        <v>60</v>
      </c>
      <c r="BO307" s="192">
        <f t="shared" ca="1" si="254"/>
        <v>50</v>
      </c>
      <c r="BP307" s="192" t="str">
        <f t="shared" ca="1" si="254"/>
        <v>V7</v>
      </c>
      <c r="BQ307" s="192" t="str">
        <f t="shared" ca="1" si="254"/>
        <v>Targus</v>
      </c>
      <c r="BR307" s="192" t="str">
        <f t="shared" ca="1" si="254"/>
        <v>Lenovo</v>
      </c>
      <c r="BS307" s="192" t="str">
        <f t="shared" ca="1" si="254"/>
        <v>Lenovo</v>
      </c>
      <c r="BT307" s="192" t="str">
        <f t="shared" ca="1" si="254"/>
        <v>V7 Elite Sleeve 14"</v>
      </c>
      <c r="BU307" s="192" t="str">
        <f t="shared" ca="1" si="254"/>
        <v>Targus Privacy Screen 14"</v>
      </c>
      <c r="BV307" s="192" t="str">
        <f t="shared" ca="1" si="254"/>
        <v>Power adapter USB-C 45w</v>
      </c>
      <c r="BW307" s="192" t="str">
        <f t="shared" ca="1" si="254"/>
        <v>ThinkPad USB-C Dock gen2</v>
      </c>
      <c r="BX307" s="192"/>
      <c r="BY307" s="192" t="str">
        <f t="shared" ca="1" si="249"/>
        <v>Foxway Education AB</v>
      </c>
      <c r="BZ307" s="192" t="str">
        <f t="shared" ca="1" si="249"/>
        <v>Lenovo</v>
      </c>
      <c r="CA307" s="185"/>
      <c r="CB307" s="185"/>
      <c r="CC307" s="185"/>
      <c r="CD307" s="185"/>
      <c r="CE307" s="185"/>
      <c r="CF307" s="185"/>
      <c r="CG307" s="185"/>
      <c r="CH307" s="185"/>
      <c r="CI307" s="185"/>
      <c r="CJ307" s="185"/>
      <c r="CK307" s="185"/>
      <c r="CL307" s="185"/>
      <c r="CM307" s="185"/>
      <c r="CN307" s="185"/>
    </row>
    <row r="308" spans="2:92" ht="24" customHeight="1" outlineLevel="1" x14ac:dyDescent="0.35">
      <c r="C308" s="61" t="s">
        <v>37</v>
      </c>
      <c r="D308" s="64"/>
      <c r="F308" s="80" t="str">
        <f t="shared" si="250"/>
        <v/>
      </c>
      <c r="G308" s="81" t="str">
        <f t="shared" ca="1" si="251"/>
        <v>Ja</v>
      </c>
      <c r="H308" s="81" t="str">
        <f t="shared" ca="1" si="251"/>
        <v>Ja</v>
      </c>
      <c r="I308" s="120" t="str">
        <f t="shared" ca="1" si="251"/>
        <v>Ja</v>
      </c>
      <c r="J308" s="62"/>
      <c r="Q308" s="185">
        <f t="shared" si="228"/>
        <v>0</v>
      </c>
      <c r="R308" s="185">
        <f t="shared" si="229"/>
        <v>0</v>
      </c>
      <c r="S308" s="185">
        <f t="shared" si="230"/>
        <v>0</v>
      </c>
      <c r="T308" s="185">
        <f t="shared" si="231"/>
        <v>0</v>
      </c>
      <c r="U308" s="185">
        <f t="shared" si="232"/>
        <v>0</v>
      </c>
      <c r="V308" s="185">
        <f t="shared" si="233"/>
        <v>0</v>
      </c>
      <c r="W308" s="185">
        <f t="shared" si="234"/>
        <v>0</v>
      </c>
      <c r="X308" s="185">
        <f t="shared" si="235"/>
        <v>0</v>
      </c>
      <c r="Y308" s="185">
        <f t="shared" si="236"/>
        <v>0</v>
      </c>
      <c r="Z308" s="196">
        <f t="shared" ca="1" si="237"/>
        <v>11210</v>
      </c>
      <c r="AA308" s="185" t="str">
        <f t="shared" ca="1" si="238"/>
        <v>Offererad produktnr. 03Foxway Education AB</v>
      </c>
      <c r="AB308" s="185"/>
      <c r="AC308" s="185" t="b">
        <f ca="1">IFERROR(IF(D298="",TRUE,
IF(OR(D298=$CB$12,D298=$CB$13),IF(LEFT(AS308,FIND(" ",AS308)-1)=D298,TRUE,FALSE),
IF(OFFSET(Processor!$AB$1,MATCH($AS308,Processor!$AA$2:$AA$23,0),MATCH(LEFT(D298,FIND(" ",D298)-1),Processor!$AC$1:$AG$1,0))&gt;=
OFFSET(Processor!$AB$1,MATCH(D298,Processor!$AA$2:$AA$23,0),MATCH(LEFT(D298,FIND(" ",D298)-1),Processor!$AC$1:$AG$1,0)),TRUE,FALSE))),FALSE)</f>
        <v>1</v>
      </c>
      <c r="AD308" s="185" t="b">
        <f t="shared" si="239"/>
        <v>1</v>
      </c>
      <c r="AE308" s="185" t="b">
        <f t="shared" si="240"/>
        <v>1</v>
      </c>
      <c r="AF308" s="185" t="b">
        <f>IF($D$296="",TRUE,IF(COUNTIF(Processor!$I$2:$I$9,$D$296)&gt;0,AND(AV308&gt;INDEX(Processor!$J$2:$J$9,MATCH($D$296,Processor!$I$2:$I$9,0)),AV308&lt;INDEX(Processor!$K$2:$K$9,MATCH($D$296,Processor!$I$2:$I$9,0))),IF(AV308=$D$296,TRUE,FALSE)))</f>
        <v>1</v>
      </c>
      <c r="AG308" s="185" t="b">
        <f t="shared" si="241"/>
        <v>1</v>
      </c>
      <c r="AH308" s="185" t="b">
        <f t="shared" si="242"/>
        <v>1</v>
      </c>
      <c r="AI308" s="185" t="b">
        <f t="shared" si="243"/>
        <v>1</v>
      </c>
      <c r="AJ308" s="185" t="b">
        <f t="shared" si="244"/>
        <v>1</v>
      </c>
      <c r="AK308" s="185" t="b">
        <f t="shared" si="245"/>
        <v>1</v>
      </c>
      <c r="AL308" s="185" t="b">
        <f>IFERROR(IF($D307="",TRUE,IF(MID(BC308,LEN(BC308)-2,1)*1&gt;=MID($D307,LEN($D307)-2,1)*1,TRUE,FALSE)),FALSE)</f>
        <v>1</v>
      </c>
      <c r="AM308" s="185" t="b">
        <f>IF(D306="",TRUE,IF(BB308&gt;=D306,TRUE,FALSE))</f>
        <v>1</v>
      </c>
      <c r="AN308" s="185"/>
      <c r="AO308" s="185"/>
      <c r="AP308" s="185" t="s">
        <v>212</v>
      </c>
      <c r="AQ308" s="185">
        <v>1</v>
      </c>
      <c r="AR308" s="185" t="str">
        <f t="shared" ca="1" si="252"/>
        <v>1920x1080</v>
      </c>
      <c r="AS308" s="185" t="str">
        <f t="shared" ca="1" si="252"/>
        <v>AMD Ryzen 7</v>
      </c>
      <c r="AT308" s="185">
        <f t="shared" ca="1" si="252"/>
        <v>16</v>
      </c>
      <c r="AU308" s="185">
        <f t="shared" ca="1" si="252"/>
        <v>512</v>
      </c>
      <c r="AV308" s="185">
        <f t="shared" ca="1" si="252"/>
        <v>14</v>
      </c>
      <c r="AW308" s="185">
        <f t="shared" ca="1" si="252"/>
        <v>4</v>
      </c>
      <c r="AX308" s="185">
        <f t="shared" ca="1" si="252"/>
        <v>2</v>
      </c>
      <c r="AY308" s="185" t="str">
        <f t="shared" ca="1" si="252"/>
        <v>Ja, HDMI-port finns</v>
      </c>
      <c r="AZ308" s="185" t="str">
        <f t="shared" ca="1" si="252"/>
        <v>802.11a/b/g/n/ac/ax</v>
      </c>
      <c r="BA308" s="185">
        <f t="shared" ca="1" si="252"/>
        <v>5.2</v>
      </c>
      <c r="BB308" s="185">
        <f t="shared" ca="1" si="253"/>
        <v>11</v>
      </c>
      <c r="BC308" s="185" t="str">
        <f t="shared" ca="1" si="253"/>
        <v>Version 8.0</v>
      </c>
      <c r="BD308" s="185" t="str">
        <f t="shared" ca="1" si="253"/>
        <v>Ja</v>
      </c>
      <c r="BE308" s="185" t="str">
        <f t="shared" ca="1" si="253"/>
        <v>Windows 11 Pro</v>
      </c>
      <c r="BF308" s="185" t="str">
        <f t="shared" ca="1" si="253"/>
        <v>L14 G4 AMD</v>
      </c>
      <c r="BG308" s="185">
        <f t="shared" ca="1" si="253"/>
        <v>11210</v>
      </c>
      <c r="BH308" s="192">
        <f t="shared" ca="1" si="253"/>
        <v>78</v>
      </c>
      <c r="BI308" s="192">
        <f t="shared" ca="1" si="253"/>
        <v>252</v>
      </c>
      <c r="BJ308" s="192">
        <f t="shared" ca="1" si="253"/>
        <v>210</v>
      </c>
      <c r="BK308" s="192">
        <f t="shared" ca="1" si="253"/>
        <v>1824</v>
      </c>
      <c r="BL308" s="192">
        <f t="shared" ca="1" si="254"/>
        <v>290</v>
      </c>
      <c r="BM308" s="192">
        <f t="shared" ca="1" si="254"/>
        <v>185</v>
      </c>
      <c r="BN308" s="192">
        <f t="shared" ca="1" si="254"/>
        <v>60</v>
      </c>
      <c r="BO308" s="192">
        <f t="shared" ca="1" si="254"/>
        <v>50</v>
      </c>
      <c r="BP308" s="192" t="str">
        <f t="shared" ca="1" si="254"/>
        <v>V7</v>
      </c>
      <c r="BQ308" s="192" t="str">
        <f t="shared" ca="1" si="254"/>
        <v>Targus</v>
      </c>
      <c r="BR308" s="192" t="str">
        <f t="shared" ca="1" si="254"/>
        <v>Lenovo</v>
      </c>
      <c r="BS308" s="192" t="str">
        <f t="shared" ca="1" si="254"/>
        <v>Lenovo</v>
      </c>
      <c r="BT308" s="192" t="str">
        <f t="shared" ca="1" si="254"/>
        <v>V7 Elite Sleeve 14"</v>
      </c>
      <c r="BU308" s="192" t="str">
        <f t="shared" ca="1" si="254"/>
        <v>Targus Privacy Screen 14"</v>
      </c>
      <c r="BV308" s="192" t="str">
        <f t="shared" ca="1" si="254"/>
        <v>Power adapter USB-C 45w</v>
      </c>
      <c r="BW308" s="192" t="str">
        <f t="shared" ca="1" si="254"/>
        <v>ThinkPad USB-C Dock gen2</v>
      </c>
      <c r="BX308" s="192"/>
      <c r="BY308" s="192" t="str">
        <f t="shared" ca="1" si="249"/>
        <v>Foxway Education AB</v>
      </c>
      <c r="BZ308" s="192" t="str">
        <f t="shared" ca="1" si="249"/>
        <v>Lenovo</v>
      </c>
      <c r="CA308" s="185"/>
      <c r="CB308" s="185"/>
      <c r="CC308" s="185"/>
      <c r="CD308" s="185"/>
      <c r="CE308" s="185"/>
      <c r="CF308" s="185"/>
      <c r="CG308" s="185"/>
      <c r="CH308" s="185"/>
      <c r="CI308" s="185"/>
      <c r="CJ308" s="185"/>
      <c r="CK308" s="185"/>
      <c r="CL308" s="185"/>
      <c r="CM308" s="185"/>
      <c r="CN308" s="185"/>
    </row>
    <row r="309" spans="2:92" ht="24" customHeight="1" outlineLevel="1" x14ac:dyDescent="0.35">
      <c r="C309" s="66"/>
      <c r="D309" s="67"/>
      <c r="F309" s="62"/>
      <c r="G309" s="62"/>
      <c r="H309" s="62"/>
      <c r="I309" s="62"/>
      <c r="J309" s="62"/>
      <c r="Q309" s="185">
        <f t="shared" si="228"/>
        <v>0</v>
      </c>
      <c r="R309" s="185">
        <f t="shared" si="229"/>
        <v>0</v>
      </c>
      <c r="S309" s="185">
        <f t="shared" si="230"/>
        <v>0</v>
      </c>
      <c r="T309" s="185">
        <f t="shared" si="231"/>
        <v>0</v>
      </c>
      <c r="U309" s="185">
        <f t="shared" si="232"/>
        <v>0</v>
      </c>
      <c r="V309" s="185">
        <f t="shared" si="233"/>
        <v>0</v>
      </c>
      <c r="W309" s="185">
        <f t="shared" si="234"/>
        <v>0</v>
      </c>
      <c r="X309" s="185">
        <f t="shared" si="235"/>
        <v>0</v>
      </c>
      <c r="Y309" s="185">
        <f t="shared" si="236"/>
        <v>0</v>
      </c>
      <c r="Z309" s="196">
        <f t="shared" ca="1" si="237"/>
        <v>10577</v>
      </c>
      <c r="AA309" s="185" t="str">
        <f t="shared" ca="1" si="238"/>
        <v>Offererad produktnr. 04Foxway Education AB</v>
      </c>
      <c r="AB309" s="185"/>
      <c r="AC309" s="185" t="b">
        <f ca="1">IFERROR(IF(D298="",TRUE,
IF(OR(D298=$CB$12,D298=$CB$13),IF(LEFT(AS309,FIND(" ",AS309)-1)=D298,TRUE,FALSE),
IF(OFFSET(Processor!$AB$1,MATCH($AS309,Processor!$AA$2:$AA$23,0),MATCH(LEFT(D298,FIND(" ",D298)-1),Processor!$AC$1:$AG$1,0))&gt;=
OFFSET(Processor!$AB$1,MATCH(D298,Processor!$AA$2:$AA$23,0),MATCH(LEFT(D298,FIND(" ",D298)-1),Processor!$AC$1:$AG$1,0)),TRUE,FALSE))),FALSE)</f>
        <v>1</v>
      </c>
      <c r="AD309" s="185" t="b">
        <f t="shared" si="239"/>
        <v>1</v>
      </c>
      <c r="AE309" s="185" t="b">
        <f t="shared" si="240"/>
        <v>1</v>
      </c>
      <c r="AF309" s="185" t="b">
        <f>IF($D$296="",TRUE,IF(COUNTIF(Processor!$I$2:$I$9,$D$296)&gt;0,AND(AV309&gt;INDEX(Processor!$J$2:$J$9,MATCH($D$296,Processor!$I$2:$I$9,0)),AV309&lt;INDEX(Processor!$K$2:$K$9,MATCH($D$296,Processor!$I$2:$I$9,0))),IF(AV309=$D$296,TRUE,FALSE)))</f>
        <v>1</v>
      </c>
      <c r="AG309" s="185" t="b">
        <f t="shared" si="241"/>
        <v>1</v>
      </c>
      <c r="AH309" s="185" t="b">
        <f t="shared" si="242"/>
        <v>1</v>
      </c>
      <c r="AI309" s="185" t="b">
        <f t="shared" si="243"/>
        <v>1</v>
      </c>
      <c r="AJ309" s="185" t="b">
        <f t="shared" si="244"/>
        <v>1</v>
      </c>
      <c r="AK309" s="185" t="b">
        <f t="shared" si="245"/>
        <v>1</v>
      </c>
      <c r="AL309" s="185" t="b">
        <f>IFERROR(IF($D307="",TRUE,IF(MID(BC309,LEN(BC309)-2,1)*1&gt;=MID($D307,LEN($D307)-2,1)*1,TRUE,FALSE)),FALSE)</f>
        <v>1</v>
      </c>
      <c r="AM309" s="185" t="b">
        <f>IF(D306="",TRUE,IF(BB309&gt;=D306,TRUE,FALSE))</f>
        <v>1</v>
      </c>
      <c r="AN309" s="185"/>
      <c r="AO309" s="185"/>
      <c r="AP309" s="185" t="s">
        <v>213</v>
      </c>
      <c r="AQ309" s="185">
        <v>1</v>
      </c>
      <c r="AR309" s="185" t="str">
        <f t="shared" ca="1" si="252"/>
        <v>1920x1080</v>
      </c>
      <c r="AS309" s="185" t="str">
        <f t="shared" ca="1" si="252"/>
        <v>Intel i7</v>
      </c>
      <c r="AT309" s="185">
        <f t="shared" ca="1" si="252"/>
        <v>16</v>
      </c>
      <c r="AU309" s="185">
        <f t="shared" ca="1" si="252"/>
        <v>512</v>
      </c>
      <c r="AV309" s="185">
        <f t="shared" ca="1" si="252"/>
        <v>14</v>
      </c>
      <c r="AW309" s="185">
        <f t="shared" ca="1" si="252"/>
        <v>4</v>
      </c>
      <c r="AX309" s="185">
        <f t="shared" ca="1" si="252"/>
        <v>2</v>
      </c>
      <c r="AY309" s="185" t="str">
        <f t="shared" ca="1" si="252"/>
        <v>Ja, HDMI-port finns</v>
      </c>
      <c r="AZ309" s="185" t="str">
        <f t="shared" ca="1" si="252"/>
        <v>802.11a/b/g/n/ac/ax</v>
      </c>
      <c r="BA309" s="185">
        <f t="shared" ca="1" si="252"/>
        <v>5.3</v>
      </c>
      <c r="BB309" s="185">
        <f t="shared" ca="1" si="253"/>
        <v>11</v>
      </c>
      <c r="BC309" s="185" t="str">
        <f t="shared" ca="1" si="253"/>
        <v>Version 8.0</v>
      </c>
      <c r="BD309" s="185" t="str">
        <f t="shared" ca="1" si="253"/>
        <v>Ja</v>
      </c>
      <c r="BE309" s="185" t="str">
        <f t="shared" ca="1" si="253"/>
        <v>Windows 11 Pro</v>
      </c>
      <c r="BF309" s="185" t="str">
        <f t="shared" ca="1" si="253"/>
        <v>Probook 445 G10</v>
      </c>
      <c r="BG309" s="185">
        <f t="shared" ca="1" si="253"/>
        <v>10577</v>
      </c>
      <c r="BH309" s="192">
        <f t="shared" ca="1" si="253"/>
        <v>93</v>
      </c>
      <c r="BI309" s="192">
        <f t="shared" ca="1" si="253"/>
        <v>252</v>
      </c>
      <c r="BJ309" s="192">
        <f t="shared" ca="1" si="253"/>
        <v>138</v>
      </c>
      <c r="BK309" s="192">
        <f t="shared" ca="1" si="253"/>
        <v>1150</v>
      </c>
      <c r="BL309" s="192">
        <f t="shared" ca="1" si="254"/>
        <v>192</v>
      </c>
      <c r="BM309" s="192">
        <f t="shared" ca="1" si="254"/>
        <v>185</v>
      </c>
      <c r="BN309" s="192">
        <f t="shared" ca="1" si="254"/>
        <v>60</v>
      </c>
      <c r="BO309" s="192">
        <f t="shared" ca="1" si="254"/>
        <v>50</v>
      </c>
      <c r="BP309" s="192" t="str">
        <f t="shared" ca="1" si="254"/>
        <v>V7</v>
      </c>
      <c r="BQ309" s="192" t="str">
        <f t="shared" ca="1" si="254"/>
        <v>Targus</v>
      </c>
      <c r="BR309" s="192" t="str">
        <f t="shared" ca="1" si="254"/>
        <v>HP</v>
      </c>
      <c r="BS309" s="192" t="str">
        <f t="shared" ca="1" si="254"/>
        <v>HP</v>
      </c>
      <c r="BT309" s="192" t="str">
        <f t="shared" ca="1" si="254"/>
        <v>V7 Elite Sleeve 14"</v>
      </c>
      <c r="BU309" s="192" t="str">
        <f t="shared" ca="1" si="254"/>
        <v>Targus Privacy Screen 14"</v>
      </c>
      <c r="BV309" s="192" t="str">
        <f t="shared" ca="1" si="254"/>
        <v>HP 45W Smart AC Adapter</v>
      </c>
      <c r="BW309" s="192" t="str">
        <f t="shared" ca="1" si="254"/>
        <v>HP USB-C Dock G5</v>
      </c>
      <c r="BX309" s="192"/>
      <c r="BY309" s="192" t="str">
        <f t="shared" ca="1" si="249"/>
        <v>Foxway Education AB</v>
      </c>
      <c r="BZ309" s="192" t="str">
        <f t="shared" ca="1" si="249"/>
        <v>HP</v>
      </c>
      <c r="CA309" s="185"/>
      <c r="CB309" s="185"/>
      <c r="CC309" s="185"/>
      <c r="CD309" s="185"/>
      <c r="CE309" s="185"/>
      <c r="CF309" s="185"/>
      <c r="CG309" s="185"/>
      <c r="CH309" s="185"/>
      <c r="CI309" s="185"/>
      <c r="CJ309" s="185"/>
      <c r="CK309" s="185"/>
      <c r="CL309" s="185"/>
      <c r="CM309" s="185"/>
      <c r="CN309" s="185"/>
    </row>
    <row r="310" spans="2:92" ht="26.25" customHeight="1" outlineLevel="1" x14ac:dyDescent="0.35">
      <c r="C310" s="212" t="s">
        <v>366</v>
      </c>
      <c r="D310" s="213"/>
      <c r="E310" s="213"/>
      <c r="F310" s="213"/>
      <c r="G310" s="213"/>
      <c r="H310" s="213"/>
      <c r="I310" s="214"/>
      <c r="J310" s="68"/>
      <c r="Q310" s="185">
        <f t="shared" si="228"/>
        <v>0</v>
      </c>
      <c r="R310" s="185">
        <f t="shared" si="229"/>
        <v>0</v>
      </c>
      <c r="S310" s="185">
        <f t="shared" si="230"/>
        <v>0</v>
      </c>
      <c r="T310" s="185">
        <f t="shared" si="231"/>
        <v>0</v>
      </c>
      <c r="U310" s="185">
        <f t="shared" si="232"/>
        <v>0</v>
      </c>
      <c r="V310" s="185">
        <f t="shared" si="233"/>
        <v>0</v>
      </c>
      <c r="W310" s="185">
        <f t="shared" si="234"/>
        <v>0</v>
      </c>
      <c r="X310" s="185">
        <f t="shared" si="235"/>
        <v>0</v>
      </c>
      <c r="Y310" s="185">
        <f t="shared" si="236"/>
        <v>0</v>
      </c>
      <c r="Z310" s="196">
        <f t="shared" ca="1" si="237"/>
        <v>6420</v>
      </c>
      <c r="AA310" s="185" t="str">
        <f t="shared" ca="1" si="238"/>
        <v>Offererad produktnr. 01Qlosr Göteborg AB</v>
      </c>
      <c r="AB310" s="185"/>
      <c r="AC310" s="185" t="b">
        <f ca="1">IFERROR(IF(D298="",TRUE,
IF(OR(D298=$CB$12,D298=$CB$13),IF(LEFT(AS310,FIND(" ",AS310)-1)=D298,TRUE,FALSE),
IF(OFFSET(Processor!$AB$1,MATCH($AS310,Processor!$AA$2:$AA$23,0),MATCH(LEFT(D298,FIND(" ",D298)-1),Processor!$AC$1:$AG$1,0))&gt;=
OFFSET(Processor!$AB$1,MATCH(D298,Processor!$AA$2:$AA$23,0),MATCH(LEFT(D298,FIND(" ",D298)-1),Processor!$AC$1:$AG$1,0)),TRUE,FALSE))),FALSE)</f>
        <v>1</v>
      </c>
      <c r="AD310" s="185" t="b">
        <f t="shared" si="239"/>
        <v>1</v>
      </c>
      <c r="AE310" s="185" t="b">
        <f t="shared" si="240"/>
        <v>1</v>
      </c>
      <c r="AF310" s="185" t="b">
        <f>IF($D$296="",TRUE,IF(COUNTIF(Processor!$I$2:$I$9,$D$296)&gt;0,AND(AV310&gt;INDEX(Processor!$J$2:$J$9,MATCH($D$296,Processor!$I$2:$I$9,0)),AV310&lt;INDEX(Processor!$K$2:$K$9,MATCH($D$296,Processor!$I$2:$I$9,0))),IF(AV310=$D$296,TRUE,FALSE)))</f>
        <v>1</v>
      </c>
      <c r="AG310" s="185" t="b">
        <f t="shared" si="241"/>
        <v>1</v>
      </c>
      <c r="AH310" s="185" t="b">
        <f t="shared" si="242"/>
        <v>1</v>
      </c>
      <c r="AI310" s="185" t="b">
        <f t="shared" si="243"/>
        <v>1</v>
      </c>
      <c r="AJ310" s="185" t="b">
        <f t="shared" si="244"/>
        <v>1</v>
      </c>
      <c r="AK310" s="185" t="b">
        <f t="shared" si="245"/>
        <v>1</v>
      </c>
      <c r="AL310" s="185" t="b">
        <f>IFERROR(IF($D307="",TRUE,IF(MID(BC310,LEN(BC310)-2,1)*1&gt;=MID($D307,LEN($D307)-2,1)*1,TRUE,FALSE)),FALSE)</f>
        <v>1</v>
      </c>
      <c r="AM310" s="185" t="b">
        <f>IF(D306="",TRUE,IF(BB310&gt;=D306,TRUE,FALSE))</f>
        <v>1</v>
      </c>
      <c r="AN310" s="185"/>
      <c r="AO310" s="185"/>
      <c r="AP310" s="185" t="s">
        <v>552</v>
      </c>
      <c r="AQ310" s="185">
        <v>1</v>
      </c>
      <c r="AR310" s="185" t="str">
        <f t="shared" ca="1" si="252"/>
        <v>1920x1080</v>
      </c>
      <c r="AS310" s="185" t="str">
        <f t="shared" ca="1" si="252"/>
        <v>AMD Ryzen 5</v>
      </c>
      <c r="AT310" s="185">
        <f t="shared" ca="1" si="252"/>
        <v>8</v>
      </c>
      <c r="AU310" s="185">
        <f t="shared" ca="1" si="252"/>
        <v>256</v>
      </c>
      <c r="AV310" s="185">
        <f t="shared" ca="1" si="252"/>
        <v>14</v>
      </c>
      <c r="AW310" s="185">
        <f t="shared" ca="1" si="252"/>
        <v>4</v>
      </c>
      <c r="AX310" s="185">
        <f t="shared" ca="1" si="252"/>
        <v>1</v>
      </c>
      <c r="AY310" s="185" t="str">
        <f t="shared" ca="1" si="252"/>
        <v>Ja, HDMI-port finns</v>
      </c>
      <c r="AZ310" s="185" t="str">
        <f t="shared" ca="1" si="252"/>
        <v>802.11a/b/g/n/ac/ax</v>
      </c>
      <c r="BA310" s="185">
        <f t="shared" ca="1" si="252"/>
        <v>5</v>
      </c>
      <c r="BB310" s="185">
        <f t="shared" ca="1" si="253"/>
        <v>11</v>
      </c>
      <c r="BC310" s="185" t="str">
        <f t="shared" ca="1" si="253"/>
        <v>Version 8.0</v>
      </c>
      <c r="BD310" s="185" t="str">
        <f t="shared" ca="1" si="253"/>
        <v>Ja</v>
      </c>
      <c r="BE310" s="185" t="str">
        <f t="shared" ca="1" si="253"/>
        <v>Windows 10 Pro</v>
      </c>
      <c r="BF310" s="185" t="str">
        <f t="shared" ca="1" si="253"/>
        <v>ProBook 445 G8</v>
      </c>
      <c r="BG310" s="185">
        <f t="shared" ca="1" si="253"/>
        <v>6420</v>
      </c>
      <c r="BH310" s="192">
        <f t="shared" ca="1" si="253"/>
        <v>79</v>
      </c>
      <c r="BI310" s="192">
        <f t="shared" ca="1" si="253"/>
        <v>199</v>
      </c>
      <c r="BJ310" s="192">
        <f t="shared" ca="1" si="253"/>
        <v>106</v>
      </c>
      <c r="BK310" s="192">
        <f t="shared" ca="1" si="253"/>
        <v>949</v>
      </c>
      <c r="BL310" s="192">
        <f t="shared" ca="1" si="254"/>
        <v>151</v>
      </c>
      <c r="BM310" s="192">
        <f t="shared" ca="1" si="254"/>
        <v>70</v>
      </c>
      <c r="BN310" s="192">
        <f t="shared" ca="1" si="254"/>
        <v>25</v>
      </c>
      <c r="BO310" s="192">
        <f t="shared" ca="1" si="254"/>
        <v>25</v>
      </c>
      <c r="BP310" s="192" t="str">
        <f t="shared" ca="1" si="254"/>
        <v>HP</v>
      </c>
      <c r="BQ310" s="192" t="str">
        <f t="shared" ca="1" si="254"/>
        <v>HP</v>
      </c>
      <c r="BR310" s="192" t="str">
        <f t="shared" ca="1" si="254"/>
        <v>HP</v>
      </c>
      <c r="BS310" s="192" t="str">
        <f t="shared" ca="1" si="254"/>
        <v>HP</v>
      </c>
      <c r="BT310" s="192" t="str">
        <f t="shared" ca="1" si="254"/>
        <v>GBX2UW01AA</v>
      </c>
      <c r="BU310" s="192" t="str">
        <f t="shared" ca="1" si="254"/>
        <v>GBXJ6E65AA</v>
      </c>
      <c r="BV310" s="192" t="str">
        <f t="shared" ca="1" si="254"/>
        <v>GBXH6Y88AA</v>
      </c>
      <c r="BW310" s="192" t="str">
        <f t="shared" ca="1" si="254"/>
        <v>GBX5TW10AA</v>
      </c>
      <c r="BX310" s="192"/>
      <c r="BY310" s="192" t="str">
        <f t="shared" ca="1" si="249"/>
        <v>Qlosr Göteborg AB</v>
      </c>
      <c r="BZ310" s="192" t="str">
        <f t="shared" ca="1" si="249"/>
        <v>HP</v>
      </c>
      <c r="CA310" s="185"/>
      <c r="CB310" s="185"/>
      <c r="CC310" s="185"/>
      <c r="CD310" s="185"/>
      <c r="CE310" s="185"/>
      <c r="CF310" s="185"/>
      <c r="CG310" s="185"/>
      <c r="CH310" s="185"/>
      <c r="CI310" s="185"/>
      <c r="CJ310" s="185"/>
      <c r="CK310" s="185"/>
      <c r="CL310" s="185"/>
      <c r="CM310" s="185"/>
      <c r="CN310" s="185"/>
    </row>
    <row r="311" spans="2:92" ht="26.25" customHeight="1" outlineLevel="1" x14ac:dyDescent="0.35">
      <c r="B311" s="69" t="s">
        <v>53</v>
      </c>
      <c r="C311" s="115" t="s">
        <v>363</v>
      </c>
      <c r="D311" s="70"/>
      <c r="F311" s="161" t="str">
        <f t="shared" ref="F311:F322" si="255">IF(F$292="Inget antal angivet","",IFERROR(INDEX($AR$293:$BZ$320,MATCH(F$289,$AP$293:$AP$320,0),MATCH($B311,$AR$293:$BZ$293,0)),""))</f>
        <v/>
      </c>
      <c r="G311" s="162">
        <f t="shared" ref="G311:I322" ca="1" si="256">IFERROR(INDEX($AR$293:$BZ$320,MATCH(G$289,$AP$293:$AP$320,0),MATCH($B311,$AR$293:$BZ$293,0)),"")</f>
        <v>79</v>
      </c>
      <c r="H311" s="162">
        <f t="shared" ca="1" si="256"/>
        <v>123</v>
      </c>
      <c r="I311" s="162">
        <f t="shared" ca="1" si="256"/>
        <v>79</v>
      </c>
      <c r="J311" s="62"/>
      <c r="Q311" s="185">
        <f t="shared" si="228"/>
        <v>0</v>
      </c>
      <c r="R311" s="185">
        <f t="shared" si="229"/>
        <v>0</v>
      </c>
      <c r="S311" s="185">
        <f t="shared" si="230"/>
        <v>0</v>
      </c>
      <c r="T311" s="185">
        <f t="shared" si="231"/>
        <v>0</v>
      </c>
      <c r="U311" s="185">
        <f t="shared" si="232"/>
        <v>0</v>
      </c>
      <c r="V311" s="185">
        <f t="shared" si="233"/>
        <v>0</v>
      </c>
      <c r="W311" s="185">
        <f t="shared" si="234"/>
        <v>0</v>
      </c>
      <c r="X311" s="185">
        <f t="shared" si="235"/>
        <v>0</v>
      </c>
      <c r="Y311" s="185">
        <f t="shared" si="236"/>
        <v>0</v>
      </c>
      <c r="Z311" s="196">
        <f t="shared" ca="1" si="237"/>
        <v>9600</v>
      </c>
      <c r="AA311" s="185" t="str">
        <f t="shared" ca="1" si="238"/>
        <v>Offererad produktnr. 02Qlosr Göteborg AB</v>
      </c>
      <c r="AB311" s="185"/>
      <c r="AC311" s="185" t="b">
        <f ca="1">IFERROR(IF(D298="",TRUE,
IF(OR(D298=$CB$12,D298=$CB$13),IF(LEFT(AS311,FIND(" ",AS311)-1)=D298,TRUE,FALSE),
IF(OFFSET(Processor!$AB$1,MATCH($AS311,Processor!$AA$2:$AA$23,0),MATCH(LEFT(D298,FIND(" ",D298)-1),Processor!$AC$1:$AG$1,0))&gt;=
OFFSET(Processor!$AB$1,MATCH(D298,Processor!$AA$2:$AA$23,0),MATCH(LEFT(D298,FIND(" ",D298)-1),Processor!$AC$1:$AG$1,0)),TRUE,FALSE))),FALSE)</f>
        <v>1</v>
      </c>
      <c r="AD311" s="185" t="b">
        <f t="shared" si="239"/>
        <v>1</v>
      </c>
      <c r="AE311" s="185" t="b">
        <f t="shared" si="240"/>
        <v>1</v>
      </c>
      <c r="AF311" s="185" t="b">
        <f>IF($D$296="",TRUE,IF(COUNTIF(Processor!$I$2:$I$9,$D$296)&gt;0,AND(AV311&gt;INDEX(Processor!$J$2:$J$9,MATCH($D$296,Processor!$I$2:$I$9,0)),AV311&lt;INDEX(Processor!$K$2:$K$9,MATCH($D$296,Processor!$I$2:$I$9,0))),IF(AV311=$D$296,TRUE,FALSE)))</f>
        <v>1</v>
      </c>
      <c r="AG311" s="185" t="b">
        <f t="shared" si="241"/>
        <v>1</v>
      </c>
      <c r="AH311" s="185" t="b">
        <f t="shared" si="242"/>
        <v>1</v>
      </c>
      <c r="AI311" s="185" t="b">
        <f t="shared" si="243"/>
        <v>1</v>
      </c>
      <c r="AJ311" s="185" t="b">
        <f t="shared" si="244"/>
        <v>1</v>
      </c>
      <c r="AK311" s="185" t="b">
        <f t="shared" si="245"/>
        <v>1</v>
      </c>
      <c r="AL311" s="185" t="b">
        <f>IFERROR(IF($D307="",TRUE,IF(MID(BC311,LEN(BC311)-2,1)*1&gt;=MID($D307,LEN($D307)-2,1)*1,TRUE,FALSE)),FALSE)</f>
        <v>1</v>
      </c>
      <c r="AM311" s="185" t="b">
        <f>IF(D306="",TRUE,IF(BB311&gt;=D306,TRUE,FALSE))</f>
        <v>1</v>
      </c>
      <c r="AN311" s="185"/>
      <c r="AO311" s="185"/>
      <c r="AP311" s="185" t="s">
        <v>553</v>
      </c>
      <c r="AQ311" s="185">
        <v>1</v>
      </c>
      <c r="AR311" s="185" t="str">
        <f t="shared" ca="1" si="252"/>
        <v>1920x1080</v>
      </c>
      <c r="AS311" s="185" t="str">
        <f t="shared" ca="1" si="252"/>
        <v>Intel i5</v>
      </c>
      <c r="AT311" s="185">
        <f t="shared" ca="1" si="252"/>
        <v>8</v>
      </c>
      <c r="AU311" s="185">
        <f t="shared" ca="1" si="252"/>
        <v>256</v>
      </c>
      <c r="AV311" s="185">
        <f t="shared" ca="1" si="252"/>
        <v>14</v>
      </c>
      <c r="AW311" s="185">
        <f t="shared" ca="1" si="252"/>
        <v>2</v>
      </c>
      <c r="AX311" s="185">
        <f t="shared" ca="1" si="252"/>
        <v>2</v>
      </c>
      <c r="AY311" s="185" t="str">
        <f t="shared" ca="1" si="252"/>
        <v>Ja, HDMI-port finns</v>
      </c>
      <c r="AZ311" s="185" t="str">
        <f t="shared" ca="1" si="252"/>
        <v>802.11a/b/g/n/ac/ax</v>
      </c>
      <c r="BA311" s="185">
        <f t="shared" ca="1" si="252"/>
        <v>5.3</v>
      </c>
      <c r="BB311" s="185">
        <f t="shared" ca="1" si="253"/>
        <v>11</v>
      </c>
      <c r="BC311" s="185" t="str">
        <f t="shared" ca="1" si="253"/>
        <v>Version 8.0</v>
      </c>
      <c r="BD311" s="185" t="str">
        <f t="shared" ca="1" si="253"/>
        <v>Ja</v>
      </c>
      <c r="BE311" s="185" t="str">
        <f t="shared" ca="1" si="253"/>
        <v>Windows 11 Pro</v>
      </c>
      <c r="BF311" s="185" t="str">
        <f t="shared" ca="1" si="253"/>
        <v>Dell Latitude 5440</v>
      </c>
      <c r="BG311" s="185">
        <f t="shared" ca="1" si="253"/>
        <v>9600</v>
      </c>
      <c r="BH311" s="192">
        <f t="shared" ca="1" si="253"/>
        <v>79</v>
      </c>
      <c r="BI311" s="192">
        <f t="shared" ca="1" si="253"/>
        <v>199</v>
      </c>
      <c r="BJ311" s="192">
        <f t="shared" ca="1" si="253"/>
        <v>182</v>
      </c>
      <c r="BK311" s="192">
        <f t="shared" ca="1" si="253"/>
        <v>1138</v>
      </c>
      <c r="BL311" s="192">
        <f t="shared" ca="1" si="254"/>
        <v>151</v>
      </c>
      <c r="BM311" s="192">
        <f t="shared" ca="1" si="254"/>
        <v>70</v>
      </c>
      <c r="BN311" s="192">
        <f t="shared" ca="1" si="254"/>
        <v>25</v>
      </c>
      <c r="BO311" s="192">
        <f t="shared" ca="1" si="254"/>
        <v>25</v>
      </c>
      <c r="BP311" s="192" t="str">
        <f t="shared" ca="1" si="254"/>
        <v>HP</v>
      </c>
      <c r="BQ311" s="192" t="str">
        <f t="shared" ca="1" si="254"/>
        <v>HP</v>
      </c>
      <c r="BR311" s="192" t="str">
        <f t="shared" ca="1" si="254"/>
        <v>Dell</v>
      </c>
      <c r="BS311" s="192" t="str">
        <f t="shared" ca="1" si="254"/>
        <v>HP</v>
      </c>
      <c r="BT311" s="192" t="str">
        <f t="shared" ca="1" si="254"/>
        <v>GBX3E2U7AA</v>
      </c>
      <c r="BU311" s="192" t="str">
        <f t="shared" ca="1" si="254"/>
        <v>GBXJ6E65AA</v>
      </c>
      <c r="BV311" s="192" t="str">
        <f t="shared" ca="1" si="254"/>
        <v>GBXUSBC65W-2</v>
      </c>
      <c r="BW311" s="192" t="str">
        <f t="shared" ca="1" si="254"/>
        <v>GBX5TW10AA</v>
      </c>
      <c r="BX311" s="192"/>
      <c r="BY311" s="192" t="str">
        <f t="shared" ca="1" si="249"/>
        <v>Qlosr Göteborg AB</v>
      </c>
      <c r="BZ311" s="192" t="str">
        <f t="shared" ca="1" si="249"/>
        <v>Dell</v>
      </c>
      <c r="CA311" s="185"/>
      <c r="CB311" s="185"/>
      <c r="CC311" s="185"/>
      <c r="CD311" s="185"/>
      <c r="CE311" s="185"/>
      <c r="CF311" s="185"/>
      <c r="CG311" s="185"/>
      <c r="CH311" s="185"/>
      <c r="CI311" s="185"/>
      <c r="CJ311" s="185"/>
      <c r="CK311" s="185"/>
      <c r="CL311" s="185"/>
      <c r="CM311" s="185"/>
      <c r="CN311" s="185"/>
    </row>
    <row r="312" spans="2:92" ht="26.25" customHeight="1" outlineLevel="1" x14ac:dyDescent="0.35">
      <c r="B312" s="69" t="s">
        <v>340</v>
      </c>
      <c r="C312" s="96" t="s">
        <v>51</v>
      </c>
      <c r="D312" s="131" t="str">
        <f>IF("Ska Ingå"=D311,"Ska Ingå","")</f>
        <v/>
      </c>
      <c r="F312" s="84" t="str">
        <f t="shared" si="255"/>
        <v/>
      </c>
      <c r="G312" s="85" t="str">
        <f t="shared" ca="1" si="256"/>
        <v>HP</v>
      </c>
      <c r="H312" s="85" t="str">
        <f t="shared" ca="1" si="256"/>
        <v>Cirafon</v>
      </c>
      <c r="I312" s="85" t="str">
        <f t="shared" ca="1" si="256"/>
        <v>HP</v>
      </c>
      <c r="J312" s="62"/>
      <c r="Q312" s="185">
        <f t="shared" si="228"/>
        <v>0</v>
      </c>
      <c r="R312" s="185">
        <f t="shared" si="229"/>
        <v>0</v>
      </c>
      <c r="S312" s="185">
        <f t="shared" si="230"/>
        <v>0</v>
      </c>
      <c r="T312" s="185">
        <f t="shared" si="231"/>
        <v>0</v>
      </c>
      <c r="U312" s="185">
        <f t="shared" si="232"/>
        <v>0</v>
      </c>
      <c r="V312" s="185">
        <f t="shared" si="233"/>
        <v>0</v>
      </c>
      <c r="W312" s="185">
        <f t="shared" si="234"/>
        <v>0</v>
      </c>
      <c r="X312" s="185">
        <f t="shared" si="235"/>
        <v>0</v>
      </c>
      <c r="Y312" s="185">
        <f t="shared" si="236"/>
        <v>0</v>
      </c>
      <c r="Z312" s="196">
        <f t="shared" ca="1" si="237"/>
        <v>7640</v>
      </c>
      <c r="AA312" s="185" t="str">
        <f t="shared" ca="1" si="238"/>
        <v>Offererad produktnr. 03Qlosr Göteborg AB</v>
      </c>
      <c r="AB312" s="185"/>
      <c r="AC312" s="185" t="b">
        <f ca="1">IFERROR(IF(D298="",TRUE,
IF(OR(D298=$CB$12,D298=$CB$13),IF(LEFT(AS312,FIND(" ",AS312)-1)=D298,TRUE,FALSE),
IF(OFFSET(Processor!$AB$1,MATCH($AS312,Processor!$AA$2:$AA$23,0),MATCH(LEFT(D298,FIND(" ",D298)-1),Processor!$AC$1:$AG$1,0))&gt;=
OFFSET(Processor!$AB$1,MATCH(D298,Processor!$AA$2:$AA$23,0),MATCH(LEFT(D298,FIND(" ",D298)-1),Processor!$AC$1:$AG$1,0)),TRUE,FALSE))),FALSE)</f>
        <v>1</v>
      </c>
      <c r="AD312" s="185" t="b">
        <f t="shared" si="239"/>
        <v>1</v>
      </c>
      <c r="AE312" s="185" t="b">
        <f t="shared" si="240"/>
        <v>1</v>
      </c>
      <c r="AF312" s="185" t="b">
        <f>IF($D$296="",TRUE,IF(COUNTIF(Processor!$I$2:$I$9,$D$296)&gt;0,AND(AV312&gt;INDEX(Processor!$J$2:$J$9,MATCH($D$296,Processor!$I$2:$I$9,0)),AV312&lt;INDEX(Processor!$K$2:$K$9,MATCH($D$296,Processor!$I$2:$I$9,0))),IF(AV312=$D$296,TRUE,FALSE)))</f>
        <v>1</v>
      </c>
      <c r="AG312" s="185" t="b">
        <f t="shared" si="241"/>
        <v>1</v>
      </c>
      <c r="AH312" s="185" t="b">
        <f t="shared" si="242"/>
        <v>1</v>
      </c>
      <c r="AI312" s="185" t="b">
        <f t="shared" si="243"/>
        <v>1</v>
      </c>
      <c r="AJ312" s="185" t="b">
        <f t="shared" si="244"/>
        <v>1</v>
      </c>
      <c r="AK312" s="185" t="b">
        <f t="shared" si="245"/>
        <v>1</v>
      </c>
      <c r="AL312" s="185" t="b">
        <f>IFERROR(IF($D307="",TRUE,IF(MID(BC312,LEN(BC312)-2,1)*1&gt;=MID($D307,LEN($D307)-2,1)*1,TRUE,FALSE)),FALSE)</f>
        <v>1</v>
      </c>
      <c r="AM312" s="185" t="b">
        <f>IF(D306="",TRUE,IF(BB312&gt;=D306,TRUE,FALSE))</f>
        <v>1</v>
      </c>
      <c r="AN312" s="185"/>
      <c r="AO312" s="185"/>
      <c r="AP312" s="185" t="s">
        <v>554</v>
      </c>
      <c r="AQ312" s="185">
        <v>1</v>
      </c>
      <c r="AR312" s="185" t="str">
        <f t="shared" ca="1" si="252"/>
        <v>1920x1080</v>
      </c>
      <c r="AS312" s="185" t="str">
        <f t="shared" ca="1" si="252"/>
        <v>AMD Ryzen 7</v>
      </c>
      <c r="AT312" s="185">
        <f t="shared" ca="1" si="252"/>
        <v>16</v>
      </c>
      <c r="AU312" s="185">
        <f t="shared" ca="1" si="252"/>
        <v>512</v>
      </c>
      <c r="AV312" s="185">
        <f t="shared" ca="1" si="252"/>
        <v>14</v>
      </c>
      <c r="AW312" s="185">
        <f t="shared" ca="1" si="252"/>
        <v>4</v>
      </c>
      <c r="AX312" s="185">
        <f t="shared" ca="1" si="252"/>
        <v>1</v>
      </c>
      <c r="AY312" s="185" t="str">
        <f t="shared" ca="1" si="252"/>
        <v>Ja, HDMI-port finns</v>
      </c>
      <c r="AZ312" s="185" t="str">
        <f t="shared" ca="1" si="252"/>
        <v>802.11a/b/g/n/ac/ax</v>
      </c>
      <c r="BA312" s="185">
        <f t="shared" ca="1" si="252"/>
        <v>5</v>
      </c>
      <c r="BB312" s="185">
        <f t="shared" ca="1" si="253"/>
        <v>11</v>
      </c>
      <c r="BC312" s="185" t="str">
        <f t="shared" ca="1" si="253"/>
        <v>Version 8.0</v>
      </c>
      <c r="BD312" s="185" t="str">
        <f t="shared" ca="1" si="253"/>
        <v>Ja</v>
      </c>
      <c r="BE312" s="185" t="str">
        <f t="shared" ca="1" si="253"/>
        <v>Windows 10 Pro</v>
      </c>
      <c r="BF312" s="185" t="str">
        <f t="shared" ca="1" si="253"/>
        <v>ProBook 445 G8</v>
      </c>
      <c r="BG312" s="185">
        <f t="shared" ca="1" si="253"/>
        <v>7640</v>
      </c>
      <c r="BH312" s="192">
        <f t="shared" ca="1" si="253"/>
        <v>79</v>
      </c>
      <c r="BI312" s="192">
        <f t="shared" ca="1" si="253"/>
        <v>199</v>
      </c>
      <c r="BJ312" s="192">
        <f t="shared" ca="1" si="253"/>
        <v>106</v>
      </c>
      <c r="BK312" s="192">
        <f t="shared" ca="1" si="253"/>
        <v>949</v>
      </c>
      <c r="BL312" s="192">
        <f t="shared" ca="1" si="254"/>
        <v>151</v>
      </c>
      <c r="BM312" s="192">
        <f t="shared" ca="1" si="254"/>
        <v>70</v>
      </c>
      <c r="BN312" s="192">
        <f t="shared" ca="1" si="254"/>
        <v>25</v>
      </c>
      <c r="BO312" s="192">
        <f t="shared" ca="1" si="254"/>
        <v>25</v>
      </c>
      <c r="BP312" s="192" t="str">
        <f t="shared" ca="1" si="254"/>
        <v>HP</v>
      </c>
      <c r="BQ312" s="192" t="str">
        <f t="shared" ca="1" si="254"/>
        <v>HP</v>
      </c>
      <c r="BR312" s="192" t="str">
        <f t="shared" ca="1" si="254"/>
        <v>HP</v>
      </c>
      <c r="BS312" s="192" t="str">
        <f t="shared" ca="1" si="254"/>
        <v>HP</v>
      </c>
      <c r="BT312" s="192" t="str">
        <f t="shared" ca="1" si="254"/>
        <v>GBX2UW01AA</v>
      </c>
      <c r="BU312" s="192" t="str">
        <f t="shared" ca="1" si="254"/>
        <v>GBXJ6E65AA</v>
      </c>
      <c r="BV312" s="192" t="str">
        <f t="shared" ca="1" si="254"/>
        <v>GBXH6Y88AA</v>
      </c>
      <c r="BW312" s="192" t="str">
        <f t="shared" ca="1" si="254"/>
        <v>GBX5TW10AA</v>
      </c>
      <c r="BX312" s="192"/>
      <c r="BY312" s="192" t="str">
        <f t="shared" ca="1" si="249"/>
        <v>Qlosr Göteborg AB</v>
      </c>
      <c r="BZ312" s="192" t="str">
        <f t="shared" ca="1" si="249"/>
        <v>HP</v>
      </c>
      <c r="CA312" s="185"/>
      <c r="CB312" s="185"/>
      <c r="CC312" s="185"/>
      <c r="CD312" s="185"/>
      <c r="CE312" s="185"/>
      <c r="CF312" s="185"/>
      <c r="CG312" s="185"/>
      <c r="CH312" s="185"/>
      <c r="CI312" s="185"/>
      <c r="CJ312" s="185"/>
      <c r="CK312" s="185"/>
      <c r="CL312" s="185"/>
      <c r="CM312" s="185"/>
      <c r="CN312" s="185"/>
    </row>
    <row r="313" spans="2:92" ht="67.5" customHeight="1" outlineLevel="1" x14ac:dyDescent="0.35">
      <c r="B313" s="69" t="s">
        <v>345</v>
      </c>
      <c r="C313" s="97" t="s">
        <v>52</v>
      </c>
      <c r="D313" s="132" t="str">
        <f>IF("Ska Ingå"=D311,"Ska Ingå","")</f>
        <v/>
      </c>
      <c r="F313" s="86" t="str">
        <f t="shared" si="255"/>
        <v/>
      </c>
      <c r="G313" s="87" t="str">
        <f t="shared" ca="1" si="256"/>
        <v>GBX2UW01AA</v>
      </c>
      <c r="H313" s="87" t="str">
        <f t="shared" ca="1" si="256"/>
        <v>LSN8696R2-14.1</v>
      </c>
      <c r="I313" s="87" t="str">
        <f t="shared" ca="1" si="256"/>
        <v>GBX2UW01AA</v>
      </c>
      <c r="J313" s="62"/>
      <c r="Q313" s="185">
        <f t="shared" si="228"/>
        <v>0</v>
      </c>
      <c r="R313" s="185">
        <f t="shared" si="229"/>
        <v>0</v>
      </c>
      <c r="S313" s="185">
        <f t="shared" si="230"/>
        <v>0</v>
      </c>
      <c r="T313" s="185">
        <f t="shared" si="231"/>
        <v>0</v>
      </c>
      <c r="U313" s="185">
        <f t="shared" si="232"/>
        <v>0</v>
      </c>
      <c r="V313" s="185">
        <f t="shared" si="233"/>
        <v>0</v>
      </c>
      <c r="W313" s="185">
        <f t="shared" si="234"/>
        <v>0</v>
      </c>
      <c r="X313" s="185">
        <f t="shared" si="235"/>
        <v>0</v>
      </c>
      <c r="Y313" s="185">
        <f t="shared" si="236"/>
        <v>0</v>
      </c>
      <c r="Z313" s="196">
        <f t="shared" ca="1" si="237"/>
        <v>8299</v>
      </c>
      <c r="AA313" s="185" t="str">
        <f t="shared" ca="1" si="238"/>
        <v>Offererad produktnr. 04Qlosr Göteborg AB</v>
      </c>
      <c r="AB313" s="185"/>
      <c r="AC313" s="185" t="b">
        <f ca="1">IFERROR(IF(D298="",TRUE,
IF(OR(D298=$CB$12,D298=$CB$13),IF(LEFT(AS313,FIND(" ",AS313)-1)=D298,TRUE,FALSE),
IF(OFFSET(Processor!$AB$1,MATCH($AS313,Processor!$AA$2:$AA$23,0),MATCH(LEFT(D298,FIND(" ",D298)-1),Processor!$AC$1:$AG$1,0))&gt;=
OFFSET(Processor!$AB$1,MATCH(D298,Processor!$AA$2:$AA$23,0),MATCH(LEFT(D298,FIND(" ",D298)-1),Processor!$AC$1:$AG$1,0)),TRUE,FALSE))),FALSE)</f>
        <v>1</v>
      </c>
      <c r="AD313" s="185" t="b">
        <f t="shared" si="239"/>
        <v>1</v>
      </c>
      <c r="AE313" s="185" t="b">
        <f t="shared" si="240"/>
        <v>1</v>
      </c>
      <c r="AF313" s="185" t="b">
        <f>IF($D$296="",TRUE,IF(COUNTIF(Processor!$I$2:$I$9,$D$296)&gt;0,AND(AV313&gt;INDEX(Processor!$J$2:$J$9,MATCH($D$296,Processor!$I$2:$I$9,0)),AV313&lt;INDEX(Processor!$K$2:$K$9,MATCH($D$296,Processor!$I$2:$I$9,0))),IF(AV313=$D$296,TRUE,FALSE)))</f>
        <v>1</v>
      </c>
      <c r="AG313" s="185" t="b">
        <f t="shared" si="241"/>
        <v>1</v>
      </c>
      <c r="AH313" s="185" t="b">
        <f t="shared" si="242"/>
        <v>1</v>
      </c>
      <c r="AI313" s="185" t="b">
        <f t="shared" si="243"/>
        <v>1</v>
      </c>
      <c r="AJ313" s="185" t="b">
        <f t="shared" si="244"/>
        <v>1</v>
      </c>
      <c r="AK313" s="185" t="b">
        <f t="shared" si="245"/>
        <v>1</v>
      </c>
      <c r="AL313" s="185" t="b">
        <f>IFERROR(IF($D307="",TRUE,IF(MID(BC313,LEN(BC313)-2,1)*1&gt;=MID($D307,LEN($D307)-2,1)*1,TRUE,FALSE)),FALSE)</f>
        <v>1</v>
      </c>
      <c r="AM313" s="185" t="b">
        <f>IF(D306="",TRUE,IF(BB313&gt;=D306,TRUE,FALSE))</f>
        <v>1</v>
      </c>
      <c r="AN313" s="185"/>
      <c r="AO313" s="185"/>
      <c r="AP313" s="185" t="s">
        <v>555</v>
      </c>
      <c r="AQ313" s="185">
        <v>1</v>
      </c>
      <c r="AR313" s="185" t="str">
        <f t="shared" ca="1" si="252"/>
        <v>1920x1080</v>
      </c>
      <c r="AS313" s="185" t="str">
        <f t="shared" ca="1" si="252"/>
        <v>Intel i7</v>
      </c>
      <c r="AT313" s="185">
        <f t="shared" ca="1" si="252"/>
        <v>16</v>
      </c>
      <c r="AU313" s="185">
        <f t="shared" ca="1" si="252"/>
        <v>512</v>
      </c>
      <c r="AV313" s="185">
        <f t="shared" ca="1" si="252"/>
        <v>14</v>
      </c>
      <c r="AW313" s="185">
        <f t="shared" ca="1" si="252"/>
        <v>4</v>
      </c>
      <c r="AX313" s="185">
        <f t="shared" ca="1" si="252"/>
        <v>1</v>
      </c>
      <c r="AY313" s="185" t="str">
        <f t="shared" ca="1" si="252"/>
        <v>Ja, HDMI-port finns</v>
      </c>
      <c r="AZ313" s="185" t="str">
        <f t="shared" ca="1" si="252"/>
        <v>802.11a/b/g/n/ac/ax</v>
      </c>
      <c r="BA313" s="185">
        <f t="shared" ca="1" si="252"/>
        <v>5</v>
      </c>
      <c r="BB313" s="185">
        <f t="shared" ca="1" si="253"/>
        <v>11</v>
      </c>
      <c r="BC313" s="185" t="str">
        <f t="shared" ca="1" si="253"/>
        <v>Version 8.0</v>
      </c>
      <c r="BD313" s="185" t="str">
        <f t="shared" ca="1" si="253"/>
        <v>Ja</v>
      </c>
      <c r="BE313" s="185" t="str">
        <f t="shared" ca="1" si="253"/>
        <v>Windows 10 Pro</v>
      </c>
      <c r="BF313" s="185" t="str">
        <f t="shared" ca="1" si="253"/>
        <v>ProBook 440 G8</v>
      </c>
      <c r="BG313" s="185">
        <f t="shared" ca="1" si="253"/>
        <v>8299</v>
      </c>
      <c r="BH313" s="192">
        <f t="shared" ca="1" si="253"/>
        <v>79</v>
      </c>
      <c r="BI313" s="192">
        <f t="shared" ca="1" si="253"/>
        <v>199</v>
      </c>
      <c r="BJ313" s="192">
        <f t="shared" ca="1" si="253"/>
        <v>106</v>
      </c>
      <c r="BK313" s="192">
        <f t="shared" ca="1" si="253"/>
        <v>949</v>
      </c>
      <c r="BL313" s="192">
        <f t="shared" ca="1" si="254"/>
        <v>151</v>
      </c>
      <c r="BM313" s="192">
        <f t="shared" ca="1" si="254"/>
        <v>70</v>
      </c>
      <c r="BN313" s="192">
        <f t="shared" ca="1" si="254"/>
        <v>25</v>
      </c>
      <c r="BO313" s="192">
        <f t="shared" ca="1" si="254"/>
        <v>25</v>
      </c>
      <c r="BP313" s="192" t="str">
        <f t="shared" ca="1" si="254"/>
        <v>HP</v>
      </c>
      <c r="BQ313" s="192" t="str">
        <f t="shared" ca="1" si="254"/>
        <v>HP</v>
      </c>
      <c r="BR313" s="192" t="str">
        <f t="shared" ca="1" si="254"/>
        <v>HP</v>
      </c>
      <c r="BS313" s="192" t="str">
        <f t="shared" ca="1" si="254"/>
        <v>HP</v>
      </c>
      <c r="BT313" s="192" t="str">
        <f t="shared" ca="1" si="254"/>
        <v>GBX2UW01AA</v>
      </c>
      <c r="BU313" s="192" t="str">
        <f t="shared" ca="1" si="254"/>
        <v>GBXJ6E65AA</v>
      </c>
      <c r="BV313" s="192" t="str">
        <f t="shared" ca="1" si="254"/>
        <v>GBXH6Y88AA</v>
      </c>
      <c r="BW313" s="192" t="str">
        <f t="shared" ca="1" si="254"/>
        <v>GBX5TW10AA</v>
      </c>
      <c r="BX313" s="192"/>
      <c r="BY313" s="192" t="str">
        <f t="shared" ca="1" si="249"/>
        <v>Qlosr Göteborg AB</v>
      </c>
      <c r="BZ313" s="192" t="str">
        <f t="shared" ca="1" si="249"/>
        <v>HP</v>
      </c>
      <c r="CA313" s="185"/>
      <c r="CB313" s="185"/>
      <c r="CC313" s="185"/>
      <c r="CD313" s="185"/>
      <c r="CE313" s="185"/>
      <c r="CF313" s="185"/>
      <c r="CG313" s="185"/>
      <c r="CH313" s="185"/>
      <c r="CI313" s="185"/>
      <c r="CJ313" s="185"/>
      <c r="CK313" s="185"/>
      <c r="CL313" s="185"/>
      <c r="CM313" s="185"/>
      <c r="CN313" s="185"/>
    </row>
    <row r="314" spans="2:92" ht="26.25" customHeight="1" outlineLevel="1" x14ac:dyDescent="0.35">
      <c r="B314" s="69" t="s">
        <v>54</v>
      </c>
      <c r="C314" s="98" t="s">
        <v>77</v>
      </c>
      <c r="D314" s="70"/>
      <c r="F314" s="157" t="str">
        <f t="shared" si="255"/>
        <v/>
      </c>
      <c r="G314" s="158">
        <f t="shared" ca="1" si="256"/>
        <v>199</v>
      </c>
      <c r="H314" s="158">
        <f t="shared" ca="1" si="256"/>
        <v>425</v>
      </c>
      <c r="I314" s="158">
        <f t="shared" ca="1" si="256"/>
        <v>199</v>
      </c>
      <c r="J314" s="62"/>
      <c r="BH314" s="63"/>
      <c r="BI314" s="63"/>
      <c r="BJ314" s="63"/>
      <c r="BK314" s="63"/>
      <c r="BL314" s="63"/>
      <c r="BM314" s="63"/>
      <c r="BN314" s="63"/>
      <c r="BO314" s="63"/>
      <c r="BP314" s="63"/>
      <c r="BQ314" s="63"/>
      <c r="BR314" s="63"/>
      <c r="BS314" s="63"/>
      <c r="BT314" s="63"/>
      <c r="BU314" s="63"/>
      <c r="BV314" s="63"/>
      <c r="BW314" s="63"/>
      <c r="BX314" s="63"/>
      <c r="BY314" s="63"/>
      <c r="BZ314" s="63"/>
      <c r="CA314" s="185"/>
      <c r="CB314" s="185"/>
      <c r="CC314" s="185"/>
      <c r="CD314" s="185"/>
      <c r="CE314" s="185"/>
      <c r="CF314" s="185"/>
      <c r="CG314" s="185"/>
      <c r="CH314" s="185"/>
      <c r="CI314" s="185"/>
      <c r="CJ314" s="185"/>
      <c r="CK314" s="185"/>
      <c r="CL314" s="185"/>
      <c r="CM314" s="185"/>
      <c r="CN314" s="185"/>
    </row>
    <row r="315" spans="2:92" ht="26.25" customHeight="1" outlineLevel="1" x14ac:dyDescent="0.35">
      <c r="B315" s="69" t="s">
        <v>341</v>
      </c>
      <c r="C315" s="61" t="s">
        <v>51</v>
      </c>
      <c r="D315" s="131" t="str">
        <f>IF("Ska Ingå"=D314,"Ska Ingå","")</f>
        <v/>
      </c>
      <c r="F315" s="88" t="str">
        <f t="shared" si="255"/>
        <v/>
      </c>
      <c r="G315" s="89" t="str">
        <f t="shared" ca="1" si="256"/>
        <v>HP</v>
      </c>
      <c r="H315" s="89" t="str">
        <f t="shared" ca="1" si="256"/>
        <v>Cirafon</v>
      </c>
      <c r="I315" s="89" t="str">
        <f t="shared" ca="1" si="256"/>
        <v>HP</v>
      </c>
      <c r="J315" s="62"/>
      <c r="BH315" s="63"/>
      <c r="BI315" s="63"/>
      <c r="BJ315" s="63"/>
      <c r="BK315" s="63"/>
      <c r="BL315" s="63"/>
      <c r="BM315" s="63"/>
      <c r="BN315" s="63"/>
      <c r="BO315" s="63"/>
      <c r="BP315" s="63"/>
      <c r="BQ315" s="63"/>
      <c r="BR315" s="63"/>
      <c r="BS315" s="63"/>
      <c r="BT315" s="63"/>
      <c r="BU315" s="63"/>
      <c r="BV315" s="63"/>
      <c r="BW315" s="63"/>
      <c r="BX315" s="63"/>
      <c r="BY315" s="63"/>
      <c r="BZ315" s="63"/>
      <c r="CA315" s="185"/>
      <c r="CB315" s="185"/>
      <c r="CC315" s="185"/>
      <c r="CD315" s="185"/>
      <c r="CE315" s="185"/>
      <c r="CF315" s="185"/>
      <c r="CG315" s="185"/>
      <c r="CH315" s="185"/>
      <c r="CI315" s="185"/>
      <c r="CJ315" s="185"/>
      <c r="CK315" s="185"/>
      <c r="CL315" s="185"/>
      <c r="CM315" s="185"/>
      <c r="CN315" s="185"/>
    </row>
    <row r="316" spans="2:92" ht="68.25" customHeight="1" outlineLevel="1" x14ac:dyDescent="0.35">
      <c r="B316" s="69" t="s">
        <v>346</v>
      </c>
      <c r="C316" s="99" t="s">
        <v>52</v>
      </c>
      <c r="D316" s="132" t="str">
        <f>IF("Ska Ingå"=D314,"Ska Ingå","")</f>
        <v/>
      </c>
      <c r="F316" s="90" t="str">
        <f t="shared" si="255"/>
        <v/>
      </c>
      <c r="G316" s="91" t="str">
        <f t="shared" ca="1" si="256"/>
        <v>GBXJ6E65AA</v>
      </c>
      <c r="H316" s="91" t="str">
        <f t="shared" ca="1" si="256"/>
        <v>DPF14-9</v>
      </c>
      <c r="I316" s="91" t="str">
        <f t="shared" ca="1" si="256"/>
        <v>GBXJ6E65AA</v>
      </c>
      <c r="J316" s="62"/>
      <c r="BH316" s="63"/>
      <c r="BI316" s="63"/>
      <c r="BJ316" s="63"/>
      <c r="BK316" s="63"/>
      <c r="BL316" s="63"/>
      <c r="BM316" s="63"/>
      <c r="BN316" s="63"/>
      <c r="BO316" s="63"/>
      <c r="BP316" s="63"/>
      <c r="BQ316" s="63"/>
      <c r="BR316" s="63"/>
      <c r="BS316" s="63"/>
      <c r="BT316" s="63"/>
      <c r="BU316" s="63"/>
      <c r="BV316" s="63"/>
      <c r="BW316" s="63"/>
      <c r="BX316" s="63"/>
      <c r="BY316" s="63"/>
      <c r="BZ316" s="63"/>
      <c r="CA316" s="185"/>
      <c r="CB316" s="185"/>
      <c r="CC316" s="185"/>
      <c r="CD316" s="185"/>
      <c r="CE316" s="185"/>
      <c r="CF316" s="185"/>
      <c r="CG316" s="185"/>
      <c r="CH316" s="185"/>
      <c r="CI316" s="185"/>
      <c r="CJ316" s="185"/>
      <c r="CK316" s="185"/>
      <c r="CL316" s="185"/>
      <c r="CM316" s="185"/>
      <c r="CN316" s="185"/>
    </row>
    <row r="317" spans="2:92" ht="31.5" customHeight="1" outlineLevel="1" x14ac:dyDescent="0.35">
      <c r="B317" s="69" t="s">
        <v>55</v>
      </c>
      <c r="C317" s="95" t="s">
        <v>371</v>
      </c>
      <c r="D317" s="70"/>
      <c r="F317" s="159" t="str">
        <f t="shared" si="255"/>
        <v/>
      </c>
      <c r="G317" s="160">
        <f t="shared" ca="1" si="256"/>
        <v>106</v>
      </c>
      <c r="H317" s="160">
        <f t="shared" ca="1" si="256"/>
        <v>149</v>
      </c>
      <c r="I317" s="160">
        <f t="shared" ca="1" si="256"/>
        <v>106</v>
      </c>
      <c r="J317" s="62"/>
      <c r="BH317" s="63"/>
      <c r="BI317" s="63"/>
      <c r="BJ317" s="63"/>
      <c r="BK317" s="63"/>
      <c r="BL317" s="63"/>
      <c r="BM317" s="63"/>
      <c r="BN317" s="63"/>
      <c r="BO317" s="63"/>
      <c r="BP317" s="63"/>
      <c r="BQ317" s="63"/>
      <c r="BR317" s="63"/>
      <c r="BS317" s="63"/>
      <c r="BT317" s="63"/>
      <c r="BU317" s="63"/>
      <c r="BV317" s="63"/>
      <c r="BW317" s="63"/>
      <c r="BX317" s="63"/>
      <c r="BY317" s="63"/>
      <c r="BZ317" s="63"/>
      <c r="CA317" s="185"/>
      <c r="CB317" s="185"/>
      <c r="CC317" s="185"/>
      <c r="CD317" s="185"/>
      <c r="CE317" s="185"/>
      <c r="CF317" s="185"/>
      <c r="CG317" s="185"/>
      <c r="CH317" s="185"/>
      <c r="CI317" s="185"/>
      <c r="CJ317" s="185"/>
      <c r="CK317" s="185"/>
      <c r="CL317" s="185"/>
      <c r="CM317" s="185"/>
      <c r="CN317" s="185"/>
    </row>
    <row r="318" spans="2:92" ht="26.25" customHeight="1" outlineLevel="1" x14ac:dyDescent="0.35">
      <c r="B318" s="69" t="s">
        <v>342</v>
      </c>
      <c r="C318" s="96" t="s">
        <v>51</v>
      </c>
      <c r="D318" s="131" t="str">
        <f>IF("Ska Ingå"=D317,"Ska Ingå","")</f>
        <v/>
      </c>
      <c r="F318" s="84" t="str">
        <f t="shared" si="255"/>
        <v/>
      </c>
      <c r="G318" s="85" t="str">
        <f t="shared" ca="1" si="256"/>
        <v>HP</v>
      </c>
      <c r="H318" s="85" t="str">
        <f t="shared" ca="1" si="256"/>
        <v>HP</v>
      </c>
      <c r="I318" s="85" t="str">
        <f t="shared" ca="1" si="256"/>
        <v>HP</v>
      </c>
      <c r="J318" s="62"/>
    </row>
    <row r="319" spans="2:92" ht="67.5" customHeight="1" outlineLevel="1" x14ac:dyDescent="0.35">
      <c r="B319" s="69" t="s">
        <v>347</v>
      </c>
      <c r="C319" s="97" t="s">
        <v>52</v>
      </c>
      <c r="D319" s="132" t="str">
        <f>IF("Ska Ingå"=D317,"Ska Ingå","")</f>
        <v/>
      </c>
      <c r="F319" s="86" t="str">
        <f t="shared" si="255"/>
        <v/>
      </c>
      <c r="G319" s="87" t="str">
        <f t="shared" ca="1" si="256"/>
        <v>GBXH6Y88AA</v>
      </c>
      <c r="H319" s="87" t="str">
        <f t="shared" ca="1" si="256"/>
        <v xml:space="preserve">1MZ01AA </v>
      </c>
      <c r="I319" s="87" t="str">
        <f t="shared" ca="1" si="256"/>
        <v>GBXH6Y88AA</v>
      </c>
      <c r="J319" s="62"/>
    </row>
    <row r="320" spans="2:92" ht="26.25" customHeight="1" outlineLevel="1" x14ac:dyDescent="0.35">
      <c r="B320" s="69" t="s">
        <v>59</v>
      </c>
      <c r="C320" s="98" t="s">
        <v>364</v>
      </c>
      <c r="D320" s="70"/>
      <c r="F320" s="157" t="str">
        <f t="shared" si="255"/>
        <v/>
      </c>
      <c r="G320" s="158">
        <f t="shared" ca="1" si="256"/>
        <v>949</v>
      </c>
      <c r="H320" s="158">
        <f t="shared" ca="1" si="256"/>
        <v>1185</v>
      </c>
      <c r="I320" s="158">
        <f t="shared" ca="1" si="256"/>
        <v>949</v>
      </c>
      <c r="J320" s="62"/>
      <c r="BH320" s="63"/>
      <c r="BI320" s="63"/>
      <c r="BJ320" s="63"/>
      <c r="BK320" s="63"/>
      <c r="BL320" s="63"/>
      <c r="BM320" s="63"/>
      <c r="BN320" s="63"/>
      <c r="BO320" s="63"/>
      <c r="BP320" s="63"/>
      <c r="BQ320" s="63"/>
      <c r="BR320" s="63"/>
      <c r="BS320" s="63"/>
      <c r="BT320" s="63"/>
      <c r="BU320" s="63"/>
      <c r="BV320" s="63"/>
      <c r="BW320" s="63"/>
      <c r="BX320" s="63"/>
      <c r="BY320" s="63"/>
      <c r="BZ320" s="63"/>
    </row>
    <row r="321" spans="2:92" ht="26.25" customHeight="1" outlineLevel="1" x14ac:dyDescent="0.35">
      <c r="B321" s="69" t="s">
        <v>343</v>
      </c>
      <c r="C321" s="61" t="s">
        <v>51</v>
      </c>
      <c r="D321" s="131" t="str">
        <f>IF("Ska Ingå"=D320,"Ska Ingå","")</f>
        <v/>
      </c>
      <c r="F321" s="88" t="str">
        <f t="shared" si="255"/>
        <v/>
      </c>
      <c r="G321" s="89" t="str">
        <f t="shared" ca="1" si="256"/>
        <v>HP</v>
      </c>
      <c r="H321" s="89" t="str">
        <f t="shared" ca="1" si="256"/>
        <v>HP</v>
      </c>
      <c r="I321" s="89" t="str">
        <f t="shared" ca="1" si="256"/>
        <v>HP</v>
      </c>
      <c r="J321" s="62"/>
    </row>
    <row r="322" spans="2:92" ht="67.5" customHeight="1" outlineLevel="1" x14ac:dyDescent="0.35">
      <c r="B322" s="69" t="s">
        <v>348</v>
      </c>
      <c r="C322" s="99" t="s">
        <v>52</v>
      </c>
      <c r="D322" s="132" t="str">
        <f>IF("Ska Ingå"=D320,"Ska Ingå","")</f>
        <v/>
      </c>
      <c r="F322" s="90" t="str">
        <f t="shared" si="255"/>
        <v/>
      </c>
      <c r="G322" s="91" t="str">
        <f t="shared" ca="1" si="256"/>
        <v>GBX5TW10AA</v>
      </c>
      <c r="H322" s="91" t="str">
        <f t="shared" ca="1" si="256"/>
        <v>72C71AA</v>
      </c>
      <c r="I322" s="91" t="str">
        <f t="shared" ca="1" si="256"/>
        <v>GBX5TW10AA</v>
      </c>
      <c r="J322" s="62"/>
      <c r="BH322" s="63"/>
      <c r="BI322" s="63"/>
      <c r="BJ322" s="63"/>
      <c r="BK322" s="63"/>
      <c r="BL322" s="63"/>
      <c r="BM322" s="63"/>
      <c r="BN322" s="63"/>
      <c r="BO322" s="63"/>
      <c r="BP322" s="63"/>
      <c r="BQ322" s="63"/>
      <c r="BR322" s="63"/>
      <c r="BS322" s="63"/>
      <c r="BT322" s="63"/>
      <c r="BU322" s="63"/>
      <c r="BV322" s="63"/>
      <c r="BW322" s="63"/>
      <c r="BX322" s="63"/>
      <c r="BY322" s="63"/>
      <c r="BZ322" s="63"/>
    </row>
    <row r="323" spans="2:92" ht="26.25" customHeight="1" outlineLevel="1" x14ac:dyDescent="0.35">
      <c r="B323" s="69"/>
      <c r="C323" s="212" t="s">
        <v>365</v>
      </c>
      <c r="D323" s="215"/>
      <c r="E323" s="213"/>
      <c r="F323" s="213"/>
      <c r="G323" s="213"/>
      <c r="H323" s="213"/>
      <c r="I323" s="214"/>
      <c r="J323" s="62"/>
      <c r="BH323" s="63"/>
      <c r="BI323" s="63"/>
      <c r="BJ323" s="63"/>
      <c r="BK323" s="63"/>
      <c r="BL323" s="63"/>
      <c r="BM323" s="63"/>
      <c r="BN323" s="63"/>
      <c r="BO323" s="63"/>
      <c r="BP323" s="63"/>
      <c r="BQ323" s="63"/>
      <c r="BR323" s="63"/>
      <c r="BS323" s="63"/>
      <c r="BT323" s="63"/>
      <c r="BU323" s="63"/>
      <c r="BV323" s="63"/>
      <c r="BW323" s="63"/>
      <c r="BX323" s="63"/>
      <c r="BY323" s="63"/>
      <c r="BZ323" s="63"/>
    </row>
    <row r="324" spans="2:92" ht="26.25" customHeight="1" outlineLevel="1" x14ac:dyDescent="0.35">
      <c r="B324" s="71" t="s">
        <v>228</v>
      </c>
      <c r="C324" s="115" t="s">
        <v>367</v>
      </c>
      <c r="D324" s="70"/>
      <c r="F324" s="151" t="str">
        <f>IF(F$292="Inget antal angivet","",IFERROR(INDEX($AR$293:$BZ$320,MATCH(F$289,$AP$293:$AP$320,0),MATCH($B324,$AR$293:$BZ$293,0)),""))</f>
        <v/>
      </c>
      <c r="G324" s="152">
        <f t="shared" ref="G324:I327" ca="1" si="257">IFERROR(INDEX($AR$293:$BZ$320,MATCH(G$289,$AP$293:$AP$320,0),MATCH($B324,$AR$293:$BZ$293,0)),"")</f>
        <v>151</v>
      </c>
      <c r="H324" s="152">
        <f t="shared" ca="1" si="257"/>
        <v>450</v>
      </c>
      <c r="I324" s="152">
        <f t="shared" ca="1" si="257"/>
        <v>151</v>
      </c>
      <c r="J324" s="62"/>
    </row>
    <row r="325" spans="2:92" ht="26.25" customHeight="1" outlineLevel="1" x14ac:dyDescent="0.35">
      <c r="B325" s="71" t="s">
        <v>229</v>
      </c>
      <c r="C325" s="61" t="s">
        <v>368</v>
      </c>
      <c r="D325" s="70"/>
      <c r="F325" s="153" t="str">
        <f>IF(F$292="Inget antal angivet","",IFERROR(INDEX($AR$293:$BZ$320,MATCH(F$289,$AP$293:$AP$320,0),MATCH($B325,$AR$293:$BZ$293,0)),""))</f>
        <v/>
      </c>
      <c r="G325" s="154">
        <f t="shared" ca="1" si="257"/>
        <v>70</v>
      </c>
      <c r="H325" s="154">
        <f t="shared" ca="1" si="257"/>
        <v>133</v>
      </c>
      <c r="I325" s="154">
        <f t="shared" ca="1" si="257"/>
        <v>70</v>
      </c>
      <c r="J325" s="62"/>
    </row>
    <row r="326" spans="2:92" ht="26.25" customHeight="1" outlineLevel="1" x14ac:dyDescent="0.35">
      <c r="B326" s="71" t="s">
        <v>230</v>
      </c>
      <c r="C326" s="96" t="s">
        <v>369</v>
      </c>
      <c r="D326" s="70"/>
      <c r="F326" s="155" t="str">
        <f>IF(F$292="Inget antal angivet","",IFERROR(INDEX($AR$293:$BZ$320,MATCH(F$289,$AP$293:$AP$320,0),MATCH($B326,$AR$293:$BZ$293,0)),""))</f>
        <v/>
      </c>
      <c r="G326" s="156">
        <f t="shared" ca="1" si="257"/>
        <v>25</v>
      </c>
      <c r="H326" s="156">
        <f t="shared" ca="1" si="257"/>
        <v>20</v>
      </c>
      <c r="I326" s="156">
        <f t="shared" ca="1" si="257"/>
        <v>25</v>
      </c>
      <c r="J326" s="62"/>
    </row>
    <row r="327" spans="2:92" ht="26.25" customHeight="1" outlineLevel="1" x14ac:dyDescent="0.35">
      <c r="B327" s="71" t="s">
        <v>231</v>
      </c>
      <c r="C327" s="61" t="s">
        <v>370</v>
      </c>
      <c r="D327" s="70"/>
      <c r="F327" s="153" t="str">
        <f>IF(F$292="Inget antal angivet","",IFERROR(INDEX($AR$293:$BZ$320,MATCH(F$289,$AP$293:$AP$320,0),MATCH($B327,$AR$293:$BZ$293,0)),""))</f>
        <v/>
      </c>
      <c r="G327" s="154">
        <f t="shared" ca="1" si="257"/>
        <v>25</v>
      </c>
      <c r="H327" s="154">
        <f t="shared" ca="1" si="257"/>
        <v>20</v>
      </c>
      <c r="I327" s="154">
        <f t="shared" ca="1" si="257"/>
        <v>25</v>
      </c>
      <c r="J327" s="62"/>
    </row>
    <row r="328" spans="2:92" ht="24" customHeight="1" outlineLevel="1" x14ac:dyDescent="0.35"/>
    <row r="329" spans="2:92" ht="24" customHeight="1" x14ac:dyDescent="0.35"/>
    <row r="330" spans="2:92" ht="24" customHeight="1" x14ac:dyDescent="0.35">
      <c r="D330" s="72" t="s">
        <v>233</v>
      </c>
      <c r="F330" s="216" t="s">
        <v>362</v>
      </c>
      <c r="G330" s="216"/>
      <c r="H330" s="216"/>
      <c r="I330" s="217"/>
      <c r="J330" s="73"/>
    </row>
    <row r="331" spans="2:92" ht="24" customHeight="1" x14ac:dyDescent="0.35">
      <c r="D331" s="74"/>
      <c r="F331" s="202" t="str">
        <f ca="1">IFERROR(INDEX($Z$294:$Z$320,MATCH(F289,$AA$294:$AA$320,0)) *D331,"")</f>
        <v/>
      </c>
      <c r="G331" s="202">
        <f ca="1">IFERROR(P294 *D331,"")</f>
        <v>0</v>
      </c>
      <c r="H331" s="202">
        <f ca="1">IFERROR(P295 *D331,"")</f>
        <v>0</v>
      </c>
      <c r="I331" s="202">
        <f ca="1">IFERROR(P296 * D331,"")</f>
        <v>0</v>
      </c>
      <c r="J331" s="54"/>
    </row>
    <row r="333" spans="2:92" ht="15" thickBot="1" x14ac:dyDescent="0.4">
      <c r="C333" s="174"/>
      <c r="D333" s="174"/>
      <c r="E333" s="174"/>
      <c r="F333" s="174"/>
      <c r="G333" s="174"/>
      <c r="H333" s="174"/>
      <c r="I333" s="174"/>
    </row>
    <row r="334" spans="2:92" ht="15" thickTop="1" x14ac:dyDescent="0.35"/>
    <row r="336" spans="2:92" ht="59.25" customHeight="1" collapsed="1" x14ac:dyDescent="0.35">
      <c r="C336" s="53"/>
      <c r="D336" s="53"/>
      <c r="F336" s="169" t="e">
        <f ca="1">N340</f>
        <v>#N/A</v>
      </c>
      <c r="G336" s="169" t="str">
        <f ca="1">INDEX(AA341:AA367,MATCH(P341,Z341:Z367,0))</f>
        <v>Offererad produktnr. 01Qlosr Göteborg AB</v>
      </c>
      <c r="H336" s="169" t="str">
        <f ca="1">INDEX(AA341:AA367,MATCH(P342,Z341:Z367,0))</f>
        <v>Offererad produktnr. 01Dustin Sverige AB</v>
      </c>
      <c r="I336" s="169" t="str">
        <f ca="1">INDEX(AA341:AA367,MATCH(P343,Z341:Z367,0))</f>
        <v>Offererad produktnr. 03Qlosr Göteborg AB</v>
      </c>
      <c r="J336" s="54"/>
      <c r="AR336" s="12" t="s">
        <v>124</v>
      </c>
      <c r="AS336" s="12" t="s">
        <v>124</v>
      </c>
      <c r="AT336" s="12" t="s">
        <v>124</v>
      </c>
      <c r="AU336" s="12" t="s">
        <v>124</v>
      </c>
      <c r="AV336" s="12" t="s">
        <v>124</v>
      </c>
      <c r="AW336" s="12" t="s">
        <v>124</v>
      </c>
      <c r="AX336" s="12" t="s">
        <v>124</v>
      </c>
      <c r="AY336" s="12" t="s">
        <v>124</v>
      </c>
      <c r="AZ336" s="12" t="s">
        <v>124</v>
      </c>
      <c r="BA336" s="12" t="s">
        <v>124</v>
      </c>
      <c r="BB336" s="12" t="s">
        <v>124</v>
      </c>
      <c r="BC336" s="12" t="s">
        <v>124</v>
      </c>
      <c r="BD336" s="12" t="s">
        <v>124</v>
      </c>
      <c r="BE336" s="12" t="s">
        <v>124</v>
      </c>
      <c r="BF336" s="12" t="s">
        <v>124</v>
      </c>
      <c r="BG336" s="12" t="s">
        <v>124</v>
      </c>
      <c r="BH336" s="12" t="s">
        <v>124</v>
      </c>
      <c r="BI336" s="12" t="s">
        <v>124</v>
      </c>
      <c r="BJ336" s="12" t="s">
        <v>124</v>
      </c>
      <c r="BK336" s="12" t="s">
        <v>124</v>
      </c>
      <c r="BL336" s="12" t="s">
        <v>124</v>
      </c>
      <c r="BM336" s="12" t="s">
        <v>124</v>
      </c>
      <c r="BN336" s="12" t="s">
        <v>124</v>
      </c>
      <c r="BO336" s="12" t="s">
        <v>124</v>
      </c>
      <c r="BP336" s="12" t="s">
        <v>124</v>
      </c>
      <c r="BQ336" s="12" t="s">
        <v>124</v>
      </c>
      <c r="BR336" s="12" t="s">
        <v>124</v>
      </c>
      <c r="BS336" s="12" t="s">
        <v>124</v>
      </c>
      <c r="BT336" s="12" t="s">
        <v>124</v>
      </c>
      <c r="BU336" s="12" t="s">
        <v>124</v>
      </c>
      <c r="BV336" s="12" t="s">
        <v>124</v>
      </c>
      <c r="BW336" s="12" t="s">
        <v>124</v>
      </c>
      <c r="BX336" s="12"/>
      <c r="BY336" s="12" t="s">
        <v>124</v>
      </c>
      <c r="BZ336" s="12" t="s">
        <v>124</v>
      </c>
      <c r="CA336" s="12"/>
      <c r="CB336" s="12"/>
      <c r="CC336" s="12"/>
      <c r="CD336" s="12"/>
      <c r="CE336" s="12"/>
      <c r="CF336" s="12"/>
      <c r="CG336" s="12"/>
      <c r="CH336" s="12"/>
      <c r="CI336" s="12"/>
      <c r="CJ336" s="12"/>
      <c r="CK336" s="12"/>
      <c r="CL336" s="12"/>
      <c r="CM336" s="12"/>
      <c r="CN336" s="12"/>
    </row>
    <row r="337" spans="2:92" ht="33" customHeight="1" thickBot="1" x14ac:dyDescent="0.4">
      <c r="C337" s="53"/>
      <c r="D337" s="53"/>
      <c r="F337" s="140" t="s">
        <v>446</v>
      </c>
      <c r="G337" s="205" t="s">
        <v>447</v>
      </c>
      <c r="H337" s="205"/>
      <c r="I337" s="205"/>
      <c r="J337" s="54"/>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row>
    <row r="338" spans="2:92" ht="22.5" customHeight="1" thickBot="1" x14ac:dyDescent="0.4">
      <c r="B338" t="str">
        <f ca="1" xml:space="preserve"> "Produkt "  &amp; B339</f>
        <v>Produkt 8</v>
      </c>
      <c r="C338" s="206" t="str">
        <f>IF(F339="Ingen produkt motsvarar","Felmeddelande",IF(COUNTIF($P$1:$P$6,TRUE)&gt;0,"","Felmeddelande"))</f>
        <v/>
      </c>
      <c r="D338" s="207"/>
      <c r="F338" s="208" t="s">
        <v>271</v>
      </c>
      <c r="G338" s="209"/>
      <c r="H338" s="209"/>
      <c r="I338" s="209"/>
      <c r="J338" s="55"/>
      <c r="O338">
        <v>1</v>
      </c>
      <c r="AR338" s="13" t="str">
        <f t="shared" ref="AR338:BF338" si="258">AR340</f>
        <v>Upplösning</v>
      </c>
      <c r="AS338" s="13" t="str">
        <f t="shared" si="258"/>
        <v>Processor</v>
      </c>
      <c r="AT338" s="13" t="str">
        <f t="shared" si="258"/>
        <v>Internminne (GB)</v>
      </c>
      <c r="AU338" s="13" t="str">
        <f t="shared" si="258"/>
        <v>Hårddisk</v>
      </c>
      <c r="AV338" s="13" t="str">
        <f t="shared" si="258"/>
        <v>Skärmstorlek (tum)</v>
      </c>
      <c r="AW338" s="13" t="str">
        <f t="shared" si="258"/>
        <v>Portar USB</v>
      </c>
      <c r="AX338" s="13" t="str">
        <f t="shared" si="258"/>
        <v>Portar USB C</v>
      </c>
      <c r="AY338" s="13" t="str">
        <f t="shared" si="258"/>
        <v>Portar HDMI/Display</v>
      </c>
      <c r="AZ338" s="13" t="str">
        <f t="shared" si="258"/>
        <v>Kommunikation WLAN</v>
      </c>
      <c r="BA338" s="13" t="str">
        <f t="shared" si="258"/>
        <v>Kommunikation Bluetooth</v>
      </c>
      <c r="BB338" s="13" t="str">
        <f t="shared" si="258"/>
        <v>Batteritid (tim)</v>
      </c>
      <c r="BC338" s="13" t="str">
        <f t="shared" si="258"/>
        <v>Energiprestanda</v>
      </c>
      <c r="BD338" s="13" t="str">
        <f t="shared" si="258"/>
        <v>Låsskydd</v>
      </c>
      <c r="BE338" s="13" t="str">
        <f t="shared" si="258"/>
        <v>Operativsystem</v>
      </c>
      <c r="BF338" s="13" t="str">
        <f t="shared" si="258"/>
        <v>Modellbenämning</v>
      </c>
      <c r="BG338" t="s">
        <v>224</v>
      </c>
      <c r="BH338" s="56" t="s">
        <v>53</v>
      </c>
      <c r="BI338" s="56" t="s">
        <v>54</v>
      </c>
      <c r="BJ338" s="56" t="s">
        <v>55</v>
      </c>
      <c r="BK338" s="56" t="s">
        <v>59</v>
      </c>
      <c r="BL338" s="57" t="s">
        <v>228</v>
      </c>
      <c r="BM338" s="57" t="s">
        <v>229</v>
      </c>
      <c r="BN338" s="57" t="s">
        <v>230</v>
      </c>
      <c r="BO338" s="57" t="s">
        <v>231</v>
      </c>
      <c r="BP338" s="57" t="s">
        <v>340</v>
      </c>
      <c r="BQ338" s="57" t="s">
        <v>341</v>
      </c>
      <c r="BR338" s="57" t="s">
        <v>342</v>
      </c>
      <c r="BS338" s="57" t="s">
        <v>343</v>
      </c>
      <c r="BT338" s="57" t="s">
        <v>345</v>
      </c>
      <c r="BU338" s="57" t="s">
        <v>346</v>
      </c>
      <c r="BV338" s="57" t="s">
        <v>347</v>
      </c>
      <c r="BW338" s="57" t="s">
        <v>348</v>
      </c>
      <c r="BX338" s="57"/>
      <c r="BY338" s="57" t="s">
        <v>6</v>
      </c>
      <c r="BZ338" s="4" t="s">
        <v>51</v>
      </c>
      <c r="CA338" s="13"/>
      <c r="CB338" s="13"/>
      <c r="CC338" s="13"/>
      <c r="CD338" s="13"/>
      <c r="CE338" s="13"/>
      <c r="CF338" s="13"/>
      <c r="CG338" s="13"/>
      <c r="CH338" s="13"/>
      <c r="CI338" s="13"/>
      <c r="CJ338" s="13"/>
      <c r="CK338" s="13"/>
      <c r="CL338" s="13"/>
      <c r="CM338" s="13"/>
      <c r="CN338" s="13"/>
    </row>
    <row r="339" spans="2:92" ht="22.5" customHeight="1" x14ac:dyDescent="0.35">
      <c r="B339">
        <f ca="1">COUNTIF($F$6:F342,"Produkt I varukorg*")</f>
        <v>8</v>
      </c>
      <c r="C339" t="s">
        <v>474</v>
      </c>
      <c r="F339" s="187" t="str" cm="1">
        <f t="array" ref="F339">IF(D378&lt;1,"Inget antal angivet",IFERROR(INDEX($Z341:$Z367,MATCH(F336,$AA341:$AA367,0),0),"Ingen produkt motsvarar"))</f>
        <v>Inget antal angivet</v>
      </c>
      <c r="G339" s="188">
        <f ca="1">IFERROR(P341,"Ingen produkt motsvarar")</f>
        <v>6420</v>
      </c>
      <c r="H339" s="188">
        <f ca="1">IFERROR(P342,"")</f>
        <v>7599</v>
      </c>
      <c r="I339" s="188">
        <f ca="1">IFERROR(P343,"")</f>
        <v>7640</v>
      </c>
      <c r="J339" s="54"/>
      <c r="AA339" t="str">
        <f>IF(COUNTIF(AB339:AK339,FALSE)&gt;0,AP339,"")</f>
        <v/>
      </c>
      <c r="AB339" t="b">
        <f>IF($D$344="",TRUE,IF(AR339=$D$344,TRUE,FALSE))</f>
        <v>1</v>
      </c>
      <c r="AC339" t="b">
        <f>IF(D341="",TRUE,IF(AS339=$D$345,TRUE,FALSE))</f>
        <v>1</v>
      </c>
      <c r="AD339" t="b">
        <f>IF(D344="",TRUE,IF(AT339=D344,TRUE,FALSE))</f>
        <v>1</v>
      </c>
      <c r="AE339" t="b">
        <f>IF(D345="",TRUE,IF(AU339=D345,TRUE,FALSE))</f>
        <v>1</v>
      </c>
      <c r="AF339" t="b">
        <f>IF(D346="",TRUE,IF(AV339=D346,TRUE,FALSE))</f>
        <v>1</v>
      </c>
      <c r="AG339" t="b">
        <f>IF(D347="",TRUE,IF(AW339=D347,TRUE,FALSE))</f>
        <v>1</v>
      </c>
      <c r="AH339" t="b">
        <f>IF(D343="",TRUE,IF(AX339=D343,TRUE,FALSE))</f>
        <v>1</v>
      </c>
      <c r="AI339" t="b">
        <f>IF(D348="",TRUE,IF(AY339=D348,TRUE,FALSE))</f>
        <v>1</v>
      </c>
      <c r="AJ339" t="b">
        <f>IF(D349="",TRUE,IF(AZ339=D349,TRUE,FALSE))</f>
        <v>1</v>
      </c>
      <c r="AK339" t="b">
        <f>IF(D350="",TRUE,IF(BA339=D350,TRUE,FALSE))</f>
        <v>1</v>
      </c>
      <c r="AP339" t="s">
        <v>126</v>
      </c>
      <c r="AR339" s="58" t="str">
        <f t="shared" ref="AR339:BW339" ca="1" si="259">IFERROR(INDEX(INDIRECT(AR$336&amp;"!$A$10:CC100000"),MATCH($AP339,INDIRECT(AR$336&amp;"!BH$10:BH100000"),0),MATCH(AR$338,INDIRECT(AR$336&amp;"!a10:CC10"),0)),"False")</f>
        <v>False</v>
      </c>
      <c r="AS339" s="58" t="str">
        <f t="shared" ca="1" si="259"/>
        <v>False</v>
      </c>
      <c r="AT339" s="58" t="str">
        <f t="shared" ca="1" si="259"/>
        <v>False</v>
      </c>
      <c r="AU339" s="58" t="str">
        <f t="shared" ca="1" si="259"/>
        <v>False</v>
      </c>
      <c r="AV339" s="58" t="str">
        <f t="shared" ca="1" si="259"/>
        <v>False</v>
      </c>
      <c r="AW339" s="58" t="str">
        <f t="shared" ca="1" si="259"/>
        <v>False</v>
      </c>
      <c r="AX339" s="58" t="str">
        <f t="shared" ca="1" si="259"/>
        <v>False</v>
      </c>
      <c r="AY339" s="58" t="str">
        <f t="shared" ca="1" si="259"/>
        <v>False</v>
      </c>
      <c r="AZ339" s="58" t="str">
        <f t="shared" ca="1" si="259"/>
        <v>False</v>
      </c>
      <c r="BA339" s="58" t="str">
        <f t="shared" ca="1" si="259"/>
        <v>False</v>
      </c>
      <c r="BB339" s="58" t="str">
        <f t="shared" ca="1" si="259"/>
        <v>False</v>
      </c>
      <c r="BC339" s="58" t="str">
        <f t="shared" ca="1" si="259"/>
        <v>False</v>
      </c>
      <c r="BD339" s="58" t="str">
        <f t="shared" ca="1" si="259"/>
        <v>False</v>
      </c>
      <c r="BE339" s="58" t="str">
        <f t="shared" ca="1" si="259"/>
        <v>False</v>
      </c>
      <c r="BF339" s="58" t="str">
        <f t="shared" ca="1" si="259"/>
        <v>False</v>
      </c>
      <c r="BG339" s="58" t="str">
        <f t="shared" ca="1" si="259"/>
        <v>False</v>
      </c>
      <c r="BH339" s="58" t="str">
        <f t="shared" ca="1" si="259"/>
        <v>False</v>
      </c>
      <c r="BI339" s="58" t="str">
        <f t="shared" ca="1" si="259"/>
        <v>False</v>
      </c>
      <c r="BJ339" s="58" t="str">
        <f t="shared" ca="1" si="259"/>
        <v>False</v>
      </c>
      <c r="BK339" s="58" t="str">
        <f t="shared" ca="1" si="259"/>
        <v>False</v>
      </c>
      <c r="BL339" s="58" t="str">
        <f t="shared" ca="1" si="259"/>
        <v>False</v>
      </c>
      <c r="BM339" s="58" t="str">
        <f t="shared" ca="1" si="259"/>
        <v>False</v>
      </c>
      <c r="BN339" s="58" t="str">
        <f t="shared" ca="1" si="259"/>
        <v>False</v>
      </c>
      <c r="BO339" s="58" t="str">
        <f t="shared" ca="1" si="259"/>
        <v>False</v>
      </c>
      <c r="BP339" s="58" t="str">
        <f t="shared" ca="1" si="259"/>
        <v>False</v>
      </c>
      <c r="BQ339" s="58" t="str">
        <f t="shared" ca="1" si="259"/>
        <v>False</v>
      </c>
      <c r="BR339" s="58" t="str">
        <f t="shared" ca="1" si="259"/>
        <v>False</v>
      </c>
      <c r="BS339" s="58" t="str">
        <f t="shared" ca="1" si="259"/>
        <v>False</v>
      </c>
      <c r="BT339" s="58" t="str">
        <f t="shared" ca="1" si="259"/>
        <v>False</v>
      </c>
      <c r="BU339" s="58" t="str">
        <f t="shared" ca="1" si="259"/>
        <v>False</v>
      </c>
      <c r="BV339" s="58" t="str">
        <f t="shared" ca="1" si="259"/>
        <v>False</v>
      </c>
      <c r="BW339" s="58" t="str">
        <f t="shared" ca="1" si="259"/>
        <v>False</v>
      </c>
      <c r="BX339" s="58"/>
      <c r="BY339" s="58" t="str">
        <f ca="1">IFERROR(INDEX(INDIRECT(BY$336&amp;"!$A$10:CC100000"),MATCH($AP339,INDIRECT(BY$336&amp;"!BH$10:BH100000"),0),MATCH(BY$338,INDIRECT(BY$336&amp;"!a10:CC10"),0)),"False")</f>
        <v>False</v>
      </c>
      <c r="BZ339" s="58" t="str">
        <f ca="1">IFERROR(INDEX(INDIRECT(BZ$336&amp;"!$A$10:CC100000"),MATCH($AP339,INDIRECT(BZ$336&amp;"!BH$10:BH100000"),0),MATCH(BZ$338,INDIRECT(BZ$336&amp;"!a10:CC10"),0)),"False")</f>
        <v>False</v>
      </c>
      <c r="CA339" s="58"/>
      <c r="CB339" s="58"/>
      <c r="CC339" s="58"/>
      <c r="CD339" s="58"/>
      <c r="CE339" s="58"/>
      <c r="CF339" s="58"/>
      <c r="CG339" s="58"/>
      <c r="CH339" s="58"/>
      <c r="CI339" s="58"/>
      <c r="CJ339" s="58"/>
      <c r="CK339" s="58"/>
      <c r="CL339" s="58"/>
      <c r="CM339" s="58"/>
      <c r="CN339" s="58"/>
    </row>
    <row r="340" spans="2:92" ht="22.5" customHeight="1" x14ac:dyDescent="0.35">
      <c r="C340" s="210" t="str">
        <f ca="1" xml:space="preserve"> "Bärbar dator (A) "  &amp; RIGHT("00" &amp; B339,2)</f>
        <v>Bärbar dator (A) 08</v>
      </c>
      <c r="D340" s="211"/>
      <c r="F340" s="59" t="str">
        <f>IF(F$339="Inget antal angivet","",IFERROR(INDEX($AR$340:$BZ$367,MATCH(F$336,$AP$340:$AP$367,0),MATCH("Modellbenämning",$AR$340:$BZ$340,0)),""))</f>
        <v/>
      </c>
      <c r="G340" s="59" t="str">
        <f ca="1">IFERROR(INDEX($AR$340:$BZ$367,MATCH(G$336,$AP$340:$AP$367,0),MATCH("Modellbenämning",$AR$340:$BZ$340,0)),"")</f>
        <v>ProBook 445 G8</v>
      </c>
      <c r="H340" s="59" t="str">
        <f ca="1">IFERROR(INDEX($AR$340:$BZ$367,MATCH(H$336,$AP$340:$AP$367,0),MATCH("Modellbenämning",$AR$340:$BZ$340,0)),"")</f>
        <v>ProBook 445 G10</v>
      </c>
      <c r="I340" s="59" t="str">
        <f ca="1">IFERROR(INDEX($AR$340:$BZ$367,MATCH(I$336,$AP$340:$AP$367,0),MATCH("Modellbenämning",$AR$340:$BZ$340,0)),"")</f>
        <v>ProBook 445 G8</v>
      </c>
      <c r="J340" s="60"/>
      <c r="K340" s="195"/>
      <c r="L340" s="195"/>
      <c r="M340" s="195"/>
      <c r="N340" s="195" t="e">
        <f ca="1">INDEX($N$341:$N$346,MATCH(Överblick!$L$2,$M$341:$M$346,0))</f>
        <v>#N/A</v>
      </c>
      <c r="O340" s="195"/>
      <c r="P340" s="195"/>
      <c r="Q340" s="195"/>
      <c r="R340" s="195">
        <v>1</v>
      </c>
      <c r="S340" s="195">
        <v>2</v>
      </c>
      <c r="T340" s="195">
        <v>3</v>
      </c>
      <c r="U340" s="195">
        <v>4</v>
      </c>
      <c r="V340" s="195">
        <v>5</v>
      </c>
      <c r="W340" s="195">
        <v>6</v>
      </c>
      <c r="X340" s="195">
        <v>7</v>
      </c>
      <c r="Y340" s="195">
        <v>8</v>
      </c>
      <c r="Z340" s="195"/>
      <c r="AA340" s="195" t="s">
        <v>122</v>
      </c>
      <c r="AB340" s="195" t="s">
        <v>2</v>
      </c>
      <c r="AC340" s="195" t="s">
        <v>4</v>
      </c>
      <c r="AD340" s="195" t="s">
        <v>119</v>
      </c>
      <c r="AE340" s="195" t="s">
        <v>16</v>
      </c>
      <c r="AF340" s="195" t="s">
        <v>7</v>
      </c>
      <c r="AG340" s="195" t="s">
        <v>67</v>
      </c>
      <c r="AH340" s="195" t="s">
        <v>74</v>
      </c>
      <c r="AI340" s="195" t="s">
        <v>97</v>
      </c>
      <c r="AJ340" s="195" t="s">
        <v>103</v>
      </c>
      <c r="AK340" s="195" t="s">
        <v>75</v>
      </c>
      <c r="AL340" s="195" t="s">
        <v>38</v>
      </c>
      <c r="AM340" s="195" t="s">
        <v>120</v>
      </c>
      <c r="AN340" s="195"/>
      <c r="AO340" s="195"/>
      <c r="AP340" s="195" t="s">
        <v>222</v>
      </c>
      <c r="AQ340" s="195">
        <v>1</v>
      </c>
      <c r="AR340" s="195" t="s">
        <v>2</v>
      </c>
      <c r="AS340" s="195" t="s">
        <v>4</v>
      </c>
      <c r="AT340" s="195" t="s">
        <v>119</v>
      </c>
      <c r="AU340" s="195" t="s">
        <v>16</v>
      </c>
      <c r="AV340" s="195" t="s">
        <v>7</v>
      </c>
      <c r="AW340" s="195" t="s">
        <v>67</v>
      </c>
      <c r="AX340" s="195" t="s">
        <v>74</v>
      </c>
      <c r="AY340" s="195" t="s">
        <v>97</v>
      </c>
      <c r="AZ340" s="195" t="s">
        <v>103</v>
      </c>
      <c r="BA340" s="195" t="s">
        <v>75</v>
      </c>
      <c r="BB340" s="195" t="s">
        <v>120</v>
      </c>
      <c r="BC340" s="195" t="s">
        <v>38</v>
      </c>
      <c r="BD340" s="195" t="s">
        <v>37</v>
      </c>
      <c r="BE340" s="195" t="s">
        <v>3</v>
      </c>
      <c r="BF340" s="195" t="s">
        <v>52</v>
      </c>
      <c r="BG340" s="195" t="s">
        <v>25</v>
      </c>
      <c r="BH340" s="195" t="s">
        <v>53</v>
      </c>
      <c r="BI340" s="195" t="s">
        <v>54</v>
      </c>
      <c r="BJ340" s="195" t="s">
        <v>55</v>
      </c>
      <c r="BK340" s="195" t="s">
        <v>59</v>
      </c>
      <c r="BL340" s="195" t="s">
        <v>228</v>
      </c>
      <c r="BM340" s="195" t="s">
        <v>229</v>
      </c>
      <c r="BN340" s="195" t="s">
        <v>230</v>
      </c>
      <c r="BO340" s="195" t="s">
        <v>231</v>
      </c>
      <c r="BP340" s="195" t="s">
        <v>340</v>
      </c>
      <c r="BQ340" s="195" t="s">
        <v>341</v>
      </c>
      <c r="BR340" s="195" t="s">
        <v>342</v>
      </c>
      <c r="BS340" s="195" t="s">
        <v>343</v>
      </c>
      <c r="BT340" s="195" t="s">
        <v>345</v>
      </c>
      <c r="BU340" s="195" t="s">
        <v>346</v>
      </c>
      <c r="BV340" s="195" t="s">
        <v>347</v>
      </c>
      <c r="BW340" s="195" t="s">
        <v>348</v>
      </c>
      <c r="BX340" s="195"/>
      <c r="BY340" s="195" t="s">
        <v>6</v>
      </c>
      <c r="BZ340" s="195" t="s">
        <v>51</v>
      </c>
      <c r="CA340" s="184" t="s">
        <v>2</v>
      </c>
      <c r="CB340" s="184" t="s">
        <v>4</v>
      </c>
      <c r="CC340" s="184" t="s">
        <v>119</v>
      </c>
      <c r="CD340" s="184" t="s">
        <v>16</v>
      </c>
      <c r="CE340" s="184" t="s">
        <v>7</v>
      </c>
      <c r="CF340" s="184" t="s">
        <v>67</v>
      </c>
      <c r="CG340" s="184" t="s">
        <v>74</v>
      </c>
      <c r="CH340" s="184" t="s">
        <v>97</v>
      </c>
      <c r="CI340" s="184" t="s">
        <v>103</v>
      </c>
      <c r="CJ340" s="184" t="s">
        <v>75</v>
      </c>
      <c r="CK340" s="184" t="s">
        <v>120</v>
      </c>
      <c r="CL340" s="184" t="s">
        <v>38</v>
      </c>
      <c r="CM340" s="184" t="s">
        <v>37</v>
      </c>
      <c r="CN340" s="184" t="s">
        <v>3</v>
      </c>
    </row>
    <row r="341" spans="2:92" ht="22.5" customHeight="1" outlineLevel="1" x14ac:dyDescent="0.35">
      <c r="C341" s="210" t="s">
        <v>261</v>
      </c>
      <c r="D341" s="211"/>
      <c r="F341" s="82" t="str">
        <f>IF(F$339="Inget antal angivet","",IFERROR(INDEX($AR$340:$BZ$367,MATCH(F$336,$AP$340:$AP$367,0),MATCH("Varumärke",$AR$340:$BZ$340,0)),""))</f>
        <v/>
      </c>
      <c r="G341" s="83" t="str">
        <f ca="1">IFERROR(INDEX($AR$340:$BZ$367,MATCH(G$336,$AP$340:$AP$367,0),MATCH("Varumärke",$AR$340:$BZ$340,0)),"")</f>
        <v>HP</v>
      </c>
      <c r="H341" s="83" t="str">
        <f ca="1">IFERROR(INDEX($AR$340:$BZ$367,MATCH(H$336,$AP$340:$AP$367,0),MATCH("Varumärke",$AR$340:$BZ$340,0)),"")</f>
        <v>HP</v>
      </c>
      <c r="I341" s="119" t="str">
        <f ca="1">IFERROR(INDEX($AR$340:$BZ$367,MATCH(I$336,$AP$340:$AP$367,0),MATCH("Varumärke",$AR$340:$BZ$340,0)),"")</f>
        <v>HP</v>
      </c>
      <c r="J341" s="62"/>
      <c r="K341" s="196">
        <f t="shared" ref="K341:K346" ca="1" si="260">O341*$D$378</f>
        <v>0</v>
      </c>
      <c r="L341" s="185" t="b">
        <f t="shared" ref="L341:L346" si="261">IF($D$378=0,TRUE,IF(K341=0,FALSE,TRUE))</f>
        <v>1</v>
      </c>
      <c r="M341" s="185" t="s">
        <v>162</v>
      </c>
      <c r="N341" s="185" t="str">
        <f t="shared" ref="N341:N346" ca="1" si="262">INDEX($AA$341:$AA$367,MATCH(O341,$Z$341:$Z$367,0))</f>
        <v>Offererad produktnr. 01Advania Sverige AB</v>
      </c>
      <c r="O341" s="196" cm="1">
        <f t="array" aca="1" ref="O341" ca="1">MIN(IF(($BY$341:$BY$364=M341)*($AQ$341:$AQ$364=$O$338),$Z$341:$Z$364))</f>
        <v>8880</v>
      </c>
      <c r="P341" s="197">
        <f ca="1">SMALL($Z$341:$Z$367,1)</f>
        <v>6420</v>
      </c>
      <c r="Q341" s="185">
        <f t="shared" ref="Q341:Q360" si="263">SUM(R341:Y341)</f>
        <v>0</v>
      </c>
      <c r="R341" s="185">
        <f t="shared" ref="R341:R360" si="264">IF($D$358="",0,BH341)</f>
        <v>0</v>
      </c>
      <c r="S341" s="185">
        <f t="shared" ref="S341:S360" si="265">IF($D$361="",0,BI341)</f>
        <v>0</v>
      </c>
      <c r="T341" s="185">
        <f t="shared" ref="T341:T360" si="266">IF($D$364="",0,BJ341)</f>
        <v>0</v>
      </c>
      <c r="U341" s="185">
        <f t="shared" ref="U341:U360" si="267">IF($D$367="",0,BK341)</f>
        <v>0</v>
      </c>
      <c r="V341" s="185">
        <f t="shared" ref="V341:V360" si="268">IF($D$371="",0,BL341)</f>
        <v>0</v>
      </c>
      <c r="W341" s="185">
        <f t="shared" ref="W341:W360" si="269">IF($D$372="",0,BM341)</f>
        <v>0</v>
      </c>
      <c r="X341" s="185">
        <f t="shared" ref="X341:X360" si="270">IF($D$373="",0,BN341)</f>
        <v>0</v>
      </c>
      <c r="Y341" s="185">
        <f t="shared" ref="Y341:Y360" si="271">IF($D$374="",0,BO341)</f>
        <v>0</v>
      </c>
      <c r="Z341" s="196">
        <f t="shared" ref="Z341:Z360" ca="1" si="272">IF(AA341="","",SUM(BG341,R341:Y341))</f>
        <v>8880</v>
      </c>
      <c r="AA341" s="185" t="str">
        <f t="shared" ref="AA341:AA360" ca="1" si="273">IF(COUNTIF(AB341:AO341,FALSE)&gt;0,"",AP341)</f>
        <v>Offererad produktnr. 01Advania Sverige AB</v>
      </c>
      <c r="AB341" s="185"/>
      <c r="AC341" s="185" t="b">
        <f ca="1">IFERROR(IF(D345="",TRUE,
IF(OR(D345=$CB$12,D345=$CB$13),IF(LEFT(AS341,FIND(" ",AS341)-1)=D345,TRUE,FALSE),
IF(OFFSET(Processor!$AB$1,MATCH($AS341,Processor!$AA$2:$AA$23,0),MATCH(LEFT(D345,FIND(" ",D345)-1),Processor!$AC$1:$AG$1,0))&gt;=
OFFSET(Processor!$AB$1,MATCH(D345,Processor!$AA$2:$AA$23,0),MATCH(LEFT(D345,FIND(" ",D345)-1),Processor!$AC$1:$AG$1,0)),TRUE,FALSE))),FALSE)</f>
        <v>1</v>
      </c>
      <c r="AD341" s="185" t="b">
        <f t="shared" ref="AD341:AD360" si="274">IF($D$346="",TRUE,IF(AT341&gt;=$D$346,TRUE,FALSE))</f>
        <v>1</v>
      </c>
      <c r="AE341" s="185" t="b">
        <f t="shared" ref="AE341:AE360" si="275">IF($D$347="",TRUE,IF(AU341&gt;=$D$347,TRUE,FALSE))</f>
        <v>1</v>
      </c>
      <c r="AF341" s="185" t="b">
        <f>IF($D$343="",TRUE,IF(COUNTIF(Processor!$I$2:$I$9,$D$343)&gt;0,AND(AV341&gt;INDEX(Processor!$J$2:$J$9,MATCH($D$343,Processor!$I$2:$I$9,0)),AV341&lt;INDEX(Processor!$K$2:$K$9,MATCH($D$343,Processor!$I$2:$I$9,0))),IF(AV341=$D$343,TRUE,FALSE)))</f>
        <v>1</v>
      </c>
      <c r="AG341" s="185" t="b">
        <f t="shared" ref="AG341:AG360" si="276">IF($D$348="",TRUE,IF(AW341&gt;=$D$348,TRUE,FALSE))</f>
        <v>1</v>
      </c>
      <c r="AH341" s="185" t="b">
        <f t="shared" ref="AH341:AH360" si="277">IF($D$349="",TRUE,IF(AX341&gt;=$D$349,TRUE,FALSE))</f>
        <v>1</v>
      </c>
      <c r="AI341" s="185" t="b">
        <f t="shared" ref="AI341:AI360" si="278">IF($D$350="",TRUE,IF(AY341=$D$350,TRUE,FALSE))</f>
        <v>1</v>
      </c>
      <c r="AJ341" s="185" t="b">
        <f t="shared" ref="AJ341:AJ360" si="279">IF($D$351="",TRUE,IF($D$351="802.11a/b/g/n/ac",TRUE,IF(AZ341&gt;=$D$351,TRUE,FALSE)))</f>
        <v>1</v>
      </c>
      <c r="AK341" s="185" t="b">
        <f t="shared" ref="AK341:AK360" si="280">IF($D$352="",TRUE,IF(BA341&gt;=$D$352,TRUE,FALSE))</f>
        <v>1</v>
      </c>
      <c r="AL341" s="185" t="b">
        <f>IFERROR(IF($D354="",TRUE,IF(MID(BC341,LEN(BC341)-2,1)*1&gt;=MID($D354,LEN($D354)-2,1)*1,TRUE,FALSE)),FALSE)</f>
        <v>1</v>
      </c>
      <c r="AM341" s="185" t="b">
        <f>IF(D353="",TRUE,IF(BB341&gt;=D353,TRUE,FALSE))</f>
        <v>1</v>
      </c>
      <c r="AN341" s="185"/>
      <c r="AO341" s="185"/>
      <c r="AP341" s="185" t="s">
        <v>198</v>
      </c>
      <c r="AQ341" s="185">
        <v>1</v>
      </c>
      <c r="AR341" s="185" t="str">
        <f t="shared" ref="AR341:BA350" ca="1" si="281">IFERROR(INDEX(INDIRECT(AR$336&amp;"!$A$10:CC100000"),MATCH($AP341,INDIRECT(AR$336&amp;"!BH$10:BH100000"),0),MATCH(AR$338,INDIRECT(AR$336&amp;"!a10:CC10"),0)),"False")</f>
        <v>1920x1080</v>
      </c>
      <c r="AS341" s="185" t="str">
        <f t="shared" ca="1" si="281"/>
        <v>AMD Ryzen 5</v>
      </c>
      <c r="AT341" s="185">
        <f t="shared" ca="1" si="281"/>
        <v>16</v>
      </c>
      <c r="AU341" s="185">
        <f t="shared" ca="1" si="281"/>
        <v>256</v>
      </c>
      <c r="AV341" s="185">
        <f t="shared" ca="1" si="281"/>
        <v>14</v>
      </c>
      <c r="AW341" s="185">
        <f t="shared" ca="1" si="281"/>
        <v>4</v>
      </c>
      <c r="AX341" s="185">
        <f t="shared" ca="1" si="281"/>
        <v>1</v>
      </c>
      <c r="AY341" s="185" t="str">
        <f t="shared" ca="1" si="281"/>
        <v>Ja, HDMI-port finns</v>
      </c>
      <c r="AZ341" s="185" t="str">
        <f t="shared" ca="1" si="281"/>
        <v>802.11a/b/g/n/ac/ax</v>
      </c>
      <c r="BA341" s="185">
        <f t="shared" ca="1" si="281"/>
        <v>5.3</v>
      </c>
      <c r="BB341" s="185">
        <f t="shared" ref="BB341:BK350" ca="1" si="282">IFERROR(INDEX(INDIRECT(BB$336&amp;"!$A$10:CC100000"),MATCH($AP341,INDIRECT(BB$336&amp;"!BH$10:BH100000"),0),MATCH(BB$338,INDIRECT(BB$336&amp;"!a10:CC10"),0)),"False")</f>
        <v>11</v>
      </c>
      <c r="BC341" s="185" t="str">
        <f t="shared" ca="1" si="282"/>
        <v>Version 8.0</v>
      </c>
      <c r="BD341" s="185" t="str">
        <f t="shared" ca="1" si="282"/>
        <v>Ja</v>
      </c>
      <c r="BE341" s="185" t="str">
        <f t="shared" ca="1" si="282"/>
        <v>Windows 11 Pro</v>
      </c>
      <c r="BF341" s="185" t="str">
        <f t="shared" ca="1" si="282"/>
        <v>ProBook 445 G10</v>
      </c>
      <c r="BG341" s="185">
        <f t="shared" ca="1" si="282"/>
        <v>8880</v>
      </c>
      <c r="BH341" s="192">
        <f t="shared" ca="1" si="282"/>
        <v>60</v>
      </c>
      <c r="BI341" s="192">
        <f t="shared" ca="1" si="282"/>
        <v>218</v>
      </c>
      <c r="BJ341" s="192">
        <f t="shared" ca="1" si="282"/>
        <v>251</v>
      </c>
      <c r="BK341" s="192">
        <f t="shared" ca="1" si="282"/>
        <v>1462</v>
      </c>
      <c r="BL341" s="192">
        <f t="shared" ref="BL341:BW350" ca="1" si="283">IFERROR(INDEX(INDIRECT(BL$336&amp;"!$A$10:CC100000"),MATCH($AP341,INDIRECT(BL$336&amp;"!BH$10:BH100000"),0),MATCH(BL$338,INDIRECT(BL$336&amp;"!a10:CC10"),0)),"False")</f>
        <v>226</v>
      </c>
      <c r="BM341" s="192">
        <f t="shared" ca="1" si="283"/>
        <v>112</v>
      </c>
      <c r="BN341" s="192">
        <f t="shared" ca="1" si="283"/>
        <v>50</v>
      </c>
      <c r="BO341" s="192">
        <f t="shared" ca="1" si="283"/>
        <v>50</v>
      </c>
      <c r="BP341" s="192" t="str">
        <f t="shared" ca="1" si="283"/>
        <v>V7</v>
      </c>
      <c r="BQ341" s="192" t="str">
        <f t="shared" ca="1" si="283"/>
        <v>PORT Designs</v>
      </c>
      <c r="BR341" s="192" t="str">
        <f t="shared" ca="1" si="283"/>
        <v>CoreParts</v>
      </c>
      <c r="BS341" s="192" t="str">
        <f t="shared" ca="1" si="283"/>
        <v>HP</v>
      </c>
      <c r="BT341" s="192" t="str">
        <f t="shared" ca="1" si="283"/>
        <v xml:space="preserve"> CSE14-BLK-3E  -Fodral för bärbar dator - 14" - svart</v>
      </c>
      <c r="BU341" s="192" t="str">
        <f t="shared" ca="1" si="283"/>
        <v>900003 - Professional - filter för personlig integritet - 14"</v>
      </c>
      <c r="BV341" s="192" t="str">
        <f t="shared" ca="1" si="283"/>
        <v>MBXUSBC-AC0005 - USB-C - strömadapter 45 Watt</v>
      </c>
      <c r="BW341" s="192" t="str">
        <f t="shared" ca="1" si="283"/>
        <v>72C71AA#ABB - Essential - dockningsstation</v>
      </c>
      <c r="BX341" s="192"/>
      <c r="BY341" s="192" t="str">
        <f t="shared" ref="BY341:BZ360" ca="1" si="284">IFERROR(INDEX(INDIRECT(BY$336&amp;"!$A$10:CC100000"),MATCH($AP341,INDIRECT(BY$336&amp;"!BH$10:BH100000"),0),MATCH(BY$338,INDIRECT(BY$336&amp;"!a10:CC10"),0)),"False")</f>
        <v>Advania Sverige AB</v>
      </c>
      <c r="BZ341" s="192" t="str">
        <f t="shared" ca="1" si="284"/>
        <v>HP</v>
      </c>
      <c r="CA341" s="185" t="s">
        <v>71</v>
      </c>
      <c r="CB341" s="185" t="s">
        <v>687</v>
      </c>
      <c r="CC341" s="185">
        <v>8</v>
      </c>
      <c r="CD341" s="185">
        <v>256</v>
      </c>
      <c r="CE341" s="185">
        <v>14</v>
      </c>
      <c r="CF341" s="185">
        <v>3</v>
      </c>
      <c r="CG341" s="185">
        <v>1</v>
      </c>
      <c r="CH341" s="185" t="s">
        <v>84</v>
      </c>
      <c r="CI341" s="185" t="s">
        <v>86</v>
      </c>
      <c r="CJ341" s="186">
        <v>5.3</v>
      </c>
      <c r="CK341" s="185">
        <v>11</v>
      </c>
      <c r="CL341" s="185" t="s">
        <v>686</v>
      </c>
      <c r="CM341" s="185" t="s">
        <v>69</v>
      </c>
      <c r="CN341" s="185" t="s">
        <v>567</v>
      </c>
    </row>
    <row r="342" spans="2:92" ht="22.5" customHeight="1" outlineLevel="1" x14ac:dyDescent="0.35">
      <c r="C342" s="61" t="s">
        <v>3</v>
      </c>
      <c r="D342" s="64"/>
      <c r="F342" s="80" t="str">
        <f t="shared" ref="F342:F355" si="285">IF(F$339="Inget antal angivet","",IFERROR(INDEX($AR$340:$BZ$367,MATCH(F$336,$AP$340:$AP$367,0),MATCH($C342,$AR$340:$BZ$340,0)),""))</f>
        <v/>
      </c>
      <c r="G342" s="81" t="str">
        <f t="shared" ref="G342:I355" ca="1" si="286">IFERROR(INDEX($AR$340:$BZ$367,MATCH(G$336,$AP$340:$AP$367,0),MATCH($C342,$AR$340:$BZ$340,0)),"")</f>
        <v>Windows 10 Pro</v>
      </c>
      <c r="H342" s="81" t="str">
        <f t="shared" ca="1" si="286"/>
        <v>Windows 11 Pro</v>
      </c>
      <c r="I342" s="120" t="str">
        <f t="shared" ca="1" si="286"/>
        <v>Windows 10 Pro</v>
      </c>
      <c r="J342" s="62"/>
      <c r="K342" s="196">
        <f t="shared" ca="1" si="260"/>
        <v>0</v>
      </c>
      <c r="L342" s="185" t="b">
        <f t="shared" si="261"/>
        <v>1</v>
      </c>
      <c r="M342" s="185" t="s">
        <v>150</v>
      </c>
      <c r="N342" s="185" t="str">
        <f t="shared" ca="1" si="262"/>
        <v>Offererad produktnr. 01Atea Sverige AB</v>
      </c>
      <c r="O342" s="196" cm="1">
        <f t="array" aca="1" ref="O342" ca="1">MIN(IF(($BY$341:$BY$364=M342)*($AQ$341:$AQ$364=$O$338),$Z$341:$Z$364))</f>
        <v>11724</v>
      </c>
      <c r="P342" s="197">
        <f ca="1">SMALL($Z$341:$Z$367,2)</f>
        <v>7599</v>
      </c>
      <c r="Q342" s="185">
        <f t="shared" si="263"/>
        <v>0</v>
      </c>
      <c r="R342" s="185">
        <f t="shared" si="264"/>
        <v>0</v>
      </c>
      <c r="S342" s="185">
        <f t="shared" si="265"/>
        <v>0</v>
      </c>
      <c r="T342" s="185">
        <f t="shared" si="266"/>
        <v>0</v>
      </c>
      <c r="U342" s="185">
        <f t="shared" si="267"/>
        <v>0</v>
      </c>
      <c r="V342" s="185">
        <f t="shared" si="268"/>
        <v>0</v>
      </c>
      <c r="W342" s="185">
        <f t="shared" si="269"/>
        <v>0</v>
      </c>
      <c r="X342" s="185">
        <f t="shared" si="270"/>
        <v>0</v>
      </c>
      <c r="Y342" s="185">
        <f t="shared" si="271"/>
        <v>0</v>
      </c>
      <c r="Z342" s="196">
        <f t="shared" ca="1" si="272"/>
        <v>9324</v>
      </c>
      <c r="AA342" s="185" t="str">
        <f t="shared" ca="1" si="273"/>
        <v>Offererad produktnr. 02Advania Sverige AB</v>
      </c>
      <c r="AB342" s="185"/>
      <c r="AC342" s="185" t="b">
        <f ca="1">IFERROR(IF(D345="",TRUE,
IF(OR(D345=$CB$12,D345=$CB$13),IF(LEFT(AS342,FIND(" ",AS342)-1)=D345,TRUE,FALSE),
IF(OFFSET(Processor!$AB$1,MATCH($AS342,Processor!$AA$2:$AA$23,0),MATCH(LEFT(D345,FIND(" ",D345)-1),Processor!$AC$1:$AG$1,0))&gt;=
OFFSET(Processor!$AB$1,MATCH(D345,Processor!$AA$2:$AA$23,0),MATCH(LEFT(D345,FIND(" ",D345)-1),Processor!$AC$1:$AG$1,0)),TRUE,FALSE))),FALSE)</f>
        <v>1</v>
      </c>
      <c r="AD342" s="185" t="b">
        <f t="shared" si="274"/>
        <v>1</v>
      </c>
      <c r="AE342" s="185" t="b">
        <f t="shared" si="275"/>
        <v>1</v>
      </c>
      <c r="AF342" s="185" t="b">
        <f>IF($D$343="",TRUE,IF(COUNTIF(Processor!$I$2:$I$9,$D$343)&gt;0,AND(AV342&gt;INDEX(Processor!$J$2:$J$9,MATCH($D$343,Processor!$I$2:$I$9,0)),AV342&lt;INDEX(Processor!$K$2:$K$9,MATCH($D$343,Processor!$I$2:$I$9,0))),IF(AV342=$D$343,TRUE,FALSE)))</f>
        <v>1</v>
      </c>
      <c r="AG342" s="185" t="b">
        <f t="shared" si="276"/>
        <v>1</v>
      </c>
      <c r="AH342" s="185" t="b">
        <f t="shared" si="277"/>
        <v>1</v>
      </c>
      <c r="AI342" s="185" t="b">
        <f t="shared" si="278"/>
        <v>1</v>
      </c>
      <c r="AJ342" s="185" t="b">
        <f t="shared" si="279"/>
        <v>1</v>
      </c>
      <c r="AK342" s="185" t="b">
        <f t="shared" si="280"/>
        <v>1</v>
      </c>
      <c r="AL342" s="185" t="b">
        <f>IFERROR(IF($D354="",TRUE,IF(MID(BC342,LEN(BC342)-2,1)*1&gt;=MID($D354,LEN($D354)-2,1)*1,TRUE,FALSE)),FALSE)</f>
        <v>1</v>
      </c>
      <c r="AM342" s="185" t="b">
        <f>IF(D353="",TRUE,IF(BB342&gt;=D353,TRUE,FALSE))</f>
        <v>1</v>
      </c>
      <c r="AN342" s="185"/>
      <c r="AO342" s="185"/>
      <c r="AP342" s="185" t="s">
        <v>199</v>
      </c>
      <c r="AQ342" s="185">
        <v>1</v>
      </c>
      <c r="AR342" s="185" t="str">
        <f t="shared" ca="1" si="281"/>
        <v>1920x1080</v>
      </c>
      <c r="AS342" s="185" t="str">
        <f t="shared" ca="1" si="281"/>
        <v>Intel i5 Gen 12</v>
      </c>
      <c r="AT342" s="185">
        <f t="shared" ca="1" si="281"/>
        <v>16</v>
      </c>
      <c r="AU342" s="185">
        <f t="shared" ca="1" si="281"/>
        <v>256</v>
      </c>
      <c r="AV342" s="185">
        <f t="shared" ca="1" si="281"/>
        <v>14</v>
      </c>
      <c r="AW342" s="185">
        <f t="shared" ca="1" si="281"/>
        <v>4</v>
      </c>
      <c r="AX342" s="185">
        <f t="shared" ca="1" si="281"/>
        <v>1</v>
      </c>
      <c r="AY342" s="185" t="str">
        <f t="shared" ca="1" si="281"/>
        <v>Ja, HDMI-port finns</v>
      </c>
      <c r="AZ342" s="185" t="str">
        <f t="shared" ca="1" si="281"/>
        <v>802.11a/b/g/n/ac</v>
      </c>
      <c r="BA342" s="185">
        <f t="shared" ca="1" si="281"/>
        <v>5.2</v>
      </c>
      <c r="BB342" s="185">
        <f t="shared" ca="1" si="282"/>
        <v>11</v>
      </c>
      <c r="BC342" s="185" t="str">
        <f t="shared" ca="1" si="282"/>
        <v>Version 8.0</v>
      </c>
      <c r="BD342" s="185" t="str">
        <f t="shared" ca="1" si="282"/>
        <v>Ja</v>
      </c>
      <c r="BE342" s="185" t="str">
        <f t="shared" ca="1" si="282"/>
        <v>Windows 11 Pro</v>
      </c>
      <c r="BF342" s="185" t="str">
        <f t="shared" ca="1" si="282"/>
        <v>ProBook 440 G10</v>
      </c>
      <c r="BG342" s="185">
        <f t="shared" ca="1" si="282"/>
        <v>9324</v>
      </c>
      <c r="BH342" s="192">
        <f t="shared" ca="1" si="282"/>
        <v>60</v>
      </c>
      <c r="BI342" s="192">
        <f t="shared" ca="1" si="282"/>
        <v>218</v>
      </c>
      <c r="BJ342" s="192">
        <f t="shared" ca="1" si="282"/>
        <v>251</v>
      </c>
      <c r="BK342" s="192">
        <f t="shared" ca="1" si="282"/>
        <v>1462</v>
      </c>
      <c r="BL342" s="192">
        <f t="shared" ca="1" si="283"/>
        <v>226</v>
      </c>
      <c r="BM342" s="192">
        <f t="shared" ca="1" si="283"/>
        <v>112</v>
      </c>
      <c r="BN342" s="192">
        <f t="shared" ca="1" si="283"/>
        <v>50</v>
      </c>
      <c r="BO342" s="192">
        <f t="shared" ca="1" si="283"/>
        <v>50</v>
      </c>
      <c r="BP342" s="192" t="str">
        <f t="shared" ca="1" si="283"/>
        <v>V7</v>
      </c>
      <c r="BQ342" s="192" t="str">
        <f t="shared" ca="1" si="283"/>
        <v>PORT Designs</v>
      </c>
      <c r="BR342" s="192" t="str">
        <f t="shared" ca="1" si="283"/>
        <v>CoreParts</v>
      </c>
      <c r="BS342" s="192" t="str">
        <f t="shared" ca="1" si="283"/>
        <v>HP</v>
      </c>
      <c r="BT342" s="192" t="str">
        <f t="shared" ca="1" si="283"/>
        <v xml:space="preserve"> CSE14-BLK-3E  -Fodral för bärbar dator - 14" - svart</v>
      </c>
      <c r="BU342" s="192" t="str">
        <f t="shared" ca="1" si="283"/>
        <v>900003 - Professional - filter för personlig integritet - 14"</v>
      </c>
      <c r="BV342" s="192" t="str">
        <f t="shared" ca="1" si="283"/>
        <v>MBXUSBC-AC0005 - USB-C - strömadapter 45 Watt</v>
      </c>
      <c r="BW342" s="192" t="str">
        <f t="shared" ca="1" si="283"/>
        <v>72C71AA#ABB - Essential - dockningsstation</v>
      </c>
      <c r="BX342" s="192"/>
      <c r="BY342" s="192" t="str">
        <f t="shared" ca="1" si="284"/>
        <v>Advania Sverige AB</v>
      </c>
      <c r="BZ342" s="192" t="str">
        <f t="shared" ca="1" si="284"/>
        <v>HP</v>
      </c>
      <c r="CA342" s="185" t="s">
        <v>163</v>
      </c>
      <c r="CB342" s="185" t="s">
        <v>688</v>
      </c>
      <c r="CC342" s="185">
        <v>16</v>
      </c>
      <c r="CD342" s="185">
        <v>512</v>
      </c>
      <c r="CE342" s="185">
        <v>0</v>
      </c>
      <c r="CF342" s="185">
        <v>4</v>
      </c>
      <c r="CG342" s="185">
        <v>2</v>
      </c>
      <c r="CH342" s="185">
        <v>0</v>
      </c>
      <c r="CI342" s="185" t="s">
        <v>79</v>
      </c>
      <c r="CJ342" s="186">
        <v>5.2</v>
      </c>
      <c r="CK342" s="185">
        <v>8</v>
      </c>
      <c r="CL342" s="185" t="s">
        <v>527</v>
      </c>
      <c r="CM342" s="185">
        <v>0</v>
      </c>
      <c r="CN342" s="185" t="s">
        <v>80</v>
      </c>
    </row>
    <row r="343" spans="2:92" ht="22.5" customHeight="1" outlineLevel="1" x14ac:dyDescent="0.35">
      <c r="C343" s="61" t="s">
        <v>7</v>
      </c>
      <c r="D343" s="64"/>
      <c r="F343" s="80" t="str">
        <f t="shared" si="285"/>
        <v/>
      </c>
      <c r="G343" s="81">
        <f t="shared" ca="1" si="286"/>
        <v>14</v>
      </c>
      <c r="H343" s="81">
        <f t="shared" ca="1" si="286"/>
        <v>14</v>
      </c>
      <c r="I343" s="120">
        <f t="shared" ca="1" si="286"/>
        <v>14</v>
      </c>
      <c r="J343" s="62"/>
      <c r="K343" s="196">
        <f t="shared" ca="1" si="260"/>
        <v>0</v>
      </c>
      <c r="L343" s="185" t="b">
        <f t="shared" si="261"/>
        <v>1</v>
      </c>
      <c r="M343" s="185" t="s">
        <v>128</v>
      </c>
      <c r="N343" s="185" t="str">
        <f t="shared" ca="1" si="262"/>
        <v>Offererad produktnr. 01Dustin Sverige AB</v>
      </c>
      <c r="O343" s="196" cm="1">
        <f t="array" aca="1" ref="O343" ca="1">MIN(IF(($BY$341:$BY$364=M343)*($AQ$341:$AQ$364=$O$338),$Z$341:$Z$364))</f>
        <v>7599</v>
      </c>
      <c r="P343" s="197">
        <f ca="1">SMALL($Z$341:$Z$367,3)</f>
        <v>7640</v>
      </c>
      <c r="Q343" s="185">
        <f t="shared" si="263"/>
        <v>0</v>
      </c>
      <c r="R343" s="185">
        <f t="shared" si="264"/>
        <v>0</v>
      </c>
      <c r="S343" s="185">
        <f t="shared" si="265"/>
        <v>0</v>
      </c>
      <c r="T343" s="185">
        <f t="shared" si="266"/>
        <v>0</v>
      </c>
      <c r="U343" s="185">
        <f t="shared" si="267"/>
        <v>0</v>
      </c>
      <c r="V343" s="185">
        <f t="shared" si="268"/>
        <v>0</v>
      </c>
      <c r="W343" s="185">
        <f t="shared" si="269"/>
        <v>0</v>
      </c>
      <c r="X343" s="185">
        <f t="shared" si="270"/>
        <v>0</v>
      </c>
      <c r="Y343" s="185">
        <f t="shared" si="271"/>
        <v>0</v>
      </c>
      <c r="Z343" s="196">
        <f t="shared" ca="1" si="272"/>
        <v>10608</v>
      </c>
      <c r="AA343" s="185" t="str">
        <f t="shared" ca="1" si="273"/>
        <v>Offererad produktnr. 03Advania Sverige AB</v>
      </c>
      <c r="AB343" s="185"/>
      <c r="AC343" s="185" t="b">
        <f ca="1">IFERROR(IF(D345="",TRUE,
IF(OR(D345=$CB$12,D345=$CB$13),IF(LEFT(AS343,FIND(" ",AS343)-1)=D345,TRUE,FALSE),
IF(OFFSET(Processor!$AB$1,MATCH($AS343,Processor!$AA$2:$AA$23,0),MATCH(LEFT(D345,FIND(" ",D345)-1),Processor!$AC$1:$AG$1,0))&gt;=
OFFSET(Processor!$AB$1,MATCH(D345,Processor!$AA$2:$AA$23,0),MATCH(LEFT(D345,FIND(" ",D345)-1),Processor!$AC$1:$AG$1,0)),TRUE,FALSE))),FALSE)</f>
        <v>1</v>
      </c>
      <c r="AD343" s="185" t="b">
        <f t="shared" si="274"/>
        <v>1</v>
      </c>
      <c r="AE343" s="185" t="b">
        <f t="shared" si="275"/>
        <v>1</v>
      </c>
      <c r="AF343" s="185" t="b">
        <f>IF($D$343="",TRUE,IF(COUNTIF(Processor!$I$2:$I$9,$D$343)&gt;0,AND(AV343&gt;INDEX(Processor!$J$2:$J$9,MATCH($D$343,Processor!$I$2:$I$9,0)),AV343&lt;INDEX(Processor!$K$2:$K$9,MATCH($D$343,Processor!$I$2:$I$9,0))),IF(AV343=$D$343,TRUE,FALSE)))</f>
        <v>1</v>
      </c>
      <c r="AG343" s="185" t="b">
        <f t="shared" si="276"/>
        <v>1</v>
      </c>
      <c r="AH343" s="185" t="b">
        <f t="shared" si="277"/>
        <v>1</v>
      </c>
      <c r="AI343" s="185" t="b">
        <f t="shared" si="278"/>
        <v>1</v>
      </c>
      <c r="AJ343" s="185" t="b">
        <f t="shared" si="279"/>
        <v>1</v>
      </c>
      <c r="AK343" s="185" t="b">
        <f t="shared" si="280"/>
        <v>1</v>
      </c>
      <c r="AL343" s="185" t="b">
        <f>IFERROR(IF($D354="",TRUE,IF(MID(BC343,LEN(BC343)-2,1)*1&gt;=MID($D354,LEN($D354)-2,1)*1,TRUE,FALSE)),FALSE)</f>
        <v>1</v>
      </c>
      <c r="AM343" s="185" t="b">
        <f>IF(D353="",TRUE,IF(BB343&gt;=D353,TRUE,FALSE))</f>
        <v>1</v>
      </c>
      <c r="AN343" s="185"/>
      <c r="AO343" s="185"/>
      <c r="AP343" s="185" t="s">
        <v>200</v>
      </c>
      <c r="AQ343" s="185">
        <v>1</v>
      </c>
      <c r="AR343" s="185" t="str">
        <f t="shared" ca="1" si="281"/>
        <v>1920x1080</v>
      </c>
      <c r="AS343" s="185" t="str">
        <f t="shared" ca="1" si="281"/>
        <v>AMD Ryzen 7</v>
      </c>
      <c r="AT343" s="185">
        <f t="shared" ca="1" si="281"/>
        <v>16</v>
      </c>
      <c r="AU343" s="185">
        <f t="shared" ca="1" si="281"/>
        <v>512</v>
      </c>
      <c r="AV343" s="185">
        <f t="shared" ca="1" si="281"/>
        <v>14</v>
      </c>
      <c r="AW343" s="185">
        <f t="shared" ca="1" si="281"/>
        <v>4</v>
      </c>
      <c r="AX343" s="185">
        <f t="shared" ca="1" si="281"/>
        <v>1</v>
      </c>
      <c r="AY343" s="185" t="str">
        <f t="shared" ca="1" si="281"/>
        <v>Ja, HDMI-port finns</v>
      </c>
      <c r="AZ343" s="185" t="str">
        <f t="shared" ca="1" si="281"/>
        <v>802.11a/b/g/n/ac/ax</v>
      </c>
      <c r="BA343" s="185">
        <f t="shared" ca="1" si="281"/>
        <v>5.2</v>
      </c>
      <c r="BB343" s="185">
        <f t="shared" ca="1" si="282"/>
        <v>11</v>
      </c>
      <c r="BC343" s="185" t="str">
        <f t="shared" ca="1" si="282"/>
        <v>Version 8.0</v>
      </c>
      <c r="BD343" s="185" t="str">
        <f t="shared" ca="1" si="282"/>
        <v>Ja</v>
      </c>
      <c r="BE343" s="185" t="str">
        <f t="shared" ca="1" si="282"/>
        <v>Windows 11 Pro</v>
      </c>
      <c r="BF343" s="185" t="str">
        <f t="shared" ca="1" si="282"/>
        <v>HP ProBook 445 G10</v>
      </c>
      <c r="BG343" s="185">
        <f t="shared" ca="1" si="282"/>
        <v>10608</v>
      </c>
      <c r="BH343" s="192">
        <f t="shared" ca="1" si="282"/>
        <v>60</v>
      </c>
      <c r="BI343" s="192">
        <f t="shared" ca="1" si="282"/>
        <v>218</v>
      </c>
      <c r="BJ343" s="192">
        <f t="shared" ca="1" si="282"/>
        <v>251</v>
      </c>
      <c r="BK343" s="192">
        <f t="shared" ca="1" si="282"/>
        <v>1462</v>
      </c>
      <c r="BL343" s="192">
        <f t="shared" ca="1" si="283"/>
        <v>226</v>
      </c>
      <c r="BM343" s="192">
        <f t="shared" ca="1" si="283"/>
        <v>112</v>
      </c>
      <c r="BN343" s="192">
        <f t="shared" ca="1" si="283"/>
        <v>50</v>
      </c>
      <c r="BO343" s="192">
        <f t="shared" ca="1" si="283"/>
        <v>50</v>
      </c>
      <c r="BP343" s="192" t="str">
        <f t="shared" ca="1" si="283"/>
        <v>V7</v>
      </c>
      <c r="BQ343" s="192" t="str">
        <f t="shared" ca="1" si="283"/>
        <v>PORT Designs</v>
      </c>
      <c r="BR343" s="192" t="str">
        <f t="shared" ca="1" si="283"/>
        <v>CoreParts</v>
      </c>
      <c r="BS343" s="192" t="str">
        <f t="shared" ca="1" si="283"/>
        <v>HP</v>
      </c>
      <c r="BT343" s="192" t="str">
        <f t="shared" ca="1" si="283"/>
        <v xml:space="preserve"> CSE14-BLK-3E  -Fodral för bärbar dator - 14" - svart</v>
      </c>
      <c r="BU343" s="192" t="str">
        <f t="shared" ca="1" si="283"/>
        <v>900003 - Professional - filter för personlig integritet - 14"</v>
      </c>
      <c r="BV343" s="192" t="str">
        <f t="shared" ca="1" si="283"/>
        <v>MBXUSBC-AC0005 - USB-C - strömadapter 45 Watt</v>
      </c>
      <c r="BW343" s="192" t="str">
        <f t="shared" ca="1" si="283"/>
        <v>72C71AA#ABB - Essential - dockningsstation</v>
      </c>
      <c r="BX343" s="192"/>
      <c r="BY343" s="192" t="str">
        <f t="shared" ca="1" si="284"/>
        <v>Advania Sverige AB</v>
      </c>
      <c r="BZ343" s="192" t="str">
        <f t="shared" ca="1" si="284"/>
        <v>HP</v>
      </c>
      <c r="CA343" s="185">
        <v>0</v>
      </c>
      <c r="CB343" s="185"/>
      <c r="CC343" s="185">
        <v>32</v>
      </c>
      <c r="CD343" s="185">
        <v>0</v>
      </c>
      <c r="CE343" s="185"/>
      <c r="CF343" s="185">
        <v>2</v>
      </c>
      <c r="CG343" s="185">
        <v>0</v>
      </c>
      <c r="CH343" s="185"/>
      <c r="CI343" s="185">
        <v>0</v>
      </c>
      <c r="CJ343" s="186">
        <v>5</v>
      </c>
      <c r="CK343" s="185">
        <v>0</v>
      </c>
      <c r="CL343" s="185">
        <v>0</v>
      </c>
      <c r="CM343" s="185"/>
      <c r="CN343" s="185">
        <v>0</v>
      </c>
    </row>
    <row r="344" spans="2:92" ht="22.5" customHeight="1" outlineLevel="1" x14ac:dyDescent="0.35">
      <c r="C344" s="61" t="s">
        <v>2</v>
      </c>
      <c r="D344" s="64"/>
      <c r="F344" s="80" t="str">
        <f t="shared" si="285"/>
        <v/>
      </c>
      <c r="G344" s="81" t="str">
        <f t="shared" ca="1" si="286"/>
        <v>1920x1080</v>
      </c>
      <c r="H344" s="81" t="str">
        <f t="shared" ca="1" si="286"/>
        <v>1920x1080</v>
      </c>
      <c r="I344" s="120" t="str">
        <f t="shared" ca="1" si="286"/>
        <v>1920x1080</v>
      </c>
      <c r="J344" s="62"/>
      <c r="K344" s="196">
        <f t="shared" ca="1" si="260"/>
        <v>0</v>
      </c>
      <c r="L344" s="185" t="b">
        <f t="shared" si="261"/>
        <v>1</v>
      </c>
      <c r="M344" s="185" t="s">
        <v>169</v>
      </c>
      <c r="N344" s="185" t="str">
        <f t="shared" ca="1" si="262"/>
        <v>Offererad produktnr. 01Foxway Education AB</v>
      </c>
      <c r="O344" s="196" cm="1">
        <f t="array" aca="1" ref="O344" ca="1">MIN(IF(($BY$341:$BY$364=M344)*($AQ$341:$AQ$364=$O$338),$Z$341:$Z$364))</f>
        <v>8848</v>
      </c>
      <c r="P344" s="197"/>
      <c r="Q344" s="185">
        <f t="shared" si="263"/>
        <v>0</v>
      </c>
      <c r="R344" s="185">
        <f t="shared" si="264"/>
        <v>0</v>
      </c>
      <c r="S344" s="185">
        <f t="shared" si="265"/>
        <v>0</v>
      </c>
      <c r="T344" s="185">
        <f t="shared" si="266"/>
        <v>0</v>
      </c>
      <c r="U344" s="185">
        <f t="shared" si="267"/>
        <v>0</v>
      </c>
      <c r="V344" s="185">
        <f t="shared" si="268"/>
        <v>0</v>
      </c>
      <c r="W344" s="185">
        <f t="shared" si="269"/>
        <v>0</v>
      </c>
      <c r="X344" s="185">
        <f t="shared" si="270"/>
        <v>0</v>
      </c>
      <c r="Y344" s="185">
        <f t="shared" si="271"/>
        <v>0</v>
      </c>
      <c r="Z344" s="196">
        <f t="shared" ca="1" si="272"/>
        <v>11474</v>
      </c>
      <c r="AA344" s="185" t="str">
        <f t="shared" ca="1" si="273"/>
        <v>Offererad produktnr. 04Advania Sverige AB</v>
      </c>
      <c r="AB344" s="185"/>
      <c r="AC344" s="185" t="b">
        <f ca="1">IFERROR(IF(D345="",TRUE,
IF(OR(D345=$CB$12,D345=$CB$13),IF(LEFT(AS344,FIND(" ",AS344)-1)=D345,TRUE,FALSE),
IF(OFFSET(Processor!$AB$1,MATCH($AS344,Processor!$AA$2:$AA$23,0),MATCH(LEFT(D345,FIND(" ",D345)-1),Processor!$AC$1:$AG$1,0))&gt;=
OFFSET(Processor!$AB$1,MATCH(D345,Processor!$AA$2:$AA$23,0),MATCH(LEFT(D345,FIND(" ",D345)-1),Processor!$AC$1:$AG$1,0)),TRUE,FALSE))),FALSE)</f>
        <v>1</v>
      </c>
      <c r="AD344" s="185" t="b">
        <f t="shared" si="274"/>
        <v>1</v>
      </c>
      <c r="AE344" s="185" t="b">
        <f t="shared" si="275"/>
        <v>1</v>
      </c>
      <c r="AF344" s="185" t="b">
        <f>IF($D$343="",TRUE,IF(COUNTIF(Processor!$I$2:$I$9,$D$343)&gt;0,AND(AV344&gt;INDEX(Processor!$J$2:$J$9,MATCH($D$343,Processor!$I$2:$I$9,0)),AV344&lt;INDEX(Processor!$K$2:$K$9,MATCH($D$343,Processor!$I$2:$I$9,0))),IF(AV344=$D$343,TRUE,FALSE)))</f>
        <v>1</v>
      </c>
      <c r="AG344" s="185" t="b">
        <f t="shared" si="276"/>
        <v>1</v>
      </c>
      <c r="AH344" s="185" t="b">
        <f t="shared" si="277"/>
        <v>1</v>
      </c>
      <c r="AI344" s="185" t="b">
        <f t="shared" si="278"/>
        <v>1</v>
      </c>
      <c r="AJ344" s="185" t="b">
        <f t="shared" si="279"/>
        <v>1</v>
      </c>
      <c r="AK344" s="185" t="b">
        <f t="shared" si="280"/>
        <v>1</v>
      </c>
      <c r="AL344" s="185" t="b">
        <f>IFERROR(IF($D354="",TRUE,IF(MID(BC344,LEN(BC344)-2,1)*1&gt;=MID($D354,LEN($D354)-2,1)*1,TRUE,FALSE)),FALSE)</f>
        <v>1</v>
      </c>
      <c r="AM344" s="185" t="b">
        <f>IF(D353="",TRUE,IF(BB344&gt;=D353,TRUE,FALSE))</f>
        <v>1</v>
      </c>
      <c r="AN344" s="185"/>
      <c r="AO344" s="185"/>
      <c r="AP344" s="185" t="s">
        <v>201</v>
      </c>
      <c r="AQ344" s="185">
        <v>1</v>
      </c>
      <c r="AR344" s="185" t="str">
        <f t="shared" ca="1" si="281"/>
        <v>1920x1080</v>
      </c>
      <c r="AS344" s="185" t="str">
        <f t="shared" ca="1" si="281"/>
        <v>Intel i7 Gen 12</v>
      </c>
      <c r="AT344" s="185">
        <f t="shared" ca="1" si="281"/>
        <v>16</v>
      </c>
      <c r="AU344" s="185">
        <f t="shared" ca="1" si="281"/>
        <v>512</v>
      </c>
      <c r="AV344" s="185">
        <f t="shared" ca="1" si="281"/>
        <v>14</v>
      </c>
      <c r="AW344" s="185">
        <f t="shared" ca="1" si="281"/>
        <v>4</v>
      </c>
      <c r="AX344" s="185">
        <f t="shared" ca="1" si="281"/>
        <v>2</v>
      </c>
      <c r="AY344" s="185" t="str">
        <f t="shared" ca="1" si="281"/>
        <v>Ja, HDMI-port finns</v>
      </c>
      <c r="AZ344" s="185" t="str">
        <f t="shared" ca="1" si="281"/>
        <v>802.11a/b/g/n/ac/ax</v>
      </c>
      <c r="BA344" s="185">
        <f t="shared" ca="1" si="281"/>
        <v>5.2</v>
      </c>
      <c r="BB344" s="185">
        <f t="shared" ca="1" si="282"/>
        <v>11</v>
      </c>
      <c r="BC344" s="185" t="str">
        <f t="shared" ca="1" si="282"/>
        <v>Version 8.0</v>
      </c>
      <c r="BD344" s="185" t="str">
        <f t="shared" ca="1" si="282"/>
        <v>Ja</v>
      </c>
      <c r="BE344" s="185" t="str">
        <f t="shared" ca="1" si="282"/>
        <v>Windows 11 Pro</v>
      </c>
      <c r="BF344" s="185" t="str">
        <f t="shared" ca="1" si="282"/>
        <v>ProBook 440 G11</v>
      </c>
      <c r="BG344" s="185">
        <f t="shared" ca="1" si="282"/>
        <v>11474</v>
      </c>
      <c r="BH344" s="192">
        <f t="shared" ca="1" si="282"/>
        <v>60</v>
      </c>
      <c r="BI344" s="192">
        <f t="shared" ca="1" si="282"/>
        <v>218</v>
      </c>
      <c r="BJ344" s="192">
        <f t="shared" ca="1" si="282"/>
        <v>251</v>
      </c>
      <c r="BK344" s="192">
        <f t="shared" ca="1" si="282"/>
        <v>1462</v>
      </c>
      <c r="BL344" s="192">
        <f t="shared" ca="1" si="283"/>
        <v>226</v>
      </c>
      <c r="BM344" s="192">
        <f t="shared" ca="1" si="283"/>
        <v>112</v>
      </c>
      <c r="BN344" s="192">
        <f t="shared" ca="1" si="283"/>
        <v>50</v>
      </c>
      <c r="BO344" s="192">
        <f t="shared" ca="1" si="283"/>
        <v>50</v>
      </c>
      <c r="BP344" s="192" t="str">
        <f t="shared" ca="1" si="283"/>
        <v>V7</v>
      </c>
      <c r="BQ344" s="192" t="str">
        <f t="shared" ca="1" si="283"/>
        <v>DICOTA</v>
      </c>
      <c r="BR344" s="192" t="str">
        <f t="shared" ca="1" si="283"/>
        <v>CoreParts</v>
      </c>
      <c r="BS344" s="192" t="str">
        <f t="shared" ca="1" si="283"/>
        <v>HP</v>
      </c>
      <c r="BT344" s="192" t="str">
        <f t="shared" ca="1" si="283"/>
        <v xml:space="preserve"> CSE14-BLK-3E  -Fodral för bärbar dator - 14" - svart</v>
      </c>
      <c r="BU344" s="192" t="str">
        <f t="shared" ca="1" si="283"/>
        <v>D70513 - Sekretessfilter till bärbar dator - 2-vägs - borttagbar - lim - 14 tum bred - svart</v>
      </c>
      <c r="BV344" s="192" t="str">
        <f t="shared" ca="1" si="283"/>
        <v>MBXUSBC-AC0005 - USB-C - strömadapter 45 Watt</v>
      </c>
      <c r="BW344" s="192" t="str">
        <f t="shared" ca="1" si="283"/>
        <v>72C71AA#ABB - Essential - dockningsstation</v>
      </c>
      <c r="BX344" s="192"/>
      <c r="BY344" s="192" t="str">
        <f t="shared" ca="1" si="284"/>
        <v>Advania Sverige AB</v>
      </c>
      <c r="BZ344" s="192" t="str">
        <f t="shared" ca="1" si="284"/>
        <v>HP</v>
      </c>
      <c r="CA344" s="185"/>
      <c r="CB344" s="185" t="s">
        <v>65</v>
      </c>
      <c r="CC344" s="185">
        <v>0</v>
      </c>
      <c r="CD344" s="185"/>
      <c r="CE344" s="185"/>
      <c r="CF344" s="185">
        <v>0</v>
      </c>
      <c r="CG344" s="185"/>
      <c r="CH344" s="185"/>
      <c r="CI344" s="185"/>
      <c r="CJ344" s="186">
        <v>0</v>
      </c>
      <c r="CK344" s="185"/>
      <c r="CL344" s="185"/>
      <c r="CM344" s="185"/>
      <c r="CN344" s="185"/>
    </row>
    <row r="345" spans="2:92" ht="22.5" customHeight="1" outlineLevel="1" x14ac:dyDescent="0.35">
      <c r="C345" s="61" t="s">
        <v>4</v>
      </c>
      <c r="D345" s="64"/>
      <c r="F345" s="80" t="str">
        <f t="shared" si="285"/>
        <v/>
      </c>
      <c r="G345" s="81" t="str">
        <f t="shared" ca="1" si="286"/>
        <v>AMD Ryzen 5</v>
      </c>
      <c r="H345" s="81" t="str">
        <f t="shared" ca="1" si="286"/>
        <v>AMD Ryzen 5</v>
      </c>
      <c r="I345" s="120" t="str">
        <f t="shared" ca="1" si="286"/>
        <v>AMD Ryzen 7</v>
      </c>
      <c r="J345" s="62"/>
      <c r="K345" s="196">
        <f t="shared" ca="1" si="260"/>
        <v>0</v>
      </c>
      <c r="L345" s="185" t="b">
        <f t="shared" si="261"/>
        <v>1</v>
      </c>
      <c r="M345" s="185" t="s">
        <v>167</v>
      </c>
      <c r="N345" s="185" t="e">
        <f t="shared" ca="1" si="262"/>
        <v>#N/A</v>
      </c>
      <c r="O345" s="196" cm="1">
        <f t="array" aca="1" ref="O345" ca="1">MIN(IF(($BY$341:$BY$364=M345)*($AQ$341:$AQ$364=$O$338),$Z$341:$Z$364))</f>
        <v>0</v>
      </c>
      <c r="P345" s="197"/>
      <c r="Q345" s="185">
        <f t="shared" si="263"/>
        <v>0</v>
      </c>
      <c r="R345" s="185">
        <f t="shared" si="264"/>
        <v>0</v>
      </c>
      <c r="S345" s="185">
        <f t="shared" si="265"/>
        <v>0</v>
      </c>
      <c r="T345" s="185">
        <f t="shared" si="266"/>
        <v>0</v>
      </c>
      <c r="U345" s="185">
        <f t="shared" si="267"/>
        <v>0</v>
      </c>
      <c r="V345" s="185">
        <f t="shared" si="268"/>
        <v>0</v>
      </c>
      <c r="W345" s="185">
        <f t="shared" si="269"/>
        <v>0</v>
      </c>
      <c r="X345" s="185">
        <f t="shared" si="270"/>
        <v>0</v>
      </c>
      <c r="Y345" s="185">
        <f t="shared" si="271"/>
        <v>0</v>
      </c>
      <c r="Z345" s="196">
        <f t="shared" ca="1" si="272"/>
        <v>11724</v>
      </c>
      <c r="AA345" s="185" t="str">
        <f t="shared" ca="1" si="273"/>
        <v>Offererad produktnr. 01Atea Sverige AB</v>
      </c>
      <c r="AB345" s="185"/>
      <c r="AC345" s="185" t="b">
        <f ca="1">IFERROR(IF(D345="",TRUE,
IF(OR(D345=$CB$12,D345=$CB$13),IF(LEFT(AS345,FIND(" ",AS345)-1)=D345,TRUE,FALSE),
IF(OFFSET(Processor!$AB$1,MATCH($AS345,Processor!$AA$2:$AA$23,0),MATCH(LEFT(D345,FIND(" ",D345)-1),Processor!$AC$1:$AG$1,0))&gt;=
OFFSET(Processor!$AB$1,MATCH(D345,Processor!$AA$2:$AA$23,0),MATCH(LEFT(D345,FIND(" ",D345)-1),Processor!$AC$1:$AG$1,0)),TRUE,FALSE))),FALSE)</f>
        <v>1</v>
      </c>
      <c r="AD345" s="185" t="b">
        <f t="shared" si="274"/>
        <v>1</v>
      </c>
      <c r="AE345" s="185" t="b">
        <f t="shared" si="275"/>
        <v>1</v>
      </c>
      <c r="AF345" s="185" t="b">
        <f>IF($D$343="",TRUE,IF(COUNTIF(Processor!$I$2:$I$9,$D$343)&gt;0,AND(AV345&gt;INDEX(Processor!$J$2:$J$9,MATCH($D$343,Processor!$I$2:$I$9,0)),AV345&lt;INDEX(Processor!$K$2:$K$9,MATCH($D$343,Processor!$I$2:$I$9,0))),IF(AV345=$D$343,TRUE,FALSE)))</f>
        <v>1</v>
      </c>
      <c r="AG345" s="185" t="b">
        <f t="shared" si="276"/>
        <v>1</v>
      </c>
      <c r="AH345" s="185" t="b">
        <f t="shared" si="277"/>
        <v>1</v>
      </c>
      <c r="AI345" s="185" t="b">
        <f t="shared" si="278"/>
        <v>1</v>
      </c>
      <c r="AJ345" s="185" t="b">
        <f t="shared" si="279"/>
        <v>1</v>
      </c>
      <c r="AK345" s="185" t="b">
        <f t="shared" si="280"/>
        <v>1</v>
      </c>
      <c r="AL345" s="185" t="b">
        <f>IFERROR(IF($D354="",TRUE,IF(MID(BC345,LEN(BC345)-2,1)*1&gt;=MID($D354,LEN($D354)-2,1)*1,TRUE,FALSE)),FALSE)</f>
        <v>1</v>
      </c>
      <c r="AM345" s="185" t="b">
        <f>IF(D353="",TRUE,IF(BB345&gt;=D353,TRUE,FALSE))</f>
        <v>1</v>
      </c>
      <c r="AN345" s="185"/>
      <c r="AO345" s="185"/>
      <c r="AP345" s="185" t="s">
        <v>186</v>
      </c>
      <c r="AQ345" s="185">
        <v>1</v>
      </c>
      <c r="AR345" s="185" t="str">
        <f t="shared" ca="1" si="281"/>
        <v>1920x1080</v>
      </c>
      <c r="AS345" s="185" t="str">
        <f t="shared" ca="1" si="281"/>
        <v>Intel i5 Gen 13</v>
      </c>
      <c r="AT345" s="185">
        <f t="shared" ca="1" si="281"/>
        <v>16</v>
      </c>
      <c r="AU345" s="185">
        <f t="shared" ca="1" si="281"/>
        <v>256</v>
      </c>
      <c r="AV345" s="185">
        <f t="shared" ca="1" si="281"/>
        <v>14</v>
      </c>
      <c r="AW345" s="185">
        <f t="shared" ca="1" si="281"/>
        <v>4</v>
      </c>
      <c r="AX345" s="185">
        <f t="shared" ca="1" si="281"/>
        <v>2</v>
      </c>
      <c r="AY345" s="185" t="str">
        <f t="shared" ca="1" si="281"/>
        <v>Ja, HDMI-port finns</v>
      </c>
      <c r="AZ345" s="185" t="str">
        <f t="shared" ca="1" si="281"/>
        <v>802.11a/b/g/n/ac/ax</v>
      </c>
      <c r="BA345" s="185">
        <f t="shared" ca="1" si="281"/>
        <v>5.2</v>
      </c>
      <c r="BB345" s="185">
        <f t="shared" ca="1" si="282"/>
        <v>8</v>
      </c>
      <c r="BC345" s="185" t="str">
        <f t="shared" ca="1" si="282"/>
        <v>Version 8.0</v>
      </c>
      <c r="BD345" s="185" t="str">
        <f t="shared" ca="1" si="282"/>
        <v>Ja</v>
      </c>
      <c r="BE345" s="185" t="str">
        <f t="shared" ca="1" si="282"/>
        <v>Windows 11 Pro</v>
      </c>
      <c r="BF345" s="185" t="str">
        <f t="shared" ca="1" si="282"/>
        <v>Elitebook 640 G10</v>
      </c>
      <c r="BG345" s="185">
        <f t="shared" ca="1" si="282"/>
        <v>11724</v>
      </c>
      <c r="BH345" s="192">
        <f t="shared" ca="1" si="282"/>
        <v>134</v>
      </c>
      <c r="BI345" s="192">
        <f t="shared" ca="1" si="282"/>
        <v>449</v>
      </c>
      <c r="BJ345" s="192">
        <f t="shared" ca="1" si="282"/>
        <v>241</v>
      </c>
      <c r="BK345" s="192">
        <f t="shared" ca="1" si="282"/>
        <v>1788</v>
      </c>
      <c r="BL345" s="192">
        <f t="shared" ca="1" si="283"/>
        <v>706</v>
      </c>
      <c r="BM345" s="192">
        <f t="shared" ca="1" si="283"/>
        <v>120</v>
      </c>
      <c r="BN345" s="192">
        <f t="shared" ca="1" si="283"/>
        <v>85</v>
      </c>
      <c r="BO345" s="192">
        <f t="shared" ca="1" si="283"/>
        <v>100</v>
      </c>
      <c r="BP345" s="192" t="str">
        <f t="shared" ca="1" si="283"/>
        <v>DELTACO</v>
      </c>
      <c r="BQ345" s="192" t="str">
        <f t="shared" ca="1" si="283"/>
        <v>Targus</v>
      </c>
      <c r="BR345" s="192" t="str">
        <f t="shared" ca="1" si="283"/>
        <v>HP</v>
      </c>
      <c r="BS345" s="192" t="str">
        <f t="shared" ca="1" si="283"/>
        <v>HP</v>
      </c>
      <c r="BT345" s="192" t="str">
        <f t="shared" ca="1" si="283"/>
        <v>Fodral för bärbar dator</v>
      </c>
      <c r="BU345" s="192" t="str">
        <f t="shared" ca="1" si="283"/>
        <v>Targus Privacy Screen 14" Widescreen</v>
      </c>
      <c r="BV345" s="192" t="str">
        <f t="shared" ca="1" si="283"/>
        <v>HP 65W Smart AC Adapter</v>
      </c>
      <c r="BW345" s="192" t="str">
        <f t="shared" ca="1" si="283"/>
        <v>HP USB-C Dock G5 Essential</v>
      </c>
      <c r="BX345" s="192"/>
      <c r="BY345" s="192" t="str">
        <f t="shared" ca="1" si="284"/>
        <v>Atea Sverige AB</v>
      </c>
      <c r="BZ345" s="192" t="str">
        <f t="shared" ca="1" si="284"/>
        <v>HP</v>
      </c>
      <c r="CA345" s="185"/>
      <c r="CB345" s="185" t="s">
        <v>66</v>
      </c>
      <c r="CC345" s="185"/>
      <c r="CD345" s="185"/>
      <c r="CE345" s="185"/>
      <c r="CF345" s="185"/>
      <c r="CG345" s="185"/>
      <c r="CH345" s="185"/>
      <c r="CI345" s="185"/>
      <c r="CJ345" s="185"/>
      <c r="CK345" s="185"/>
      <c r="CL345" s="185"/>
      <c r="CM345" s="185"/>
      <c r="CN345" s="185"/>
    </row>
    <row r="346" spans="2:92" ht="22.5" customHeight="1" outlineLevel="1" x14ac:dyDescent="0.35">
      <c r="C346" s="61" t="s">
        <v>119</v>
      </c>
      <c r="D346" s="64"/>
      <c r="F346" s="80" t="str">
        <f t="shared" si="285"/>
        <v/>
      </c>
      <c r="G346" s="81">
        <f t="shared" ca="1" si="286"/>
        <v>8</v>
      </c>
      <c r="H346" s="81">
        <f t="shared" ca="1" si="286"/>
        <v>8</v>
      </c>
      <c r="I346" s="120">
        <f t="shared" ca="1" si="286"/>
        <v>16</v>
      </c>
      <c r="J346" s="62"/>
      <c r="K346" s="196">
        <f t="shared" ca="1" si="260"/>
        <v>0</v>
      </c>
      <c r="L346" s="185" t="b">
        <f t="shared" si="261"/>
        <v>1</v>
      </c>
      <c r="M346" s="185" t="s">
        <v>546</v>
      </c>
      <c r="N346" s="185" t="str">
        <f t="shared" ca="1" si="262"/>
        <v>Offererad produktnr. 01Qlosr Göteborg AB</v>
      </c>
      <c r="O346" s="196" cm="1">
        <f t="array" aca="1" ref="O346" ca="1">MIN(IF(($BY$341:$BY$364=M346)*($AQ$341:$AQ$364=$O$338),$Z$341:$Z$364))</f>
        <v>6420</v>
      </c>
      <c r="P346" s="197"/>
      <c r="Q346" s="185">
        <f t="shared" si="263"/>
        <v>0</v>
      </c>
      <c r="R346" s="185">
        <f t="shared" si="264"/>
        <v>0</v>
      </c>
      <c r="S346" s="185">
        <f t="shared" si="265"/>
        <v>0</v>
      </c>
      <c r="T346" s="185">
        <f t="shared" si="266"/>
        <v>0</v>
      </c>
      <c r="U346" s="185">
        <f t="shared" si="267"/>
        <v>0</v>
      </c>
      <c r="V346" s="185">
        <f t="shared" si="268"/>
        <v>0</v>
      </c>
      <c r="W346" s="185">
        <f t="shared" si="269"/>
        <v>0</v>
      </c>
      <c r="X346" s="185">
        <f t="shared" si="270"/>
        <v>0</v>
      </c>
      <c r="Y346" s="185">
        <f t="shared" si="271"/>
        <v>0</v>
      </c>
      <c r="Z346" s="196">
        <f t="shared" ca="1" si="272"/>
        <v>14238</v>
      </c>
      <c r="AA346" s="185" t="str">
        <f t="shared" ca="1" si="273"/>
        <v>Offererad produktnr. 02Atea Sverige AB</v>
      </c>
      <c r="AB346" s="185"/>
      <c r="AC346" s="185" t="b">
        <f ca="1">IFERROR(IF(D345="",TRUE,
IF(OR(D345=$CB$12,D345=$CB$13),IF(LEFT(AS346,FIND(" ",AS346)-1)=D345,TRUE,FALSE),
IF(OFFSET(Processor!$AB$1,MATCH($AS346,Processor!$AA$2:$AA$23,0),MATCH(LEFT(D345,FIND(" ",D345)-1),Processor!$AC$1:$AG$1,0))&gt;=
OFFSET(Processor!$AB$1,MATCH(D345,Processor!$AA$2:$AA$23,0),MATCH(LEFT(D345,FIND(" ",D345)-1),Processor!$AC$1:$AG$1,0)),TRUE,FALSE))),FALSE)</f>
        <v>1</v>
      </c>
      <c r="AD346" s="185" t="b">
        <f t="shared" si="274"/>
        <v>1</v>
      </c>
      <c r="AE346" s="185" t="b">
        <f t="shared" si="275"/>
        <v>1</v>
      </c>
      <c r="AF346" s="185" t="b">
        <f>IF($D$343="",TRUE,IF(COUNTIF(Processor!$I$2:$I$9,$D$343)&gt;0,AND(AV346&gt;INDEX(Processor!$J$2:$J$9,MATCH($D$343,Processor!$I$2:$I$9,0)),AV346&lt;INDEX(Processor!$K$2:$K$9,MATCH($D$343,Processor!$I$2:$I$9,0))),IF(AV346=$D$343,TRUE,FALSE)))</f>
        <v>1</v>
      </c>
      <c r="AG346" s="185" t="b">
        <f t="shared" si="276"/>
        <v>1</v>
      </c>
      <c r="AH346" s="185" t="b">
        <f t="shared" si="277"/>
        <v>1</v>
      </c>
      <c r="AI346" s="185" t="b">
        <f t="shared" si="278"/>
        <v>1</v>
      </c>
      <c r="AJ346" s="185" t="b">
        <f t="shared" si="279"/>
        <v>1</v>
      </c>
      <c r="AK346" s="185" t="b">
        <f t="shared" si="280"/>
        <v>1</v>
      </c>
      <c r="AL346" s="185" t="b">
        <f>IFERROR(IF($D354="",TRUE,IF(MID(BC346,LEN(BC346)-2,1)*1&gt;=MID($D354,LEN($D354)-2,1)*1,TRUE,FALSE)),FALSE)</f>
        <v>1</v>
      </c>
      <c r="AM346" s="185" t="b">
        <f>IF(D353="",TRUE,IF(BB346&gt;=D353,TRUE,FALSE))</f>
        <v>1</v>
      </c>
      <c r="AN346" s="185"/>
      <c r="AO346" s="185"/>
      <c r="AP346" s="185" t="s">
        <v>187</v>
      </c>
      <c r="AQ346" s="185">
        <v>1</v>
      </c>
      <c r="AR346" s="185" t="str">
        <f t="shared" ca="1" si="281"/>
        <v>1920x1200</v>
      </c>
      <c r="AS346" s="185" t="str">
        <f t="shared" ca="1" si="281"/>
        <v>Intel i5 Gen 13</v>
      </c>
      <c r="AT346" s="185">
        <f t="shared" ca="1" si="281"/>
        <v>16</v>
      </c>
      <c r="AU346" s="185">
        <f t="shared" ca="1" si="281"/>
        <v>256</v>
      </c>
      <c r="AV346" s="185">
        <f t="shared" ca="1" si="281"/>
        <v>14</v>
      </c>
      <c r="AW346" s="185">
        <f t="shared" ca="1" si="281"/>
        <v>4</v>
      </c>
      <c r="AX346" s="185">
        <f t="shared" ca="1" si="281"/>
        <v>2</v>
      </c>
      <c r="AY346" s="185" t="str">
        <f t="shared" ca="1" si="281"/>
        <v>Ja, HDMI-port finns</v>
      </c>
      <c r="AZ346" s="185" t="str">
        <f t="shared" ca="1" si="281"/>
        <v>802.11a/b/g/n/ac/ax</v>
      </c>
      <c r="BA346" s="185">
        <f t="shared" ca="1" si="281"/>
        <v>5.3</v>
      </c>
      <c r="BB346" s="185">
        <f t="shared" ca="1" si="282"/>
        <v>8</v>
      </c>
      <c r="BC346" s="185" t="str">
        <f t="shared" ca="1" si="282"/>
        <v>Version 8.0</v>
      </c>
      <c r="BD346" s="185" t="str">
        <f t="shared" ca="1" si="282"/>
        <v>Ja</v>
      </c>
      <c r="BE346" s="185" t="str">
        <f t="shared" ca="1" si="282"/>
        <v>Windows 11 Pro</v>
      </c>
      <c r="BF346" s="185" t="str">
        <f t="shared" ca="1" si="282"/>
        <v>Elitebook 840 G10</v>
      </c>
      <c r="BG346" s="185">
        <f t="shared" ca="1" si="282"/>
        <v>14238</v>
      </c>
      <c r="BH346" s="192">
        <f t="shared" ca="1" si="282"/>
        <v>134</v>
      </c>
      <c r="BI346" s="192">
        <f t="shared" ca="1" si="282"/>
        <v>449</v>
      </c>
      <c r="BJ346" s="192">
        <f t="shared" ca="1" si="282"/>
        <v>241</v>
      </c>
      <c r="BK346" s="192">
        <f t="shared" ca="1" si="282"/>
        <v>1788</v>
      </c>
      <c r="BL346" s="192">
        <f t="shared" ca="1" si="283"/>
        <v>2039</v>
      </c>
      <c r="BM346" s="192">
        <f t="shared" ca="1" si="283"/>
        <v>120</v>
      </c>
      <c r="BN346" s="192">
        <f t="shared" ca="1" si="283"/>
        <v>85</v>
      </c>
      <c r="BO346" s="192">
        <f t="shared" ca="1" si="283"/>
        <v>100</v>
      </c>
      <c r="BP346" s="192" t="str">
        <f t="shared" ca="1" si="283"/>
        <v>DELTACO</v>
      </c>
      <c r="BQ346" s="192" t="str">
        <f t="shared" ca="1" si="283"/>
        <v>Targus</v>
      </c>
      <c r="BR346" s="192" t="str">
        <f t="shared" ca="1" si="283"/>
        <v>HP</v>
      </c>
      <c r="BS346" s="192" t="str">
        <f t="shared" ca="1" si="283"/>
        <v>HP</v>
      </c>
      <c r="BT346" s="192" t="str">
        <f t="shared" ca="1" si="283"/>
        <v>Fodral för bärbar dator</v>
      </c>
      <c r="BU346" s="192" t="str">
        <f t="shared" ca="1" si="283"/>
        <v>Targus Privacy Screen 14" Widescreen</v>
      </c>
      <c r="BV346" s="192" t="str">
        <f t="shared" ca="1" si="283"/>
        <v>HP 65W Smart AC Adapter</v>
      </c>
      <c r="BW346" s="192" t="str">
        <f t="shared" ca="1" si="283"/>
        <v>HP USB-C Dock G5 Essential</v>
      </c>
      <c r="BX346" s="192"/>
      <c r="BY346" s="192" t="str">
        <f t="shared" ca="1" si="284"/>
        <v>Atea Sverige AB</v>
      </c>
      <c r="BZ346" s="192" t="str">
        <f t="shared" ca="1" si="284"/>
        <v>HP</v>
      </c>
      <c r="CA346" s="185"/>
      <c r="CB346" s="185" t="s">
        <v>63</v>
      </c>
      <c r="CC346" s="185"/>
      <c r="CD346" s="185"/>
      <c r="CE346" s="185"/>
      <c r="CF346" s="185"/>
      <c r="CG346" s="185"/>
      <c r="CH346" s="185"/>
      <c r="CI346" s="185"/>
      <c r="CJ346" s="186"/>
      <c r="CK346" s="185"/>
      <c r="CL346" s="185"/>
      <c r="CM346" s="185"/>
      <c r="CN346" s="185"/>
    </row>
    <row r="347" spans="2:92" ht="22.5" customHeight="1" outlineLevel="1" x14ac:dyDescent="0.35">
      <c r="C347" s="61" t="s">
        <v>16</v>
      </c>
      <c r="D347" s="64"/>
      <c r="F347" s="80" t="str">
        <f t="shared" si="285"/>
        <v/>
      </c>
      <c r="G347" s="81">
        <f t="shared" ca="1" si="286"/>
        <v>256</v>
      </c>
      <c r="H347" s="81">
        <f t="shared" ca="1" si="286"/>
        <v>256</v>
      </c>
      <c r="I347" s="120">
        <f t="shared" ca="1" si="286"/>
        <v>512</v>
      </c>
      <c r="J347" s="62"/>
      <c r="Q347" s="185">
        <f t="shared" si="263"/>
        <v>0</v>
      </c>
      <c r="R347" s="185">
        <f t="shared" si="264"/>
        <v>0</v>
      </c>
      <c r="S347" s="185">
        <f t="shared" si="265"/>
        <v>0</v>
      </c>
      <c r="T347" s="185">
        <f t="shared" si="266"/>
        <v>0</v>
      </c>
      <c r="U347" s="185">
        <f t="shared" si="267"/>
        <v>0</v>
      </c>
      <c r="V347" s="185">
        <f t="shared" si="268"/>
        <v>0</v>
      </c>
      <c r="W347" s="185">
        <f t="shared" si="269"/>
        <v>0</v>
      </c>
      <c r="X347" s="185">
        <f t="shared" si="270"/>
        <v>0</v>
      </c>
      <c r="Y347" s="185">
        <f t="shared" si="271"/>
        <v>0</v>
      </c>
      <c r="Z347" s="196">
        <f t="shared" ca="1" si="272"/>
        <v>13908</v>
      </c>
      <c r="AA347" s="185" t="str">
        <f t="shared" ca="1" si="273"/>
        <v>Offererad produktnr. 03Atea Sverige AB</v>
      </c>
      <c r="AB347" s="185"/>
      <c r="AC347" s="185" t="b">
        <f ca="1">IFERROR(IF(D345="",TRUE,
IF(OR(D345=$CB$12,D345=$CB$13),IF(LEFT(AS347,FIND(" ",AS347)-1)=D345,TRUE,FALSE),
IF(OFFSET(Processor!$AB$1,MATCH($AS347,Processor!$AA$2:$AA$23,0),MATCH(LEFT(D345,FIND(" ",D345)-1),Processor!$AC$1:$AG$1,0))&gt;=
OFFSET(Processor!$AB$1,MATCH(D345,Processor!$AA$2:$AA$23,0),MATCH(LEFT(D345,FIND(" ",D345)-1),Processor!$AC$1:$AG$1,0)),TRUE,FALSE))),FALSE)</f>
        <v>1</v>
      </c>
      <c r="AD347" s="185" t="b">
        <f t="shared" si="274"/>
        <v>1</v>
      </c>
      <c r="AE347" s="185" t="b">
        <f t="shared" si="275"/>
        <v>1</v>
      </c>
      <c r="AF347" s="185" t="b">
        <f>IF($D$343="",TRUE,IF(COUNTIF(Processor!$I$2:$I$9,$D$343)&gt;0,AND(AV347&gt;INDEX(Processor!$J$2:$J$9,MATCH($D$343,Processor!$I$2:$I$9,0)),AV347&lt;INDEX(Processor!$K$2:$K$9,MATCH($D$343,Processor!$I$2:$I$9,0))),IF(AV347=$D$343,TRUE,FALSE)))</f>
        <v>1</v>
      </c>
      <c r="AG347" s="185" t="b">
        <f t="shared" si="276"/>
        <v>1</v>
      </c>
      <c r="AH347" s="185" t="b">
        <f t="shared" si="277"/>
        <v>1</v>
      </c>
      <c r="AI347" s="185" t="b">
        <f t="shared" si="278"/>
        <v>1</v>
      </c>
      <c r="AJ347" s="185" t="b">
        <f t="shared" si="279"/>
        <v>1</v>
      </c>
      <c r="AK347" s="185" t="b">
        <f t="shared" si="280"/>
        <v>1</v>
      </c>
      <c r="AL347" s="185" t="b">
        <f>IFERROR(IF($D354="",TRUE,IF(MID(BC347,LEN(BC347)-2,1)*1&gt;=MID($D354,LEN($D354)-2,1)*1,TRUE,FALSE)),FALSE)</f>
        <v>1</v>
      </c>
      <c r="AM347" s="185" t="b">
        <f>IF(D353="",TRUE,IF(BB347&gt;=D353,TRUE,FALSE))</f>
        <v>1</v>
      </c>
      <c r="AN347" s="185"/>
      <c r="AO347" s="185"/>
      <c r="AP347" s="185" t="s">
        <v>188</v>
      </c>
      <c r="AQ347" s="185">
        <v>1</v>
      </c>
      <c r="AR347" s="185" t="str">
        <f t="shared" ca="1" si="281"/>
        <v>1920x1080</v>
      </c>
      <c r="AS347" s="185" t="str">
        <f t="shared" ca="1" si="281"/>
        <v>Intel i7 Gen 13</v>
      </c>
      <c r="AT347" s="185">
        <f t="shared" ca="1" si="281"/>
        <v>16</v>
      </c>
      <c r="AU347" s="185">
        <f t="shared" ca="1" si="281"/>
        <v>512</v>
      </c>
      <c r="AV347" s="185">
        <f t="shared" ca="1" si="281"/>
        <v>14</v>
      </c>
      <c r="AW347" s="185">
        <f t="shared" ca="1" si="281"/>
        <v>4</v>
      </c>
      <c r="AX347" s="185">
        <f t="shared" ca="1" si="281"/>
        <v>2</v>
      </c>
      <c r="AY347" s="185" t="str">
        <f t="shared" ca="1" si="281"/>
        <v>Ja, HDMI-port finns</v>
      </c>
      <c r="AZ347" s="185" t="str">
        <f t="shared" ca="1" si="281"/>
        <v>802.11a/b/g/n/ac/ax</v>
      </c>
      <c r="BA347" s="185">
        <f t="shared" ca="1" si="281"/>
        <v>5.3</v>
      </c>
      <c r="BB347" s="185">
        <f t="shared" ca="1" si="282"/>
        <v>8</v>
      </c>
      <c r="BC347" s="185" t="str">
        <f t="shared" ca="1" si="282"/>
        <v>Version 8.0</v>
      </c>
      <c r="BD347" s="185" t="str">
        <f t="shared" ca="1" si="282"/>
        <v>Ja</v>
      </c>
      <c r="BE347" s="185" t="str">
        <f t="shared" ca="1" si="282"/>
        <v>Windows 11 Pro</v>
      </c>
      <c r="BF347" s="185" t="str">
        <f t="shared" ca="1" si="282"/>
        <v>Probook 440 G10</v>
      </c>
      <c r="BG347" s="185">
        <f t="shared" ca="1" si="282"/>
        <v>13908</v>
      </c>
      <c r="BH347" s="192">
        <f t="shared" ca="1" si="282"/>
        <v>134</v>
      </c>
      <c r="BI347" s="192">
        <f t="shared" ca="1" si="282"/>
        <v>449</v>
      </c>
      <c r="BJ347" s="192">
        <f t="shared" ca="1" si="282"/>
        <v>241</v>
      </c>
      <c r="BK347" s="192">
        <f t="shared" ca="1" si="282"/>
        <v>1788</v>
      </c>
      <c r="BL347" s="192">
        <f t="shared" ca="1" si="283"/>
        <v>706</v>
      </c>
      <c r="BM347" s="192">
        <f t="shared" ca="1" si="283"/>
        <v>120</v>
      </c>
      <c r="BN347" s="192">
        <f t="shared" ca="1" si="283"/>
        <v>85</v>
      </c>
      <c r="BO347" s="192">
        <f t="shared" ca="1" si="283"/>
        <v>100</v>
      </c>
      <c r="BP347" s="192" t="str">
        <f t="shared" ca="1" si="283"/>
        <v>DELTACO</v>
      </c>
      <c r="BQ347" s="192" t="str">
        <f t="shared" ca="1" si="283"/>
        <v>Targus</v>
      </c>
      <c r="BR347" s="192" t="str">
        <f t="shared" ca="1" si="283"/>
        <v>HP</v>
      </c>
      <c r="BS347" s="192" t="str">
        <f t="shared" ca="1" si="283"/>
        <v>HP</v>
      </c>
      <c r="BT347" s="192" t="str">
        <f t="shared" ca="1" si="283"/>
        <v>Fodral för bärbar dator</v>
      </c>
      <c r="BU347" s="192" t="str">
        <f t="shared" ca="1" si="283"/>
        <v>Targus Privacy Screen 14" Widescreen</v>
      </c>
      <c r="BV347" s="192" t="str">
        <f t="shared" ca="1" si="283"/>
        <v>HP 65W Smart AC Adapter</v>
      </c>
      <c r="BW347" s="192" t="str">
        <f t="shared" ca="1" si="283"/>
        <v>HP USB-C Dock G5 Essential</v>
      </c>
      <c r="BX347" s="192"/>
      <c r="BY347" s="192" t="str">
        <f t="shared" ca="1" si="284"/>
        <v>Atea Sverige AB</v>
      </c>
      <c r="BZ347" s="192" t="str">
        <f t="shared" ca="1" si="284"/>
        <v>HP</v>
      </c>
      <c r="CA347" s="185"/>
      <c r="CB347" s="185" t="s">
        <v>569</v>
      </c>
      <c r="CC347" s="185"/>
      <c r="CD347" s="185"/>
      <c r="CE347" s="185"/>
      <c r="CF347" s="185"/>
      <c r="CG347" s="185"/>
      <c r="CH347" s="185"/>
      <c r="CI347" s="185"/>
      <c r="CJ347" s="185"/>
      <c r="CK347" s="185"/>
      <c r="CL347" s="185"/>
      <c r="CM347" s="185"/>
      <c r="CN347" s="185"/>
    </row>
    <row r="348" spans="2:92" ht="22.5" customHeight="1" outlineLevel="1" x14ac:dyDescent="0.35">
      <c r="C348" s="61" t="s">
        <v>67</v>
      </c>
      <c r="D348" s="64"/>
      <c r="F348" s="80" t="str">
        <f t="shared" si="285"/>
        <v/>
      </c>
      <c r="G348" s="81">
        <f t="shared" ca="1" si="286"/>
        <v>4</v>
      </c>
      <c r="H348" s="81">
        <f t="shared" ca="1" si="286"/>
        <v>3</v>
      </c>
      <c r="I348" s="120">
        <f t="shared" ca="1" si="286"/>
        <v>4</v>
      </c>
      <c r="J348" s="62"/>
      <c r="Q348" s="185">
        <f t="shared" si="263"/>
        <v>0</v>
      </c>
      <c r="R348" s="185">
        <f t="shared" si="264"/>
        <v>0</v>
      </c>
      <c r="S348" s="185">
        <f t="shared" si="265"/>
        <v>0</v>
      </c>
      <c r="T348" s="185">
        <f t="shared" si="266"/>
        <v>0</v>
      </c>
      <c r="U348" s="185">
        <f t="shared" si="267"/>
        <v>0</v>
      </c>
      <c r="V348" s="185">
        <f t="shared" si="268"/>
        <v>0</v>
      </c>
      <c r="W348" s="185">
        <f t="shared" si="269"/>
        <v>0</v>
      </c>
      <c r="X348" s="185">
        <f t="shared" si="270"/>
        <v>0</v>
      </c>
      <c r="Y348" s="185">
        <f t="shared" si="271"/>
        <v>0</v>
      </c>
      <c r="Z348" s="196">
        <f t="shared" ca="1" si="272"/>
        <v>15588</v>
      </c>
      <c r="AA348" s="185" t="str">
        <f t="shared" ca="1" si="273"/>
        <v>Offererad produktnr. 04Atea Sverige AB</v>
      </c>
      <c r="AB348" s="185"/>
      <c r="AC348" s="185" t="b">
        <f ca="1">IFERROR(IF(D345="",TRUE,
IF(OR(D345=$CB$12,D345=$CB$13),IF(LEFT(AS348,FIND(" ",AS348)-1)=D345,TRUE,FALSE),
IF(OFFSET(Processor!$AB$1,MATCH($AS348,Processor!$AA$2:$AA$23,0),MATCH(LEFT(D345,FIND(" ",D345)-1),Processor!$AC$1:$AG$1,0))&gt;=
OFFSET(Processor!$AB$1,MATCH(D345,Processor!$AA$2:$AA$23,0),MATCH(LEFT(D345,FIND(" ",D345)-1),Processor!$AC$1:$AG$1,0)),TRUE,FALSE))),FALSE)</f>
        <v>1</v>
      </c>
      <c r="AD348" s="185" t="b">
        <f t="shared" si="274"/>
        <v>1</v>
      </c>
      <c r="AE348" s="185" t="b">
        <f t="shared" si="275"/>
        <v>1</v>
      </c>
      <c r="AF348" s="185" t="b">
        <f>IF($D$343="",TRUE,IF(COUNTIF(Processor!$I$2:$I$9,$D$343)&gt;0,AND(AV348&gt;INDEX(Processor!$J$2:$J$9,MATCH($D$343,Processor!$I$2:$I$9,0)),AV348&lt;INDEX(Processor!$K$2:$K$9,MATCH($D$343,Processor!$I$2:$I$9,0))),IF(AV348=$D$343,TRUE,FALSE)))</f>
        <v>1</v>
      </c>
      <c r="AG348" s="185" t="b">
        <f t="shared" si="276"/>
        <v>1</v>
      </c>
      <c r="AH348" s="185" t="b">
        <f t="shared" si="277"/>
        <v>1</v>
      </c>
      <c r="AI348" s="185" t="b">
        <f t="shared" si="278"/>
        <v>1</v>
      </c>
      <c r="AJ348" s="185" t="b">
        <f t="shared" si="279"/>
        <v>1</v>
      </c>
      <c r="AK348" s="185" t="b">
        <f t="shared" si="280"/>
        <v>1</v>
      </c>
      <c r="AL348" s="185" t="b">
        <f>IFERROR(IF($D354="",TRUE,IF(MID(BC348,LEN(BC348)-2,1)*1&gt;=MID($D354,LEN($D354)-2,1)*1,TRUE,FALSE)),FALSE)</f>
        <v>1</v>
      </c>
      <c r="AM348" s="185" t="b">
        <f>IF(D353="",TRUE,IF(BB348&gt;=D353,TRUE,FALSE))</f>
        <v>1</v>
      </c>
      <c r="AN348" s="185"/>
      <c r="AO348" s="185"/>
      <c r="AP348" s="185" t="s">
        <v>189</v>
      </c>
      <c r="AQ348" s="185">
        <v>1</v>
      </c>
      <c r="AR348" s="185" t="str">
        <f t="shared" ca="1" si="281"/>
        <v>1920x1080</v>
      </c>
      <c r="AS348" s="185" t="str">
        <f t="shared" ca="1" si="281"/>
        <v>Intel i7 Gen 13</v>
      </c>
      <c r="AT348" s="185">
        <f t="shared" ca="1" si="281"/>
        <v>16</v>
      </c>
      <c r="AU348" s="185">
        <f t="shared" ca="1" si="281"/>
        <v>512</v>
      </c>
      <c r="AV348" s="185">
        <f t="shared" ca="1" si="281"/>
        <v>14</v>
      </c>
      <c r="AW348" s="185">
        <f t="shared" ca="1" si="281"/>
        <v>4</v>
      </c>
      <c r="AX348" s="185">
        <f t="shared" ca="1" si="281"/>
        <v>2</v>
      </c>
      <c r="AY348" s="185" t="str">
        <f t="shared" ca="1" si="281"/>
        <v>Ja, HDMI-port finns</v>
      </c>
      <c r="AZ348" s="185" t="str">
        <f t="shared" ca="1" si="281"/>
        <v>802.11a/b/g/n/ac/ax</v>
      </c>
      <c r="BA348" s="185">
        <f t="shared" ca="1" si="281"/>
        <v>5.2</v>
      </c>
      <c r="BB348" s="185">
        <f t="shared" ca="1" si="282"/>
        <v>8</v>
      </c>
      <c r="BC348" s="185" t="str">
        <f t="shared" ca="1" si="282"/>
        <v>Version 8.0</v>
      </c>
      <c r="BD348" s="185" t="str">
        <f t="shared" ca="1" si="282"/>
        <v>Ja</v>
      </c>
      <c r="BE348" s="185" t="str">
        <f t="shared" ca="1" si="282"/>
        <v>Windows 11 Pro</v>
      </c>
      <c r="BF348" s="185" t="str">
        <f t="shared" ca="1" si="282"/>
        <v>Elitebook 640 G10</v>
      </c>
      <c r="BG348" s="185">
        <f t="shared" ca="1" si="282"/>
        <v>15588</v>
      </c>
      <c r="BH348" s="192">
        <f t="shared" ca="1" si="282"/>
        <v>134</v>
      </c>
      <c r="BI348" s="192">
        <f t="shared" ca="1" si="282"/>
        <v>449</v>
      </c>
      <c r="BJ348" s="192">
        <f t="shared" ca="1" si="282"/>
        <v>241</v>
      </c>
      <c r="BK348" s="192">
        <f t="shared" ca="1" si="282"/>
        <v>1788</v>
      </c>
      <c r="BL348" s="192">
        <f t="shared" ca="1" si="283"/>
        <v>2039</v>
      </c>
      <c r="BM348" s="192">
        <f t="shared" ca="1" si="283"/>
        <v>120</v>
      </c>
      <c r="BN348" s="192">
        <f t="shared" ca="1" si="283"/>
        <v>85</v>
      </c>
      <c r="BO348" s="192">
        <f t="shared" ca="1" si="283"/>
        <v>100</v>
      </c>
      <c r="BP348" s="192" t="str">
        <f t="shared" ca="1" si="283"/>
        <v>DELTACO</v>
      </c>
      <c r="BQ348" s="192" t="str">
        <f t="shared" ca="1" si="283"/>
        <v>Targus</v>
      </c>
      <c r="BR348" s="192" t="str">
        <f t="shared" ca="1" si="283"/>
        <v>HP</v>
      </c>
      <c r="BS348" s="192" t="str">
        <f t="shared" ca="1" si="283"/>
        <v>HP</v>
      </c>
      <c r="BT348" s="192" t="str">
        <f t="shared" ca="1" si="283"/>
        <v>Fodral för bärbar dator</v>
      </c>
      <c r="BU348" s="192" t="str">
        <f t="shared" ca="1" si="283"/>
        <v>Targus Privacy Screen 14" Widescreen</v>
      </c>
      <c r="BV348" s="192" t="str">
        <f t="shared" ca="1" si="283"/>
        <v>HP 65W Smart AC Adapter</v>
      </c>
      <c r="BW348" s="192" t="str">
        <f t="shared" ca="1" si="283"/>
        <v>HP USB-C Dock G5 Essential</v>
      </c>
      <c r="BX348" s="192"/>
      <c r="BY348" s="192" t="str">
        <f t="shared" ca="1" si="284"/>
        <v>Atea Sverige AB</v>
      </c>
      <c r="BZ348" s="192" t="str">
        <f t="shared" ca="1" si="284"/>
        <v>HP</v>
      </c>
      <c r="CA348" s="185"/>
      <c r="CB348" s="185" t="s">
        <v>711</v>
      </c>
      <c r="CC348" s="185"/>
      <c r="CD348" s="185"/>
      <c r="CE348" s="185"/>
      <c r="CF348" s="185"/>
      <c r="CG348" s="185"/>
      <c r="CH348" s="185"/>
      <c r="CI348" s="185"/>
      <c r="CJ348" s="185"/>
      <c r="CK348" s="185"/>
      <c r="CL348" s="185"/>
      <c r="CM348" s="185"/>
      <c r="CN348" s="185"/>
    </row>
    <row r="349" spans="2:92" ht="22.5" customHeight="1" outlineLevel="1" x14ac:dyDescent="0.35">
      <c r="C349" s="61" t="s">
        <v>74</v>
      </c>
      <c r="D349" s="64"/>
      <c r="F349" s="80" t="str">
        <f t="shared" si="285"/>
        <v/>
      </c>
      <c r="G349" s="81">
        <f t="shared" ca="1" si="286"/>
        <v>1</v>
      </c>
      <c r="H349" s="81">
        <f t="shared" ca="1" si="286"/>
        <v>1</v>
      </c>
      <c r="I349" s="120">
        <f t="shared" ca="1" si="286"/>
        <v>1</v>
      </c>
      <c r="J349" s="62"/>
      <c r="Q349" s="185">
        <f t="shared" si="263"/>
        <v>0</v>
      </c>
      <c r="R349" s="185">
        <f t="shared" si="264"/>
        <v>0</v>
      </c>
      <c r="S349" s="185">
        <f t="shared" si="265"/>
        <v>0</v>
      </c>
      <c r="T349" s="185">
        <f t="shared" si="266"/>
        <v>0</v>
      </c>
      <c r="U349" s="185">
        <f t="shared" si="267"/>
        <v>0</v>
      </c>
      <c r="V349" s="185">
        <f t="shared" si="268"/>
        <v>0</v>
      </c>
      <c r="W349" s="185">
        <f t="shared" si="269"/>
        <v>0</v>
      </c>
      <c r="X349" s="185">
        <f t="shared" si="270"/>
        <v>0</v>
      </c>
      <c r="Y349" s="185">
        <f t="shared" si="271"/>
        <v>0</v>
      </c>
      <c r="Z349" s="196">
        <f t="shared" ca="1" si="272"/>
        <v>7599</v>
      </c>
      <c r="AA349" s="185" t="str">
        <f t="shared" ca="1" si="273"/>
        <v>Offererad produktnr. 01Dustin Sverige AB</v>
      </c>
      <c r="AB349" s="185"/>
      <c r="AC349" s="185" t="b">
        <f ca="1">IFERROR(IF(D345="",TRUE,
IF(OR(D345=$CB$12,D345=$CB$13),IF(LEFT(AS349,FIND(" ",AS349)-1)=D345,TRUE,FALSE),
IF(OFFSET(Processor!$AB$1,MATCH($AS349,Processor!$AA$2:$AA$23,0),MATCH(LEFT(D345,FIND(" ",D345)-1),Processor!$AC$1:$AG$1,0))&gt;=
OFFSET(Processor!$AB$1,MATCH(D345,Processor!$AA$2:$AA$23,0),MATCH(LEFT(D345,FIND(" ",D345)-1),Processor!$AC$1:$AG$1,0)),TRUE,FALSE))),FALSE)</f>
        <v>1</v>
      </c>
      <c r="AD349" s="185" t="b">
        <f t="shared" si="274"/>
        <v>1</v>
      </c>
      <c r="AE349" s="185" t="b">
        <f t="shared" si="275"/>
        <v>1</v>
      </c>
      <c r="AF349" s="185" t="b">
        <f>IF($D$343="",TRUE,IF(COUNTIF(Processor!$I$2:$I$9,$D$343)&gt;0,AND(AV349&gt;INDEX(Processor!$J$2:$J$9,MATCH($D$343,Processor!$I$2:$I$9,0)),AV349&lt;INDEX(Processor!$K$2:$K$9,MATCH($D$343,Processor!$I$2:$I$9,0))),IF(AV349=$D$343,TRUE,FALSE)))</f>
        <v>1</v>
      </c>
      <c r="AG349" s="185" t="b">
        <f t="shared" si="276"/>
        <v>1</v>
      </c>
      <c r="AH349" s="185" t="b">
        <f t="shared" si="277"/>
        <v>1</v>
      </c>
      <c r="AI349" s="185" t="b">
        <f t="shared" si="278"/>
        <v>1</v>
      </c>
      <c r="AJ349" s="185" t="b">
        <f t="shared" si="279"/>
        <v>1</v>
      </c>
      <c r="AK349" s="185" t="b">
        <f t="shared" si="280"/>
        <v>1</v>
      </c>
      <c r="AL349" s="185" t="b">
        <f>IFERROR(IF($D354="",TRUE,IF(MID(BC349,LEN(BC349)-2,1)*1&gt;=MID($D354,LEN($D354)-2,1)*1,TRUE,FALSE)),FALSE)</f>
        <v>1</v>
      </c>
      <c r="AM349" s="185" t="b">
        <f>IF(D353="",TRUE,IF(BB349&gt;=D353,TRUE,FALSE))</f>
        <v>1</v>
      </c>
      <c r="AN349" s="185"/>
      <c r="AO349" s="185"/>
      <c r="AP349" s="185" t="s">
        <v>174</v>
      </c>
      <c r="AQ349" s="185">
        <v>1</v>
      </c>
      <c r="AR349" s="185" t="str">
        <f t="shared" ca="1" si="281"/>
        <v>1920x1080</v>
      </c>
      <c r="AS349" s="185" t="str">
        <f t="shared" ca="1" si="281"/>
        <v>AMD Ryzen 5</v>
      </c>
      <c r="AT349" s="185">
        <f t="shared" ca="1" si="281"/>
        <v>8</v>
      </c>
      <c r="AU349" s="185">
        <f t="shared" ca="1" si="281"/>
        <v>256</v>
      </c>
      <c r="AV349" s="185">
        <f t="shared" ca="1" si="281"/>
        <v>14</v>
      </c>
      <c r="AW349" s="185">
        <f t="shared" ca="1" si="281"/>
        <v>3</v>
      </c>
      <c r="AX349" s="185">
        <f t="shared" ca="1" si="281"/>
        <v>1</v>
      </c>
      <c r="AY349" s="185" t="str">
        <f t="shared" ca="1" si="281"/>
        <v>Ja, HDMI-port finns</v>
      </c>
      <c r="AZ349" s="185" t="str">
        <f t="shared" ca="1" si="281"/>
        <v>802.11a/b/g/n/ac/ax</v>
      </c>
      <c r="BA349" s="185">
        <f t="shared" ca="1" si="281"/>
        <v>5.3</v>
      </c>
      <c r="BB349" s="185">
        <f t="shared" ca="1" si="282"/>
        <v>11</v>
      </c>
      <c r="BC349" s="185" t="str">
        <f t="shared" ca="1" si="282"/>
        <v>Version 8.0</v>
      </c>
      <c r="BD349" s="185" t="str">
        <f t="shared" ca="1" si="282"/>
        <v>Ja</v>
      </c>
      <c r="BE349" s="185" t="str">
        <f t="shared" ca="1" si="282"/>
        <v>Windows 11 Pro</v>
      </c>
      <c r="BF349" s="185" t="str">
        <f t="shared" ca="1" si="282"/>
        <v>ProBook 445 G10</v>
      </c>
      <c r="BG349" s="185">
        <f t="shared" ca="1" si="282"/>
        <v>7599</v>
      </c>
      <c r="BH349" s="192">
        <f t="shared" ca="1" si="282"/>
        <v>123</v>
      </c>
      <c r="BI349" s="192">
        <f t="shared" ca="1" si="282"/>
        <v>425</v>
      </c>
      <c r="BJ349" s="192">
        <f t="shared" ca="1" si="282"/>
        <v>149</v>
      </c>
      <c r="BK349" s="192">
        <f t="shared" ca="1" si="282"/>
        <v>1185</v>
      </c>
      <c r="BL349" s="192">
        <f t="shared" ca="1" si="283"/>
        <v>450</v>
      </c>
      <c r="BM349" s="192">
        <f t="shared" ca="1" si="283"/>
        <v>133</v>
      </c>
      <c r="BN349" s="192">
        <f t="shared" ca="1" si="283"/>
        <v>20</v>
      </c>
      <c r="BO349" s="192">
        <f t="shared" ca="1" si="283"/>
        <v>20</v>
      </c>
      <c r="BP349" s="192" t="str">
        <f t="shared" ca="1" si="283"/>
        <v>Cirafon</v>
      </c>
      <c r="BQ349" s="192" t="str">
        <f t="shared" ca="1" si="283"/>
        <v>Cirafon</v>
      </c>
      <c r="BR349" s="192" t="str">
        <f t="shared" ca="1" si="283"/>
        <v>HP</v>
      </c>
      <c r="BS349" s="192" t="str">
        <f t="shared" ca="1" si="283"/>
        <v>HP</v>
      </c>
      <c r="BT349" s="192" t="str">
        <f t="shared" ca="1" si="283"/>
        <v>LSN8696R2-14.1</v>
      </c>
      <c r="BU349" s="192" t="str">
        <f t="shared" ca="1" si="283"/>
        <v>DPF14-9</v>
      </c>
      <c r="BV349" s="192" t="str">
        <f t="shared" ca="1" si="283"/>
        <v xml:space="preserve">1MZ01AA </v>
      </c>
      <c r="BW349" s="192" t="str">
        <f t="shared" ca="1" si="283"/>
        <v>72C71AA</v>
      </c>
      <c r="BX349" s="192"/>
      <c r="BY349" s="192" t="str">
        <f t="shared" ca="1" si="284"/>
        <v>Dustin Sverige AB</v>
      </c>
      <c r="BZ349" s="192" t="str">
        <f t="shared" ca="1" si="284"/>
        <v>HP</v>
      </c>
      <c r="CA349" s="185"/>
      <c r="CB349" s="185" t="s">
        <v>64</v>
      </c>
      <c r="CC349" s="185"/>
      <c r="CD349" s="185"/>
      <c r="CE349" s="185"/>
      <c r="CF349" s="185"/>
      <c r="CG349" s="185"/>
      <c r="CH349" s="185"/>
      <c r="CI349" s="185"/>
      <c r="CJ349" s="185"/>
      <c r="CK349" s="185"/>
      <c r="CL349" s="185"/>
      <c r="CM349" s="185"/>
      <c r="CN349" s="185"/>
    </row>
    <row r="350" spans="2:92" ht="22.5" customHeight="1" outlineLevel="1" x14ac:dyDescent="0.35">
      <c r="C350" s="61" t="s">
        <v>97</v>
      </c>
      <c r="D350" s="64"/>
      <c r="F350" s="80" t="str">
        <f t="shared" si="285"/>
        <v/>
      </c>
      <c r="G350" s="81" t="str">
        <f t="shared" ca="1" si="286"/>
        <v>Ja, HDMI-port finns</v>
      </c>
      <c r="H350" s="81" t="str">
        <f t="shared" ca="1" si="286"/>
        <v>Ja, HDMI-port finns</v>
      </c>
      <c r="I350" s="120" t="str">
        <f t="shared" ca="1" si="286"/>
        <v>Ja, HDMI-port finns</v>
      </c>
      <c r="J350" s="62"/>
      <c r="Q350" s="185">
        <f t="shared" si="263"/>
        <v>0</v>
      </c>
      <c r="R350" s="185">
        <f t="shared" si="264"/>
        <v>0</v>
      </c>
      <c r="S350" s="185">
        <f t="shared" si="265"/>
        <v>0</v>
      </c>
      <c r="T350" s="185">
        <f t="shared" si="266"/>
        <v>0</v>
      </c>
      <c r="U350" s="185">
        <f t="shared" si="267"/>
        <v>0</v>
      </c>
      <c r="V350" s="185">
        <f t="shared" si="268"/>
        <v>0</v>
      </c>
      <c r="W350" s="185">
        <f t="shared" si="269"/>
        <v>0</v>
      </c>
      <c r="X350" s="185">
        <f t="shared" si="270"/>
        <v>0</v>
      </c>
      <c r="Y350" s="185">
        <f t="shared" si="271"/>
        <v>0</v>
      </c>
      <c r="Z350" s="196">
        <f t="shared" ca="1" si="272"/>
        <v>11900</v>
      </c>
      <c r="AA350" s="185" t="str">
        <f t="shared" ca="1" si="273"/>
        <v>Offererad produktnr. 02Dustin Sverige AB</v>
      </c>
      <c r="AB350" s="185"/>
      <c r="AC350" s="198" t="b">
        <f ca="1">IFERROR(IF(D345="",TRUE,
IF(OR(D345=$CB$12,D345=$CB$13),IF(LEFT(AS350,FIND(" ",AS350)-1)=D345,TRUE,FALSE),
IF(OFFSET(Processor!$AB$1,MATCH($AS350,Processor!$AA$2:$AA$23,0),MATCH(LEFT(D345,FIND(" ",D345)-1),Processor!$AC$1:$AG$1,0))&gt;=
OFFSET(Processor!$AB$1,MATCH(D345,Processor!$AA$2:$AA$23,0),MATCH(LEFT(D345,FIND(" ",D345)-1),Processor!$AC$1:$AG$1,0)),TRUE,FALSE))),FALSE)</f>
        <v>1</v>
      </c>
      <c r="AD350" s="185" t="b">
        <f t="shared" si="274"/>
        <v>1</v>
      </c>
      <c r="AE350" s="185" t="b">
        <f t="shared" si="275"/>
        <v>1</v>
      </c>
      <c r="AF350" s="185" t="b">
        <f>IF($D$343="",TRUE,IF(COUNTIF(Processor!$I$2:$I$9,$D$343)&gt;0,AND(AV350&gt;INDEX(Processor!$J$2:$J$9,MATCH($D$343,Processor!$I$2:$I$9,0)),AV350&lt;INDEX(Processor!$K$2:$K$9,MATCH($D$343,Processor!$I$2:$I$9,0))),IF(AV350=$D$343,TRUE,FALSE)))</f>
        <v>1</v>
      </c>
      <c r="AG350" s="185" t="b">
        <f t="shared" si="276"/>
        <v>1</v>
      </c>
      <c r="AH350" s="185" t="b">
        <f t="shared" si="277"/>
        <v>1</v>
      </c>
      <c r="AI350" s="185" t="b">
        <f t="shared" si="278"/>
        <v>1</v>
      </c>
      <c r="AJ350" s="185" t="b">
        <f t="shared" si="279"/>
        <v>1</v>
      </c>
      <c r="AK350" s="185" t="b">
        <f t="shared" si="280"/>
        <v>1</v>
      </c>
      <c r="AL350" s="185" t="b">
        <f>IFERROR(IF($D354="",TRUE,IF(MID(BC350,LEN(BC350)-2,1)*1&gt;=MID($D354,LEN($D354)-2,1)*1,TRUE,FALSE)),FALSE)</f>
        <v>1</v>
      </c>
      <c r="AM350" s="185" t="b">
        <f>IF(D353="",TRUE,IF(BB350&gt;=D353,TRUE,FALSE))</f>
        <v>1</v>
      </c>
      <c r="AN350" s="185"/>
      <c r="AO350" s="185"/>
      <c r="AP350" s="185" t="s">
        <v>175</v>
      </c>
      <c r="AQ350" s="185">
        <v>1</v>
      </c>
      <c r="AR350" s="185" t="str">
        <f t="shared" ca="1" si="281"/>
        <v>1920x1200</v>
      </c>
      <c r="AS350" s="185" t="str">
        <f t="shared" ca="1" si="281"/>
        <v>Intel i5</v>
      </c>
      <c r="AT350" s="185">
        <f t="shared" ca="1" si="281"/>
        <v>16</v>
      </c>
      <c r="AU350" s="185">
        <f t="shared" ca="1" si="281"/>
        <v>256</v>
      </c>
      <c r="AV350" s="185">
        <f t="shared" ca="1" si="281"/>
        <v>14</v>
      </c>
      <c r="AW350" s="185">
        <f t="shared" ca="1" si="281"/>
        <v>2</v>
      </c>
      <c r="AX350" s="185">
        <f t="shared" ca="1" si="281"/>
        <v>2</v>
      </c>
      <c r="AY350" s="185" t="str">
        <f t="shared" ca="1" si="281"/>
        <v>Ja, HDMI-port finns</v>
      </c>
      <c r="AZ350" s="185" t="str">
        <f t="shared" ca="1" si="281"/>
        <v>802.11a/b/g/n/ac/ax</v>
      </c>
      <c r="BA350" s="185">
        <f t="shared" ca="1" si="281"/>
        <v>5.3</v>
      </c>
      <c r="BB350" s="185">
        <f t="shared" ca="1" si="282"/>
        <v>11</v>
      </c>
      <c r="BC350" s="185" t="str">
        <f t="shared" ca="1" si="282"/>
        <v>Version 8.0</v>
      </c>
      <c r="BD350" s="185" t="str">
        <f t="shared" ca="1" si="282"/>
        <v>Ja</v>
      </c>
      <c r="BE350" s="185" t="str">
        <f t="shared" ca="1" si="282"/>
        <v>Windows 11 Pro</v>
      </c>
      <c r="BF350" s="185" t="str">
        <f t="shared" ca="1" si="282"/>
        <v>Elitebook 840 G9</v>
      </c>
      <c r="BG350" s="185">
        <f t="shared" ca="1" si="282"/>
        <v>11900</v>
      </c>
      <c r="BH350" s="192">
        <f t="shared" ca="1" si="282"/>
        <v>123</v>
      </c>
      <c r="BI350" s="192">
        <f t="shared" ca="1" si="282"/>
        <v>425</v>
      </c>
      <c r="BJ350" s="192">
        <f t="shared" ca="1" si="282"/>
        <v>149</v>
      </c>
      <c r="BK350" s="192">
        <f t="shared" ca="1" si="282"/>
        <v>1185</v>
      </c>
      <c r="BL350" s="192">
        <f t="shared" ca="1" si="283"/>
        <v>450</v>
      </c>
      <c r="BM350" s="192">
        <f t="shared" ca="1" si="283"/>
        <v>133</v>
      </c>
      <c r="BN350" s="192">
        <f t="shared" ca="1" si="283"/>
        <v>20</v>
      </c>
      <c r="BO350" s="192">
        <f t="shared" ca="1" si="283"/>
        <v>20</v>
      </c>
      <c r="BP350" s="192" t="str">
        <f t="shared" ca="1" si="283"/>
        <v>Cirafon</v>
      </c>
      <c r="BQ350" s="192" t="str">
        <f t="shared" ca="1" si="283"/>
        <v>Cirafon</v>
      </c>
      <c r="BR350" s="192" t="str">
        <f t="shared" ca="1" si="283"/>
        <v>HP</v>
      </c>
      <c r="BS350" s="192" t="str">
        <f t="shared" ca="1" si="283"/>
        <v>HP</v>
      </c>
      <c r="BT350" s="192" t="str">
        <f t="shared" ca="1" si="283"/>
        <v>LSN8696R2-14.1</v>
      </c>
      <c r="BU350" s="192" t="str">
        <f t="shared" ca="1" si="283"/>
        <v>DPF14-9</v>
      </c>
      <c r="BV350" s="192" t="str">
        <f t="shared" ca="1" si="283"/>
        <v xml:space="preserve">1MZ01AA </v>
      </c>
      <c r="BW350" s="192" t="str">
        <f t="shared" ca="1" si="283"/>
        <v>72C71AA</v>
      </c>
      <c r="BX350" s="192"/>
      <c r="BY350" s="192" t="str">
        <f t="shared" ca="1" si="284"/>
        <v>Dustin Sverige AB</v>
      </c>
      <c r="BZ350" s="192" t="str">
        <f t="shared" ca="1" si="284"/>
        <v>HP</v>
      </c>
      <c r="CA350" s="185"/>
      <c r="CB350" s="185" t="s">
        <v>571</v>
      </c>
      <c r="CC350" s="185"/>
      <c r="CD350" s="185"/>
      <c r="CE350" s="185"/>
      <c r="CF350" s="185"/>
      <c r="CG350" s="185"/>
      <c r="CH350" s="185"/>
      <c r="CI350" s="185"/>
      <c r="CJ350" s="185"/>
      <c r="CK350" s="185"/>
      <c r="CL350" s="185"/>
      <c r="CM350" s="185"/>
      <c r="CN350" s="185"/>
    </row>
    <row r="351" spans="2:92" ht="22.5" customHeight="1" outlineLevel="1" x14ac:dyDescent="0.35">
      <c r="C351" s="61" t="s">
        <v>103</v>
      </c>
      <c r="D351" s="64"/>
      <c r="F351" s="80" t="str">
        <f t="shared" si="285"/>
        <v/>
      </c>
      <c r="G351" s="81" t="str">
        <f t="shared" ca="1" si="286"/>
        <v>802.11a/b/g/n/ac/ax</v>
      </c>
      <c r="H351" s="81" t="str">
        <f t="shared" ca="1" si="286"/>
        <v>802.11a/b/g/n/ac/ax</v>
      </c>
      <c r="I351" s="120" t="str">
        <f t="shared" ca="1" si="286"/>
        <v>802.11a/b/g/n/ac/ax</v>
      </c>
      <c r="J351" s="62"/>
      <c r="Q351" s="185">
        <f t="shared" si="263"/>
        <v>0</v>
      </c>
      <c r="R351" s="185">
        <f t="shared" si="264"/>
        <v>0</v>
      </c>
      <c r="S351" s="185">
        <f t="shared" si="265"/>
        <v>0</v>
      </c>
      <c r="T351" s="185">
        <f t="shared" si="266"/>
        <v>0</v>
      </c>
      <c r="U351" s="185">
        <f t="shared" si="267"/>
        <v>0</v>
      </c>
      <c r="V351" s="185">
        <f t="shared" si="268"/>
        <v>0</v>
      </c>
      <c r="W351" s="185">
        <f t="shared" si="269"/>
        <v>0</v>
      </c>
      <c r="X351" s="185">
        <f t="shared" si="270"/>
        <v>0</v>
      </c>
      <c r="Y351" s="185">
        <f t="shared" si="271"/>
        <v>0</v>
      </c>
      <c r="Z351" s="196">
        <f t="shared" ca="1" si="272"/>
        <v>10490</v>
      </c>
      <c r="AA351" s="185" t="str">
        <f t="shared" ca="1" si="273"/>
        <v>Offererad produktnr. 03Dustin Sverige AB</v>
      </c>
      <c r="AB351" s="185"/>
      <c r="AC351" s="185" t="b">
        <f ca="1">IFERROR(IF(D345="",TRUE,
IF(OR(D345=$CB$12,D345=$CB$13),IF(LEFT(AS351,FIND(" ",AS351)-1)=D345,TRUE,FALSE),
IF(OFFSET(Processor!$AB$1,MATCH($AS351,Processor!$AA$2:$AA$23,0),MATCH(LEFT(D345,FIND(" ",D345)-1),Processor!$AC$1:$AG$1,0))&gt;=
OFFSET(Processor!$AB$1,MATCH(D345,Processor!$AA$2:$AA$23,0),MATCH(LEFT(D345,FIND(" ",D345)-1),Processor!$AC$1:$AG$1,0)),TRUE,FALSE))),FALSE)</f>
        <v>1</v>
      </c>
      <c r="AD351" s="185" t="b">
        <f t="shared" si="274"/>
        <v>1</v>
      </c>
      <c r="AE351" s="185" t="b">
        <f t="shared" si="275"/>
        <v>1</v>
      </c>
      <c r="AF351" s="185" t="b">
        <f>IF($D$343="",TRUE,IF(COUNTIF(Processor!$I$2:$I$9,$D$343)&gt;0,AND(AV351&gt;INDEX(Processor!$J$2:$J$9,MATCH($D$343,Processor!$I$2:$I$9,0)),AV351&lt;INDEX(Processor!$K$2:$K$9,MATCH($D$343,Processor!$I$2:$I$9,0))),IF(AV351=$D$343,TRUE,FALSE)))</f>
        <v>1</v>
      </c>
      <c r="AG351" s="185" t="b">
        <f t="shared" si="276"/>
        <v>1</v>
      </c>
      <c r="AH351" s="185" t="b">
        <f t="shared" si="277"/>
        <v>1</v>
      </c>
      <c r="AI351" s="185" t="b">
        <f t="shared" si="278"/>
        <v>1</v>
      </c>
      <c r="AJ351" s="185" t="b">
        <f t="shared" si="279"/>
        <v>1</v>
      </c>
      <c r="AK351" s="185" t="b">
        <f t="shared" si="280"/>
        <v>1</v>
      </c>
      <c r="AL351" s="185" t="b">
        <f>IFERROR(IF($D354="",TRUE,IF(MID(BC351,LEN(BC351)-2,1)*1&gt;=MID($D354,LEN($D354)-2,1)*1,TRUE,FALSE)),FALSE)</f>
        <v>1</v>
      </c>
      <c r="AM351" s="185" t="b">
        <f>IF(D353="",TRUE,IF(BB351&gt;=D353,TRUE,FALSE))</f>
        <v>1</v>
      </c>
      <c r="AN351" s="185"/>
      <c r="AO351" s="185"/>
      <c r="AP351" s="185" t="s">
        <v>176</v>
      </c>
      <c r="AQ351" s="185">
        <v>1</v>
      </c>
      <c r="AR351" s="185" t="str">
        <f t="shared" ref="AR351:BA360" ca="1" si="287">IFERROR(INDEX(INDIRECT(AR$336&amp;"!$A$10:CC100000"),MATCH($AP351,INDIRECT(AR$336&amp;"!BH$10:BH100000"),0),MATCH(AR$338,INDIRECT(AR$336&amp;"!a10:CC10"),0)),"False")</f>
        <v>1920x1080</v>
      </c>
      <c r="AS351" s="185" t="str">
        <f t="shared" ca="1" si="287"/>
        <v>Intel i7 Gen 12</v>
      </c>
      <c r="AT351" s="185">
        <f t="shared" ca="1" si="287"/>
        <v>32</v>
      </c>
      <c r="AU351" s="185">
        <f t="shared" ca="1" si="287"/>
        <v>512</v>
      </c>
      <c r="AV351" s="185">
        <f t="shared" ca="1" si="287"/>
        <v>14</v>
      </c>
      <c r="AW351" s="185">
        <f t="shared" ca="1" si="287"/>
        <v>3</v>
      </c>
      <c r="AX351" s="185">
        <f t="shared" ca="1" si="287"/>
        <v>1</v>
      </c>
      <c r="AY351" s="185" t="str">
        <f t="shared" ca="1" si="287"/>
        <v>Ja, HDMI-port finns</v>
      </c>
      <c r="AZ351" s="185" t="str">
        <f t="shared" ca="1" si="287"/>
        <v>802.11a/b/g/n/ac/ax</v>
      </c>
      <c r="BA351" s="185">
        <f t="shared" ca="1" si="287"/>
        <v>5.3</v>
      </c>
      <c r="BB351" s="185">
        <f t="shared" ref="BB351:BK360" ca="1" si="288">IFERROR(INDEX(INDIRECT(BB$336&amp;"!$A$10:CC100000"),MATCH($AP351,INDIRECT(BB$336&amp;"!BH$10:BH100000"),0),MATCH(BB$338,INDIRECT(BB$336&amp;"!a10:CC10"),0)),"False")</f>
        <v>11</v>
      </c>
      <c r="BC351" s="185" t="str">
        <f t="shared" ca="1" si="288"/>
        <v>Version 8.0</v>
      </c>
      <c r="BD351" s="185" t="str">
        <f t="shared" ca="1" si="288"/>
        <v>Ja</v>
      </c>
      <c r="BE351" s="185" t="str">
        <f t="shared" ca="1" si="288"/>
        <v>Windows 11 Pro</v>
      </c>
      <c r="BF351" s="185" t="str">
        <f t="shared" ca="1" si="288"/>
        <v>ProBook 440 G9</v>
      </c>
      <c r="BG351" s="185">
        <f t="shared" ca="1" si="288"/>
        <v>10490</v>
      </c>
      <c r="BH351" s="192">
        <f t="shared" ca="1" si="288"/>
        <v>123</v>
      </c>
      <c r="BI351" s="192">
        <f t="shared" ca="1" si="288"/>
        <v>425</v>
      </c>
      <c r="BJ351" s="192">
        <f t="shared" ca="1" si="288"/>
        <v>149</v>
      </c>
      <c r="BK351" s="192">
        <f t="shared" ca="1" si="288"/>
        <v>1185</v>
      </c>
      <c r="BL351" s="192">
        <f t="shared" ref="BL351:BW360" ca="1" si="289">IFERROR(INDEX(INDIRECT(BL$336&amp;"!$A$10:CC100000"),MATCH($AP351,INDIRECT(BL$336&amp;"!BH$10:BH100000"),0),MATCH(BL$338,INDIRECT(BL$336&amp;"!a10:CC10"),0)),"False")</f>
        <v>450</v>
      </c>
      <c r="BM351" s="192">
        <f t="shared" ca="1" si="289"/>
        <v>133</v>
      </c>
      <c r="BN351" s="192">
        <f t="shared" ca="1" si="289"/>
        <v>20</v>
      </c>
      <c r="BO351" s="192">
        <f t="shared" ca="1" si="289"/>
        <v>20</v>
      </c>
      <c r="BP351" s="192" t="str">
        <f t="shared" ca="1" si="289"/>
        <v>Cirafon</v>
      </c>
      <c r="BQ351" s="192" t="str">
        <f t="shared" ca="1" si="289"/>
        <v>Cirafon</v>
      </c>
      <c r="BR351" s="192" t="str">
        <f t="shared" ca="1" si="289"/>
        <v>HP</v>
      </c>
      <c r="BS351" s="192" t="str">
        <f t="shared" ca="1" si="289"/>
        <v>HP</v>
      </c>
      <c r="BT351" s="192" t="str">
        <f t="shared" ca="1" si="289"/>
        <v>LSN8696R2-14.1</v>
      </c>
      <c r="BU351" s="192" t="str">
        <f t="shared" ca="1" si="289"/>
        <v>DPF14-9</v>
      </c>
      <c r="BV351" s="192" t="str">
        <f t="shared" ca="1" si="289"/>
        <v xml:space="preserve">1MZ01AA </v>
      </c>
      <c r="BW351" s="192" t="str">
        <f t="shared" ca="1" si="289"/>
        <v>72C71AA</v>
      </c>
      <c r="BX351" s="192"/>
      <c r="BY351" s="192" t="str">
        <f t="shared" ca="1" si="284"/>
        <v>Dustin Sverige AB</v>
      </c>
      <c r="BZ351" s="192" t="str">
        <f t="shared" ca="1" si="284"/>
        <v>HP</v>
      </c>
      <c r="CA351" s="185"/>
      <c r="CB351" s="185" t="s">
        <v>710</v>
      </c>
      <c r="CC351" s="185"/>
      <c r="CD351" s="185"/>
      <c r="CE351" s="185"/>
      <c r="CF351" s="185"/>
      <c r="CG351" s="185"/>
      <c r="CH351" s="185"/>
      <c r="CI351" s="185"/>
      <c r="CJ351" s="185"/>
      <c r="CK351" s="185"/>
      <c r="CL351" s="185"/>
      <c r="CM351" s="185"/>
      <c r="CN351" s="185"/>
    </row>
    <row r="352" spans="2:92" ht="33.75" customHeight="1" outlineLevel="1" x14ac:dyDescent="0.35">
      <c r="C352" s="61" t="s">
        <v>75</v>
      </c>
      <c r="D352" s="110"/>
      <c r="F352" s="80" t="str">
        <f t="shared" si="285"/>
        <v/>
      </c>
      <c r="G352" s="81">
        <f t="shared" ca="1" si="286"/>
        <v>5</v>
      </c>
      <c r="H352" s="81">
        <f t="shared" ca="1" si="286"/>
        <v>5.3</v>
      </c>
      <c r="I352" s="120">
        <f t="shared" ca="1" si="286"/>
        <v>5</v>
      </c>
      <c r="J352" s="62"/>
      <c r="Q352" s="185">
        <f t="shared" si="263"/>
        <v>0</v>
      </c>
      <c r="R352" s="185">
        <f t="shared" si="264"/>
        <v>0</v>
      </c>
      <c r="S352" s="185">
        <f t="shared" si="265"/>
        <v>0</v>
      </c>
      <c r="T352" s="185">
        <f t="shared" si="266"/>
        <v>0</v>
      </c>
      <c r="U352" s="185">
        <f t="shared" si="267"/>
        <v>0</v>
      </c>
      <c r="V352" s="185">
        <f t="shared" si="268"/>
        <v>0</v>
      </c>
      <c r="W352" s="185">
        <f t="shared" si="269"/>
        <v>0</v>
      </c>
      <c r="X352" s="185">
        <f t="shared" si="270"/>
        <v>0</v>
      </c>
      <c r="Y352" s="185">
        <f t="shared" si="271"/>
        <v>0</v>
      </c>
      <c r="Z352" s="196">
        <f t="shared" ca="1" si="272"/>
        <v>13790</v>
      </c>
      <c r="AA352" s="185" t="str">
        <f t="shared" ca="1" si="273"/>
        <v>Offererad produktnr. 04Dustin Sverige AB</v>
      </c>
      <c r="AB352" s="185"/>
      <c r="AC352" s="185" t="b">
        <f ca="1">IFERROR(IF(D345="",TRUE,
IF(OR(D345=$CB$12,D345=$CB$13),IF(LEFT(AS352,FIND(" ",AS352)-1)=D345,TRUE,FALSE),
IF(OFFSET(Processor!$AB$1,MATCH($AS352,Processor!$AA$2:$AA$23,0),MATCH(LEFT(D345,FIND(" ",D345)-1),Processor!$AC$1:$AG$1,0))&gt;=
OFFSET(Processor!$AB$1,MATCH(D345,Processor!$AA$2:$AA$23,0),MATCH(LEFT(D345,FIND(" ",D345)-1),Processor!$AC$1:$AG$1,0)),TRUE,FALSE))),FALSE)</f>
        <v>1</v>
      </c>
      <c r="AD352" s="185" t="b">
        <f t="shared" si="274"/>
        <v>1</v>
      </c>
      <c r="AE352" s="185" t="b">
        <f t="shared" si="275"/>
        <v>1</v>
      </c>
      <c r="AF352" s="185" t="b">
        <f>IF($D$343="",TRUE,IF(COUNTIF(Processor!$I$2:$I$9,$D$343)&gt;0,AND(AV352&gt;INDEX(Processor!$J$2:$J$9,MATCH($D$343,Processor!$I$2:$I$9,0)),AV352&lt;INDEX(Processor!$K$2:$K$9,MATCH($D$343,Processor!$I$2:$I$9,0))),IF(AV352=$D$343,TRUE,FALSE)))</f>
        <v>1</v>
      </c>
      <c r="AG352" s="185" t="b">
        <f t="shared" si="276"/>
        <v>1</v>
      </c>
      <c r="AH352" s="185" t="b">
        <f t="shared" si="277"/>
        <v>1</v>
      </c>
      <c r="AI352" s="185" t="b">
        <f t="shared" si="278"/>
        <v>1</v>
      </c>
      <c r="AJ352" s="185" t="b">
        <f t="shared" si="279"/>
        <v>1</v>
      </c>
      <c r="AK352" s="185" t="b">
        <f t="shared" si="280"/>
        <v>1</v>
      </c>
      <c r="AL352" s="185" t="b">
        <f>IFERROR(IF($D354="",TRUE,IF(MID(BC352,LEN(BC352)-2,1)*1&gt;=MID($D354,LEN($D354)-2,1)*1,TRUE,FALSE)),FALSE)</f>
        <v>1</v>
      </c>
      <c r="AM352" s="185" t="b">
        <f>IF(D353="",TRUE,IF(BB352&gt;=D353,TRUE,FALSE))</f>
        <v>1</v>
      </c>
      <c r="AN352" s="185"/>
      <c r="AO352" s="185"/>
      <c r="AP352" s="185" t="s">
        <v>177</v>
      </c>
      <c r="AQ352" s="185">
        <v>1</v>
      </c>
      <c r="AR352" s="185" t="str">
        <f t="shared" ca="1" si="287"/>
        <v>1920x1200</v>
      </c>
      <c r="AS352" s="185" t="str">
        <f t="shared" ca="1" si="287"/>
        <v>Intel i7</v>
      </c>
      <c r="AT352" s="185">
        <f t="shared" ca="1" si="287"/>
        <v>16</v>
      </c>
      <c r="AU352" s="185">
        <f t="shared" ca="1" si="287"/>
        <v>512</v>
      </c>
      <c r="AV352" s="185">
        <f t="shared" ca="1" si="287"/>
        <v>14</v>
      </c>
      <c r="AW352" s="185">
        <f t="shared" ca="1" si="287"/>
        <v>2</v>
      </c>
      <c r="AX352" s="185">
        <f t="shared" ca="1" si="287"/>
        <v>2</v>
      </c>
      <c r="AY352" s="185" t="str">
        <f t="shared" ca="1" si="287"/>
        <v>Ja, HDMI-port finns</v>
      </c>
      <c r="AZ352" s="185" t="str">
        <f t="shared" ca="1" si="287"/>
        <v>802.11a/b/g/n/ac/ax</v>
      </c>
      <c r="BA352" s="185">
        <f t="shared" ca="1" si="287"/>
        <v>5.3</v>
      </c>
      <c r="BB352" s="185">
        <f t="shared" ca="1" si="288"/>
        <v>11</v>
      </c>
      <c r="BC352" s="185" t="str">
        <f t="shared" ca="1" si="288"/>
        <v>Version 8.0</v>
      </c>
      <c r="BD352" s="185" t="str">
        <f t="shared" ca="1" si="288"/>
        <v>Ja</v>
      </c>
      <c r="BE352" s="185" t="str">
        <f t="shared" ca="1" si="288"/>
        <v>Windows 11 Pro</v>
      </c>
      <c r="BF352" s="185" t="str">
        <f t="shared" ca="1" si="288"/>
        <v>EliteBook 840 G9</v>
      </c>
      <c r="BG352" s="185">
        <f t="shared" ca="1" si="288"/>
        <v>13790</v>
      </c>
      <c r="BH352" s="192">
        <f t="shared" ca="1" si="288"/>
        <v>123</v>
      </c>
      <c r="BI352" s="192">
        <f t="shared" ca="1" si="288"/>
        <v>425</v>
      </c>
      <c r="BJ352" s="192">
        <f t="shared" ca="1" si="288"/>
        <v>149</v>
      </c>
      <c r="BK352" s="192">
        <f t="shared" ca="1" si="288"/>
        <v>1185</v>
      </c>
      <c r="BL352" s="192">
        <f t="shared" ca="1" si="289"/>
        <v>450</v>
      </c>
      <c r="BM352" s="192">
        <f t="shared" ca="1" si="289"/>
        <v>133</v>
      </c>
      <c r="BN352" s="192">
        <f t="shared" ca="1" si="289"/>
        <v>20</v>
      </c>
      <c r="BO352" s="192">
        <f t="shared" ca="1" si="289"/>
        <v>20</v>
      </c>
      <c r="BP352" s="192" t="str">
        <f t="shared" ca="1" si="289"/>
        <v>Cirafon</v>
      </c>
      <c r="BQ352" s="192" t="str">
        <f t="shared" ca="1" si="289"/>
        <v>Cirafon</v>
      </c>
      <c r="BR352" s="192" t="str">
        <f t="shared" ca="1" si="289"/>
        <v>HP</v>
      </c>
      <c r="BS352" s="192" t="str">
        <f t="shared" ca="1" si="289"/>
        <v>HP</v>
      </c>
      <c r="BT352" s="192" t="str">
        <f t="shared" ca="1" si="289"/>
        <v>LSN8696R2-14.1</v>
      </c>
      <c r="BU352" s="192" t="str">
        <f t="shared" ca="1" si="289"/>
        <v>DPF14-9</v>
      </c>
      <c r="BV352" s="192" t="str">
        <f t="shared" ca="1" si="289"/>
        <v xml:space="preserve">1MZ01AA </v>
      </c>
      <c r="BW352" s="192" t="str">
        <f t="shared" ca="1" si="289"/>
        <v>72C71AA</v>
      </c>
      <c r="BX352" s="192"/>
      <c r="BY352" s="192" t="str">
        <f t="shared" ca="1" si="284"/>
        <v>Dustin Sverige AB</v>
      </c>
      <c r="BZ352" s="192" t="str">
        <f t="shared" ca="1" si="284"/>
        <v>HP</v>
      </c>
      <c r="CA352" s="185"/>
      <c r="CB352" s="185"/>
      <c r="CC352" s="185"/>
      <c r="CD352" s="185"/>
      <c r="CE352" s="185"/>
      <c r="CF352" s="185"/>
      <c r="CG352" s="185"/>
      <c r="CH352" s="185"/>
      <c r="CI352" s="185"/>
      <c r="CJ352" s="185"/>
      <c r="CK352" s="185"/>
      <c r="CL352" s="185"/>
      <c r="CM352" s="185"/>
      <c r="CN352" s="185"/>
    </row>
    <row r="353" spans="2:92" ht="32.25" customHeight="1" outlineLevel="1" x14ac:dyDescent="0.35">
      <c r="C353" s="61" t="s">
        <v>120</v>
      </c>
      <c r="D353" s="65"/>
      <c r="F353" s="80" t="str">
        <f t="shared" si="285"/>
        <v/>
      </c>
      <c r="G353" s="81">
        <f t="shared" ca="1" si="286"/>
        <v>11</v>
      </c>
      <c r="H353" s="81">
        <f t="shared" ca="1" si="286"/>
        <v>11</v>
      </c>
      <c r="I353" s="121">
        <f t="shared" ca="1" si="286"/>
        <v>11</v>
      </c>
      <c r="J353" s="62"/>
      <c r="Q353" s="185">
        <f t="shared" si="263"/>
        <v>0</v>
      </c>
      <c r="R353" s="185">
        <f t="shared" si="264"/>
        <v>0</v>
      </c>
      <c r="S353" s="185">
        <f t="shared" si="265"/>
        <v>0</v>
      </c>
      <c r="T353" s="185">
        <f t="shared" si="266"/>
        <v>0</v>
      </c>
      <c r="U353" s="185">
        <f t="shared" si="267"/>
        <v>0</v>
      </c>
      <c r="V353" s="185">
        <f t="shared" si="268"/>
        <v>0</v>
      </c>
      <c r="W353" s="185">
        <f t="shared" si="269"/>
        <v>0</v>
      </c>
      <c r="X353" s="185">
        <f t="shared" si="270"/>
        <v>0</v>
      </c>
      <c r="Y353" s="185">
        <f t="shared" si="271"/>
        <v>0</v>
      </c>
      <c r="Z353" s="196">
        <f t="shared" ca="1" si="272"/>
        <v>8848</v>
      </c>
      <c r="AA353" s="185" t="str">
        <f t="shared" ca="1" si="273"/>
        <v>Offererad produktnr. 01Foxway Education AB</v>
      </c>
      <c r="AB353" s="185"/>
      <c r="AC353" s="185" t="b">
        <f ca="1">IFERROR(IF(D345="",TRUE,
IF(OR(D345=$CB$12,D345=$CB$13),IF(LEFT(AS353,FIND(" ",AS353)-1)=D345,TRUE,FALSE),
IF(OFFSET(Processor!$AB$1,MATCH($AS353,Processor!$AA$2:$AA$23,0),MATCH(LEFT(D345,FIND(" ",D345)-1),Processor!$AC$1:$AG$1,0))&gt;=
OFFSET(Processor!$AB$1,MATCH(D345,Processor!$AA$2:$AA$23,0),MATCH(LEFT(D345,FIND(" ",D345)-1),Processor!$AC$1:$AG$1,0)),TRUE,FALSE))),FALSE)</f>
        <v>1</v>
      </c>
      <c r="AD353" s="185" t="b">
        <f t="shared" si="274"/>
        <v>1</v>
      </c>
      <c r="AE353" s="185" t="b">
        <f t="shared" si="275"/>
        <v>1</v>
      </c>
      <c r="AF353" s="185" t="b">
        <f>IF($D$343="",TRUE,IF(COUNTIF(Processor!$I$2:$I$9,$D$343)&gt;0,AND(AV353&gt;INDEX(Processor!$J$2:$J$9,MATCH($D$343,Processor!$I$2:$I$9,0)),AV353&lt;INDEX(Processor!$K$2:$K$9,MATCH($D$343,Processor!$I$2:$I$9,0))),IF(AV353=$D$343,TRUE,FALSE)))</f>
        <v>1</v>
      </c>
      <c r="AG353" s="185" t="b">
        <f t="shared" si="276"/>
        <v>1</v>
      </c>
      <c r="AH353" s="185" t="b">
        <f t="shared" si="277"/>
        <v>1</v>
      </c>
      <c r="AI353" s="185" t="b">
        <f t="shared" si="278"/>
        <v>1</v>
      </c>
      <c r="AJ353" s="185" t="b">
        <f t="shared" si="279"/>
        <v>1</v>
      </c>
      <c r="AK353" s="185" t="b">
        <f t="shared" si="280"/>
        <v>1</v>
      </c>
      <c r="AL353" s="185" t="b">
        <f>IFERROR(IF($D354="",TRUE,IF(MID(BC353,LEN(BC353)-2,1)*1&gt;=MID($D354,LEN($D354)-2,1)*1,TRUE,FALSE)),FALSE)</f>
        <v>1</v>
      </c>
      <c r="AM353" s="185" t="b">
        <f>IF(D353="",TRUE,IF(BB353&gt;=D353,TRUE,FALSE))</f>
        <v>1</v>
      </c>
      <c r="AN353" s="185"/>
      <c r="AO353" s="185"/>
      <c r="AP353" s="185" t="s">
        <v>210</v>
      </c>
      <c r="AQ353" s="185">
        <v>1</v>
      </c>
      <c r="AR353" s="185" t="str">
        <f t="shared" ca="1" si="287"/>
        <v>1920x1080</v>
      </c>
      <c r="AS353" s="185" t="str">
        <f t="shared" ca="1" si="287"/>
        <v>AMD Ryzen 5</v>
      </c>
      <c r="AT353" s="185">
        <f t="shared" ca="1" si="287"/>
        <v>8</v>
      </c>
      <c r="AU353" s="185">
        <f t="shared" ca="1" si="287"/>
        <v>256</v>
      </c>
      <c r="AV353" s="185">
        <f t="shared" ca="1" si="287"/>
        <v>14</v>
      </c>
      <c r="AW353" s="185">
        <f t="shared" ca="1" si="287"/>
        <v>4</v>
      </c>
      <c r="AX353" s="185">
        <f t="shared" ca="1" si="287"/>
        <v>1</v>
      </c>
      <c r="AY353" s="185" t="str">
        <f t="shared" ca="1" si="287"/>
        <v>Ja, HDMI-port finns</v>
      </c>
      <c r="AZ353" s="185" t="str">
        <f t="shared" ca="1" si="287"/>
        <v>802.11a/b/g/n/ac/ax</v>
      </c>
      <c r="BA353" s="185">
        <f t="shared" ca="1" si="287"/>
        <v>5.3</v>
      </c>
      <c r="BB353" s="185">
        <f t="shared" ca="1" si="288"/>
        <v>11</v>
      </c>
      <c r="BC353" s="185" t="str">
        <f t="shared" ca="1" si="288"/>
        <v>Version 8.0</v>
      </c>
      <c r="BD353" s="185" t="str">
        <f t="shared" ca="1" si="288"/>
        <v>Ja</v>
      </c>
      <c r="BE353" s="185" t="str">
        <f t="shared" ca="1" si="288"/>
        <v>Windows 11 Pro</v>
      </c>
      <c r="BF353" s="185" t="str">
        <f t="shared" ca="1" si="288"/>
        <v>ProBook 445 G10</v>
      </c>
      <c r="BG353" s="185">
        <f t="shared" ca="1" si="288"/>
        <v>8848</v>
      </c>
      <c r="BH353" s="192">
        <f t="shared" ca="1" si="288"/>
        <v>78</v>
      </c>
      <c r="BI353" s="192">
        <f t="shared" ca="1" si="288"/>
        <v>252</v>
      </c>
      <c r="BJ353" s="192">
        <f t="shared" ca="1" si="288"/>
        <v>138</v>
      </c>
      <c r="BK353" s="192">
        <f t="shared" ca="1" si="288"/>
        <v>1150</v>
      </c>
      <c r="BL353" s="192">
        <f t="shared" ca="1" si="289"/>
        <v>160</v>
      </c>
      <c r="BM353" s="192">
        <f t="shared" ca="1" si="289"/>
        <v>185</v>
      </c>
      <c r="BN353" s="192">
        <f t="shared" ca="1" si="289"/>
        <v>60</v>
      </c>
      <c r="BO353" s="192">
        <f t="shared" ca="1" si="289"/>
        <v>50</v>
      </c>
      <c r="BP353" s="192" t="str">
        <f t="shared" ca="1" si="289"/>
        <v>V7</v>
      </c>
      <c r="BQ353" s="192" t="str">
        <f t="shared" ca="1" si="289"/>
        <v>Targus</v>
      </c>
      <c r="BR353" s="192" t="str">
        <f t="shared" ca="1" si="289"/>
        <v>HP</v>
      </c>
      <c r="BS353" s="192" t="str">
        <f t="shared" ca="1" si="289"/>
        <v>HP</v>
      </c>
      <c r="BT353" s="192" t="str">
        <f t="shared" ca="1" si="289"/>
        <v>V7 Elite Sleeve 14"</v>
      </c>
      <c r="BU353" s="192" t="str">
        <f t="shared" ca="1" si="289"/>
        <v>Targus Privacy Screen 14"</v>
      </c>
      <c r="BV353" s="192" t="str">
        <f t="shared" ca="1" si="289"/>
        <v>HP 45W Smart AC Adapter</v>
      </c>
      <c r="BW353" s="192" t="str">
        <f t="shared" ca="1" si="289"/>
        <v>HP USB-C Dock G5</v>
      </c>
      <c r="BX353" s="192"/>
      <c r="BY353" s="192" t="str">
        <f t="shared" ca="1" si="284"/>
        <v>Foxway Education AB</v>
      </c>
      <c r="BZ353" s="192" t="str">
        <f t="shared" ca="1" si="284"/>
        <v>HP</v>
      </c>
      <c r="CA353" s="185"/>
      <c r="CB353" s="185"/>
      <c r="CC353" s="185"/>
      <c r="CD353" s="185"/>
      <c r="CE353" s="185"/>
      <c r="CF353" s="185"/>
      <c r="CG353" s="185"/>
      <c r="CH353" s="185"/>
      <c r="CI353" s="185"/>
      <c r="CJ353" s="185"/>
      <c r="CK353" s="185"/>
      <c r="CL353" s="185"/>
      <c r="CM353" s="185"/>
      <c r="CN353" s="185"/>
    </row>
    <row r="354" spans="2:92" ht="24" customHeight="1" outlineLevel="1" x14ac:dyDescent="0.35">
      <c r="C354" s="61" t="s">
        <v>38</v>
      </c>
      <c r="D354" s="64"/>
      <c r="F354" s="80" t="str">
        <f t="shared" si="285"/>
        <v/>
      </c>
      <c r="G354" s="81" t="str">
        <f t="shared" ca="1" si="286"/>
        <v>Version 8.0</v>
      </c>
      <c r="H354" s="81" t="str">
        <f t="shared" ca="1" si="286"/>
        <v>Version 8.0</v>
      </c>
      <c r="I354" s="120" t="str">
        <f t="shared" ca="1" si="286"/>
        <v>Version 8.0</v>
      </c>
      <c r="J354" s="62"/>
      <c r="Q354" s="185">
        <f t="shared" si="263"/>
        <v>0</v>
      </c>
      <c r="R354" s="185">
        <f t="shared" si="264"/>
        <v>0</v>
      </c>
      <c r="S354" s="185">
        <f t="shared" si="265"/>
        <v>0</v>
      </c>
      <c r="T354" s="185">
        <f t="shared" si="266"/>
        <v>0</v>
      </c>
      <c r="U354" s="185">
        <f t="shared" si="267"/>
        <v>0</v>
      </c>
      <c r="V354" s="185">
        <f t="shared" si="268"/>
        <v>0</v>
      </c>
      <c r="W354" s="185">
        <f t="shared" si="269"/>
        <v>0</v>
      </c>
      <c r="X354" s="185">
        <f t="shared" si="270"/>
        <v>0</v>
      </c>
      <c r="Y354" s="185">
        <f t="shared" si="271"/>
        <v>0</v>
      </c>
      <c r="Z354" s="196">
        <f t="shared" ca="1" si="272"/>
        <v>9288</v>
      </c>
      <c r="AA354" s="185" t="str">
        <f t="shared" ca="1" si="273"/>
        <v>Offererad produktnr. 02Foxway Education AB</v>
      </c>
      <c r="AB354" s="185"/>
      <c r="AC354" s="185" t="b">
        <f ca="1">IFERROR(IF(D345="",TRUE,
IF(OR(D345=$CB$12,D345=$CB$13),IF(LEFT(AS354,FIND(" ",AS354)-1)=D345,TRUE,FALSE),
IF(OFFSET(Processor!$AB$1,MATCH($AS354,Processor!$AA$2:$AA$23,0),MATCH(LEFT(D345,FIND(" ",D345)-1),Processor!$AC$1:$AG$1,0))&gt;=
OFFSET(Processor!$AB$1,MATCH(D345,Processor!$AA$2:$AA$23,0),MATCH(LEFT(D345,FIND(" ",D345)-1),Processor!$AC$1:$AG$1,0)),TRUE,FALSE))),FALSE)</f>
        <v>1</v>
      </c>
      <c r="AD354" s="185" t="b">
        <f t="shared" si="274"/>
        <v>1</v>
      </c>
      <c r="AE354" s="185" t="b">
        <f t="shared" si="275"/>
        <v>1</v>
      </c>
      <c r="AF354" s="185" t="b">
        <f>IF($D$343="",TRUE,IF(COUNTIF(Processor!$I$2:$I$9,$D$343)&gt;0,AND(AV354&gt;INDEX(Processor!$J$2:$J$9,MATCH($D$343,Processor!$I$2:$I$9,0)),AV354&lt;INDEX(Processor!$K$2:$K$9,MATCH($D$343,Processor!$I$2:$I$9,0))),IF(AV354=$D$343,TRUE,FALSE)))</f>
        <v>1</v>
      </c>
      <c r="AG354" s="185" t="b">
        <f t="shared" si="276"/>
        <v>1</v>
      </c>
      <c r="AH354" s="185" t="b">
        <f t="shared" si="277"/>
        <v>1</v>
      </c>
      <c r="AI354" s="185" t="b">
        <f t="shared" si="278"/>
        <v>1</v>
      </c>
      <c r="AJ354" s="185" t="b">
        <f t="shared" si="279"/>
        <v>1</v>
      </c>
      <c r="AK354" s="185" t="b">
        <f t="shared" si="280"/>
        <v>1</v>
      </c>
      <c r="AL354" s="185" t="b">
        <f>IFERROR(IF($D354="",TRUE,IF(MID(BC354,LEN(BC354)-2,1)*1&gt;=MID($D354,LEN($D354)-2,1)*1,TRUE,FALSE)),FALSE)</f>
        <v>1</v>
      </c>
      <c r="AM354" s="185" t="b">
        <f>IF(D353="",TRUE,IF(BB354&gt;=D353,TRUE,FALSE))</f>
        <v>1</v>
      </c>
      <c r="AN354" s="185"/>
      <c r="AO354" s="185"/>
      <c r="AP354" s="185" t="s">
        <v>211</v>
      </c>
      <c r="AQ354" s="185">
        <v>1</v>
      </c>
      <c r="AR354" s="185" t="str">
        <f t="shared" ca="1" si="287"/>
        <v>1920x1080</v>
      </c>
      <c r="AS354" s="185" t="str">
        <f t="shared" ca="1" si="287"/>
        <v>AMD Ryzen 5</v>
      </c>
      <c r="AT354" s="185">
        <f t="shared" ca="1" si="287"/>
        <v>8</v>
      </c>
      <c r="AU354" s="185">
        <f t="shared" ca="1" si="287"/>
        <v>256</v>
      </c>
      <c r="AV354" s="185">
        <f t="shared" ca="1" si="287"/>
        <v>14</v>
      </c>
      <c r="AW354" s="185">
        <f t="shared" ca="1" si="287"/>
        <v>3</v>
      </c>
      <c r="AX354" s="185">
        <f t="shared" ca="1" si="287"/>
        <v>1</v>
      </c>
      <c r="AY354" s="185" t="str">
        <f t="shared" ca="1" si="287"/>
        <v>Ja, HDMI-port finns</v>
      </c>
      <c r="AZ354" s="185" t="str">
        <f t="shared" ca="1" si="287"/>
        <v>802.11a/b/g/n/ac</v>
      </c>
      <c r="BA354" s="185">
        <f t="shared" ca="1" si="287"/>
        <v>5</v>
      </c>
      <c r="BB354" s="185">
        <f t="shared" ca="1" si="288"/>
        <v>11</v>
      </c>
      <c r="BC354" s="185" t="str">
        <f t="shared" ca="1" si="288"/>
        <v>Version 8.0</v>
      </c>
      <c r="BD354" s="185" t="str">
        <f t="shared" ca="1" si="288"/>
        <v>Ja</v>
      </c>
      <c r="BE354" s="185" t="str">
        <f t="shared" ca="1" si="288"/>
        <v>Windows 11 Pro</v>
      </c>
      <c r="BF354" s="185" t="str">
        <f t="shared" ca="1" si="288"/>
        <v>E14 G5 AMD</v>
      </c>
      <c r="BG354" s="185">
        <f t="shared" ca="1" si="288"/>
        <v>9288</v>
      </c>
      <c r="BH354" s="192">
        <f t="shared" ca="1" si="288"/>
        <v>78</v>
      </c>
      <c r="BI354" s="192">
        <f t="shared" ca="1" si="288"/>
        <v>252</v>
      </c>
      <c r="BJ354" s="192">
        <f t="shared" ca="1" si="288"/>
        <v>210</v>
      </c>
      <c r="BK354" s="192">
        <f t="shared" ca="1" si="288"/>
        <v>1824</v>
      </c>
      <c r="BL354" s="192">
        <f t="shared" ca="1" si="289"/>
        <v>290</v>
      </c>
      <c r="BM354" s="192">
        <f t="shared" ca="1" si="289"/>
        <v>185</v>
      </c>
      <c r="BN354" s="192">
        <f t="shared" ca="1" si="289"/>
        <v>60</v>
      </c>
      <c r="BO354" s="192">
        <f t="shared" ca="1" si="289"/>
        <v>50</v>
      </c>
      <c r="BP354" s="192" t="str">
        <f t="shared" ca="1" si="289"/>
        <v>V7</v>
      </c>
      <c r="BQ354" s="192" t="str">
        <f t="shared" ca="1" si="289"/>
        <v>Targus</v>
      </c>
      <c r="BR354" s="192" t="str">
        <f t="shared" ca="1" si="289"/>
        <v>Lenovo</v>
      </c>
      <c r="BS354" s="192" t="str">
        <f t="shared" ca="1" si="289"/>
        <v>Lenovo</v>
      </c>
      <c r="BT354" s="192" t="str">
        <f t="shared" ca="1" si="289"/>
        <v>V7 Elite Sleeve 14"</v>
      </c>
      <c r="BU354" s="192" t="str">
        <f t="shared" ca="1" si="289"/>
        <v>Targus Privacy Screen 14"</v>
      </c>
      <c r="BV354" s="192" t="str">
        <f t="shared" ca="1" si="289"/>
        <v>Power adapter USB-C 45w</v>
      </c>
      <c r="BW354" s="192" t="str">
        <f t="shared" ca="1" si="289"/>
        <v>ThinkPad USB-C Dock gen2</v>
      </c>
      <c r="BX354" s="192"/>
      <c r="BY354" s="192" t="str">
        <f t="shared" ca="1" si="284"/>
        <v>Foxway Education AB</v>
      </c>
      <c r="BZ354" s="192" t="str">
        <f t="shared" ca="1" si="284"/>
        <v>Lenovo</v>
      </c>
      <c r="CA354" s="185"/>
      <c r="CB354" s="185"/>
      <c r="CC354" s="185"/>
      <c r="CD354" s="185"/>
      <c r="CE354" s="185"/>
      <c r="CF354" s="185"/>
      <c r="CG354" s="185"/>
      <c r="CH354" s="185"/>
      <c r="CI354" s="185"/>
      <c r="CJ354" s="185"/>
      <c r="CK354" s="185"/>
      <c r="CL354" s="185"/>
      <c r="CM354" s="185"/>
      <c r="CN354" s="185"/>
    </row>
    <row r="355" spans="2:92" ht="24" customHeight="1" outlineLevel="1" x14ac:dyDescent="0.35">
      <c r="C355" s="61" t="s">
        <v>37</v>
      </c>
      <c r="D355" s="64"/>
      <c r="F355" s="80" t="str">
        <f t="shared" si="285"/>
        <v/>
      </c>
      <c r="G355" s="81" t="str">
        <f t="shared" ca="1" si="286"/>
        <v>Ja</v>
      </c>
      <c r="H355" s="81" t="str">
        <f t="shared" ca="1" si="286"/>
        <v>Ja</v>
      </c>
      <c r="I355" s="120" t="str">
        <f t="shared" ca="1" si="286"/>
        <v>Ja</v>
      </c>
      <c r="J355" s="62"/>
      <c r="Q355" s="185">
        <f t="shared" si="263"/>
        <v>0</v>
      </c>
      <c r="R355" s="185">
        <f t="shared" si="264"/>
        <v>0</v>
      </c>
      <c r="S355" s="185">
        <f t="shared" si="265"/>
        <v>0</v>
      </c>
      <c r="T355" s="185">
        <f t="shared" si="266"/>
        <v>0</v>
      </c>
      <c r="U355" s="185">
        <f t="shared" si="267"/>
        <v>0</v>
      </c>
      <c r="V355" s="185">
        <f t="shared" si="268"/>
        <v>0</v>
      </c>
      <c r="W355" s="185">
        <f t="shared" si="269"/>
        <v>0</v>
      </c>
      <c r="X355" s="185">
        <f t="shared" si="270"/>
        <v>0</v>
      </c>
      <c r="Y355" s="185">
        <f t="shared" si="271"/>
        <v>0</v>
      </c>
      <c r="Z355" s="196">
        <f t="shared" ca="1" si="272"/>
        <v>11210</v>
      </c>
      <c r="AA355" s="185" t="str">
        <f t="shared" ca="1" si="273"/>
        <v>Offererad produktnr. 03Foxway Education AB</v>
      </c>
      <c r="AB355" s="185"/>
      <c r="AC355" s="185" t="b">
        <f ca="1">IFERROR(IF(D345="",TRUE,
IF(OR(D345=$CB$12,D345=$CB$13),IF(LEFT(AS355,FIND(" ",AS355)-1)=D345,TRUE,FALSE),
IF(OFFSET(Processor!$AB$1,MATCH($AS355,Processor!$AA$2:$AA$23,0),MATCH(LEFT(D345,FIND(" ",D345)-1),Processor!$AC$1:$AG$1,0))&gt;=
OFFSET(Processor!$AB$1,MATCH(D345,Processor!$AA$2:$AA$23,0),MATCH(LEFT(D345,FIND(" ",D345)-1),Processor!$AC$1:$AG$1,0)),TRUE,FALSE))),FALSE)</f>
        <v>1</v>
      </c>
      <c r="AD355" s="185" t="b">
        <f t="shared" si="274"/>
        <v>1</v>
      </c>
      <c r="AE355" s="185" t="b">
        <f t="shared" si="275"/>
        <v>1</v>
      </c>
      <c r="AF355" s="185" t="b">
        <f>IF($D$343="",TRUE,IF(COUNTIF(Processor!$I$2:$I$9,$D$343)&gt;0,AND(AV355&gt;INDEX(Processor!$J$2:$J$9,MATCH($D$343,Processor!$I$2:$I$9,0)),AV355&lt;INDEX(Processor!$K$2:$K$9,MATCH($D$343,Processor!$I$2:$I$9,0))),IF(AV355=$D$343,TRUE,FALSE)))</f>
        <v>1</v>
      </c>
      <c r="AG355" s="185" t="b">
        <f t="shared" si="276"/>
        <v>1</v>
      </c>
      <c r="AH355" s="185" t="b">
        <f t="shared" si="277"/>
        <v>1</v>
      </c>
      <c r="AI355" s="185" t="b">
        <f t="shared" si="278"/>
        <v>1</v>
      </c>
      <c r="AJ355" s="185" t="b">
        <f t="shared" si="279"/>
        <v>1</v>
      </c>
      <c r="AK355" s="185" t="b">
        <f t="shared" si="280"/>
        <v>1</v>
      </c>
      <c r="AL355" s="185" t="b">
        <f>IFERROR(IF($D354="",TRUE,IF(MID(BC355,LEN(BC355)-2,1)*1&gt;=MID($D354,LEN($D354)-2,1)*1,TRUE,FALSE)),FALSE)</f>
        <v>1</v>
      </c>
      <c r="AM355" s="185" t="b">
        <f>IF(D353="",TRUE,IF(BB355&gt;=D353,TRUE,FALSE))</f>
        <v>1</v>
      </c>
      <c r="AN355" s="185"/>
      <c r="AO355" s="185"/>
      <c r="AP355" s="185" t="s">
        <v>212</v>
      </c>
      <c r="AQ355" s="185">
        <v>1</v>
      </c>
      <c r="AR355" s="185" t="str">
        <f t="shared" ca="1" si="287"/>
        <v>1920x1080</v>
      </c>
      <c r="AS355" s="185" t="str">
        <f t="shared" ca="1" si="287"/>
        <v>AMD Ryzen 7</v>
      </c>
      <c r="AT355" s="185">
        <f t="shared" ca="1" si="287"/>
        <v>16</v>
      </c>
      <c r="AU355" s="185">
        <f t="shared" ca="1" si="287"/>
        <v>512</v>
      </c>
      <c r="AV355" s="185">
        <f t="shared" ca="1" si="287"/>
        <v>14</v>
      </c>
      <c r="AW355" s="185">
        <f t="shared" ca="1" si="287"/>
        <v>4</v>
      </c>
      <c r="AX355" s="185">
        <f t="shared" ca="1" si="287"/>
        <v>2</v>
      </c>
      <c r="AY355" s="185" t="str">
        <f t="shared" ca="1" si="287"/>
        <v>Ja, HDMI-port finns</v>
      </c>
      <c r="AZ355" s="185" t="str">
        <f t="shared" ca="1" si="287"/>
        <v>802.11a/b/g/n/ac/ax</v>
      </c>
      <c r="BA355" s="185">
        <f t="shared" ca="1" si="287"/>
        <v>5.2</v>
      </c>
      <c r="BB355" s="185">
        <f t="shared" ca="1" si="288"/>
        <v>11</v>
      </c>
      <c r="BC355" s="185" t="str">
        <f t="shared" ca="1" si="288"/>
        <v>Version 8.0</v>
      </c>
      <c r="BD355" s="185" t="str">
        <f t="shared" ca="1" si="288"/>
        <v>Ja</v>
      </c>
      <c r="BE355" s="185" t="str">
        <f t="shared" ca="1" si="288"/>
        <v>Windows 11 Pro</v>
      </c>
      <c r="BF355" s="185" t="str">
        <f t="shared" ca="1" si="288"/>
        <v>L14 G4 AMD</v>
      </c>
      <c r="BG355" s="185">
        <f t="shared" ca="1" si="288"/>
        <v>11210</v>
      </c>
      <c r="BH355" s="192">
        <f t="shared" ca="1" si="288"/>
        <v>78</v>
      </c>
      <c r="BI355" s="192">
        <f t="shared" ca="1" si="288"/>
        <v>252</v>
      </c>
      <c r="BJ355" s="192">
        <f t="shared" ca="1" si="288"/>
        <v>210</v>
      </c>
      <c r="BK355" s="192">
        <f t="shared" ca="1" si="288"/>
        <v>1824</v>
      </c>
      <c r="BL355" s="192">
        <f t="shared" ca="1" si="289"/>
        <v>290</v>
      </c>
      <c r="BM355" s="192">
        <f t="shared" ca="1" si="289"/>
        <v>185</v>
      </c>
      <c r="BN355" s="192">
        <f t="shared" ca="1" si="289"/>
        <v>60</v>
      </c>
      <c r="BO355" s="192">
        <f t="shared" ca="1" si="289"/>
        <v>50</v>
      </c>
      <c r="BP355" s="192" t="str">
        <f t="shared" ca="1" si="289"/>
        <v>V7</v>
      </c>
      <c r="BQ355" s="192" t="str">
        <f t="shared" ca="1" si="289"/>
        <v>Targus</v>
      </c>
      <c r="BR355" s="192" t="str">
        <f t="shared" ca="1" si="289"/>
        <v>Lenovo</v>
      </c>
      <c r="BS355" s="192" t="str">
        <f t="shared" ca="1" si="289"/>
        <v>Lenovo</v>
      </c>
      <c r="BT355" s="192" t="str">
        <f t="shared" ca="1" si="289"/>
        <v>V7 Elite Sleeve 14"</v>
      </c>
      <c r="BU355" s="192" t="str">
        <f t="shared" ca="1" si="289"/>
        <v>Targus Privacy Screen 14"</v>
      </c>
      <c r="BV355" s="192" t="str">
        <f t="shared" ca="1" si="289"/>
        <v>Power adapter USB-C 45w</v>
      </c>
      <c r="BW355" s="192" t="str">
        <f t="shared" ca="1" si="289"/>
        <v>ThinkPad USB-C Dock gen2</v>
      </c>
      <c r="BX355" s="192"/>
      <c r="BY355" s="192" t="str">
        <f t="shared" ca="1" si="284"/>
        <v>Foxway Education AB</v>
      </c>
      <c r="BZ355" s="192" t="str">
        <f t="shared" ca="1" si="284"/>
        <v>Lenovo</v>
      </c>
      <c r="CA355" s="185"/>
      <c r="CB355" s="185"/>
      <c r="CC355" s="185"/>
      <c r="CD355" s="185"/>
      <c r="CE355" s="185"/>
      <c r="CF355" s="185"/>
      <c r="CG355" s="185"/>
      <c r="CH355" s="185"/>
      <c r="CI355" s="185"/>
      <c r="CJ355" s="185"/>
      <c r="CK355" s="185"/>
      <c r="CL355" s="185"/>
      <c r="CM355" s="185"/>
      <c r="CN355" s="185"/>
    </row>
    <row r="356" spans="2:92" ht="24" customHeight="1" outlineLevel="1" x14ac:dyDescent="0.35">
      <c r="C356" s="66"/>
      <c r="D356" s="67"/>
      <c r="F356" s="62"/>
      <c r="G356" s="62"/>
      <c r="H356" s="62"/>
      <c r="I356" s="62"/>
      <c r="J356" s="62"/>
      <c r="Q356" s="185">
        <f t="shared" si="263"/>
        <v>0</v>
      </c>
      <c r="R356" s="185">
        <f t="shared" si="264"/>
        <v>0</v>
      </c>
      <c r="S356" s="185">
        <f t="shared" si="265"/>
        <v>0</v>
      </c>
      <c r="T356" s="185">
        <f t="shared" si="266"/>
        <v>0</v>
      </c>
      <c r="U356" s="185">
        <f t="shared" si="267"/>
        <v>0</v>
      </c>
      <c r="V356" s="185">
        <f t="shared" si="268"/>
        <v>0</v>
      </c>
      <c r="W356" s="185">
        <f t="shared" si="269"/>
        <v>0</v>
      </c>
      <c r="X356" s="185">
        <f t="shared" si="270"/>
        <v>0</v>
      </c>
      <c r="Y356" s="185">
        <f t="shared" si="271"/>
        <v>0</v>
      </c>
      <c r="Z356" s="196">
        <f t="shared" ca="1" si="272"/>
        <v>10577</v>
      </c>
      <c r="AA356" s="185" t="str">
        <f t="shared" ca="1" si="273"/>
        <v>Offererad produktnr. 04Foxway Education AB</v>
      </c>
      <c r="AB356" s="185"/>
      <c r="AC356" s="185" t="b">
        <f ca="1">IFERROR(IF(D345="",TRUE,
IF(OR(D345=$CB$12,D345=$CB$13),IF(LEFT(AS356,FIND(" ",AS356)-1)=D345,TRUE,FALSE),
IF(OFFSET(Processor!$AB$1,MATCH($AS356,Processor!$AA$2:$AA$23,0),MATCH(LEFT(D345,FIND(" ",D345)-1),Processor!$AC$1:$AG$1,0))&gt;=
OFFSET(Processor!$AB$1,MATCH(D345,Processor!$AA$2:$AA$23,0),MATCH(LEFT(D345,FIND(" ",D345)-1),Processor!$AC$1:$AG$1,0)),TRUE,FALSE))),FALSE)</f>
        <v>1</v>
      </c>
      <c r="AD356" s="185" t="b">
        <f t="shared" si="274"/>
        <v>1</v>
      </c>
      <c r="AE356" s="185" t="b">
        <f t="shared" si="275"/>
        <v>1</v>
      </c>
      <c r="AF356" s="185" t="b">
        <f>IF($D$343="",TRUE,IF(COUNTIF(Processor!$I$2:$I$9,$D$343)&gt;0,AND(AV356&gt;INDEX(Processor!$J$2:$J$9,MATCH($D$343,Processor!$I$2:$I$9,0)),AV356&lt;INDEX(Processor!$K$2:$K$9,MATCH($D$343,Processor!$I$2:$I$9,0))),IF(AV356=$D$343,TRUE,FALSE)))</f>
        <v>1</v>
      </c>
      <c r="AG356" s="185" t="b">
        <f t="shared" si="276"/>
        <v>1</v>
      </c>
      <c r="AH356" s="185" t="b">
        <f t="shared" si="277"/>
        <v>1</v>
      </c>
      <c r="AI356" s="185" t="b">
        <f t="shared" si="278"/>
        <v>1</v>
      </c>
      <c r="AJ356" s="185" t="b">
        <f t="shared" si="279"/>
        <v>1</v>
      </c>
      <c r="AK356" s="185" t="b">
        <f t="shared" si="280"/>
        <v>1</v>
      </c>
      <c r="AL356" s="185" t="b">
        <f>IFERROR(IF($D354="",TRUE,IF(MID(BC356,LEN(BC356)-2,1)*1&gt;=MID($D354,LEN($D354)-2,1)*1,TRUE,FALSE)),FALSE)</f>
        <v>1</v>
      </c>
      <c r="AM356" s="185" t="b">
        <f>IF(D353="",TRUE,IF(BB356&gt;=D353,TRUE,FALSE))</f>
        <v>1</v>
      </c>
      <c r="AN356" s="185"/>
      <c r="AO356" s="185"/>
      <c r="AP356" s="185" t="s">
        <v>213</v>
      </c>
      <c r="AQ356" s="185">
        <v>1</v>
      </c>
      <c r="AR356" s="185" t="str">
        <f t="shared" ca="1" si="287"/>
        <v>1920x1080</v>
      </c>
      <c r="AS356" s="185" t="str">
        <f t="shared" ca="1" si="287"/>
        <v>Intel i7</v>
      </c>
      <c r="AT356" s="185">
        <f t="shared" ca="1" si="287"/>
        <v>16</v>
      </c>
      <c r="AU356" s="185">
        <f t="shared" ca="1" si="287"/>
        <v>512</v>
      </c>
      <c r="AV356" s="185">
        <f t="shared" ca="1" si="287"/>
        <v>14</v>
      </c>
      <c r="AW356" s="185">
        <f t="shared" ca="1" si="287"/>
        <v>4</v>
      </c>
      <c r="AX356" s="185">
        <f t="shared" ca="1" si="287"/>
        <v>2</v>
      </c>
      <c r="AY356" s="185" t="str">
        <f t="shared" ca="1" si="287"/>
        <v>Ja, HDMI-port finns</v>
      </c>
      <c r="AZ356" s="185" t="str">
        <f t="shared" ca="1" si="287"/>
        <v>802.11a/b/g/n/ac/ax</v>
      </c>
      <c r="BA356" s="185">
        <f t="shared" ca="1" si="287"/>
        <v>5.3</v>
      </c>
      <c r="BB356" s="185">
        <f t="shared" ca="1" si="288"/>
        <v>11</v>
      </c>
      <c r="BC356" s="185" t="str">
        <f t="shared" ca="1" si="288"/>
        <v>Version 8.0</v>
      </c>
      <c r="BD356" s="185" t="str">
        <f t="shared" ca="1" si="288"/>
        <v>Ja</v>
      </c>
      <c r="BE356" s="185" t="str">
        <f t="shared" ca="1" si="288"/>
        <v>Windows 11 Pro</v>
      </c>
      <c r="BF356" s="185" t="str">
        <f t="shared" ca="1" si="288"/>
        <v>Probook 445 G10</v>
      </c>
      <c r="BG356" s="185">
        <f t="shared" ca="1" si="288"/>
        <v>10577</v>
      </c>
      <c r="BH356" s="192">
        <f t="shared" ca="1" si="288"/>
        <v>93</v>
      </c>
      <c r="BI356" s="192">
        <f t="shared" ca="1" si="288"/>
        <v>252</v>
      </c>
      <c r="BJ356" s="192">
        <f t="shared" ca="1" si="288"/>
        <v>138</v>
      </c>
      <c r="BK356" s="192">
        <f t="shared" ca="1" si="288"/>
        <v>1150</v>
      </c>
      <c r="BL356" s="192">
        <f t="shared" ca="1" si="289"/>
        <v>192</v>
      </c>
      <c r="BM356" s="192">
        <f t="shared" ca="1" si="289"/>
        <v>185</v>
      </c>
      <c r="BN356" s="192">
        <f t="shared" ca="1" si="289"/>
        <v>60</v>
      </c>
      <c r="BO356" s="192">
        <f t="shared" ca="1" si="289"/>
        <v>50</v>
      </c>
      <c r="BP356" s="192" t="str">
        <f t="shared" ca="1" si="289"/>
        <v>V7</v>
      </c>
      <c r="BQ356" s="192" t="str">
        <f t="shared" ca="1" si="289"/>
        <v>Targus</v>
      </c>
      <c r="BR356" s="192" t="str">
        <f t="shared" ca="1" si="289"/>
        <v>HP</v>
      </c>
      <c r="BS356" s="192" t="str">
        <f t="shared" ca="1" si="289"/>
        <v>HP</v>
      </c>
      <c r="BT356" s="192" t="str">
        <f t="shared" ca="1" si="289"/>
        <v>V7 Elite Sleeve 14"</v>
      </c>
      <c r="BU356" s="192" t="str">
        <f t="shared" ca="1" si="289"/>
        <v>Targus Privacy Screen 14"</v>
      </c>
      <c r="BV356" s="192" t="str">
        <f t="shared" ca="1" si="289"/>
        <v>HP 45W Smart AC Adapter</v>
      </c>
      <c r="BW356" s="192" t="str">
        <f t="shared" ca="1" si="289"/>
        <v>HP USB-C Dock G5</v>
      </c>
      <c r="BX356" s="192"/>
      <c r="BY356" s="192" t="str">
        <f t="shared" ca="1" si="284"/>
        <v>Foxway Education AB</v>
      </c>
      <c r="BZ356" s="192" t="str">
        <f t="shared" ca="1" si="284"/>
        <v>HP</v>
      </c>
      <c r="CA356" s="185"/>
      <c r="CB356" s="185"/>
      <c r="CC356" s="185"/>
      <c r="CD356" s="185"/>
      <c r="CE356" s="185"/>
      <c r="CF356" s="185"/>
      <c r="CG356" s="185"/>
      <c r="CH356" s="185"/>
      <c r="CI356" s="185"/>
      <c r="CJ356" s="185"/>
      <c r="CK356" s="185"/>
      <c r="CL356" s="185"/>
      <c r="CM356" s="185"/>
      <c r="CN356" s="185"/>
    </row>
    <row r="357" spans="2:92" ht="26.25" customHeight="1" outlineLevel="1" x14ac:dyDescent="0.35">
      <c r="C357" s="212" t="s">
        <v>366</v>
      </c>
      <c r="D357" s="213"/>
      <c r="E357" s="213"/>
      <c r="F357" s="213"/>
      <c r="G357" s="213"/>
      <c r="H357" s="213"/>
      <c r="I357" s="214"/>
      <c r="J357" s="68"/>
      <c r="Q357" s="185">
        <f t="shared" si="263"/>
        <v>0</v>
      </c>
      <c r="R357" s="185">
        <f t="shared" si="264"/>
        <v>0</v>
      </c>
      <c r="S357" s="185">
        <f t="shared" si="265"/>
        <v>0</v>
      </c>
      <c r="T357" s="185">
        <f t="shared" si="266"/>
        <v>0</v>
      </c>
      <c r="U357" s="185">
        <f t="shared" si="267"/>
        <v>0</v>
      </c>
      <c r="V357" s="185">
        <f t="shared" si="268"/>
        <v>0</v>
      </c>
      <c r="W357" s="185">
        <f t="shared" si="269"/>
        <v>0</v>
      </c>
      <c r="X357" s="185">
        <f t="shared" si="270"/>
        <v>0</v>
      </c>
      <c r="Y357" s="185">
        <f t="shared" si="271"/>
        <v>0</v>
      </c>
      <c r="Z357" s="196">
        <f t="shared" ca="1" si="272"/>
        <v>6420</v>
      </c>
      <c r="AA357" s="185" t="str">
        <f t="shared" ca="1" si="273"/>
        <v>Offererad produktnr. 01Qlosr Göteborg AB</v>
      </c>
      <c r="AB357" s="185"/>
      <c r="AC357" s="185" t="b">
        <f ca="1">IFERROR(IF(D345="",TRUE,
IF(OR(D345=$CB$12,D345=$CB$13),IF(LEFT(AS357,FIND(" ",AS357)-1)=D345,TRUE,FALSE),
IF(OFFSET(Processor!$AB$1,MATCH($AS357,Processor!$AA$2:$AA$23,0),MATCH(LEFT(D345,FIND(" ",D345)-1),Processor!$AC$1:$AG$1,0))&gt;=
OFFSET(Processor!$AB$1,MATCH(D345,Processor!$AA$2:$AA$23,0),MATCH(LEFT(D345,FIND(" ",D345)-1),Processor!$AC$1:$AG$1,0)),TRUE,FALSE))),FALSE)</f>
        <v>1</v>
      </c>
      <c r="AD357" s="185" t="b">
        <f t="shared" si="274"/>
        <v>1</v>
      </c>
      <c r="AE357" s="185" t="b">
        <f t="shared" si="275"/>
        <v>1</v>
      </c>
      <c r="AF357" s="185" t="b">
        <f>IF($D$343="",TRUE,IF(COUNTIF(Processor!$I$2:$I$9,$D$343)&gt;0,AND(AV357&gt;INDEX(Processor!$J$2:$J$9,MATCH($D$343,Processor!$I$2:$I$9,0)),AV357&lt;INDEX(Processor!$K$2:$K$9,MATCH($D$343,Processor!$I$2:$I$9,0))),IF(AV357=$D$343,TRUE,FALSE)))</f>
        <v>1</v>
      </c>
      <c r="AG357" s="185" t="b">
        <f t="shared" si="276"/>
        <v>1</v>
      </c>
      <c r="AH357" s="185" t="b">
        <f t="shared" si="277"/>
        <v>1</v>
      </c>
      <c r="AI357" s="185" t="b">
        <f t="shared" si="278"/>
        <v>1</v>
      </c>
      <c r="AJ357" s="185" t="b">
        <f t="shared" si="279"/>
        <v>1</v>
      </c>
      <c r="AK357" s="185" t="b">
        <f t="shared" si="280"/>
        <v>1</v>
      </c>
      <c r="AL357" s="185" t="b">
        <f>IFERROR(IF($D354="",TRUE,IF(MID(BC357,LEN(BC357)-2,1)*1&gt;=MID($D354,LEN($D354)-2,1)*1,TRUE,FALSE)),FALSE)</f>
        <v>1</v>
      </c>
      <c r="AM357" s="185" t="b">
        <f>IF(D353="",TRUE,IF(BB357&gt;=D353,TRUE,FALSE))</f>
        <v>1</v>
      </c>
      <c r="AN357" s="185"/>
      <c r="AO357" s="185"/>
      <c r="AP357" s="185" t="s">
        <v>552</v>
      </c>
      <c r="AQ357" s="185">
        <v>1</v>
      </c>
      <c r="AR357" s="185" t="str">
        <f t="shared" ca="1" si="287"/>
        <v>1920x1080</v>
      </c>
      <c r="AS357" s="185" t="str">
        <f t="shared" ca="1" si="287"/>
        <v>AMD Ryzen 5</v>
      </c>
      <c r="AT357" s="185">
        <f t="shared" ca="1" si="287"/>
        <v>8</v>
      </c>
      <c r="AU357" s="185">
        <f t="shared" ca="1" si="287"/>
        <v>256</v>
      </c>
      <c r="AV357" s="185">
        <f t="shared" ca="1" si="287"/>
        <v>14</v>
      </c>
      <c r="AW357" s="185">
        <f t="shared" ca="1" si="287"/>
        <v>4</v>
      </c>
      <c r="AX357" s="185">
        <f t="shared" ca="1" si="287"/>
        <v>1</v>
      </c>
      <c r="AY357" s="185" t="str">
        <f t="shared" ca="1" si="287"/>
        <v>Ja, HDMI-port finns</v>
      </c>
      <c r="AZ357" s="185" t="str">
        <f t="shared" ca="1" si="287"/>
        <v>802.11a/b/g/n/ac/ax</v>
      </c>
      <c r="BA357" s="185">
        <f t="shared" ca="1" si="287"/>
        <v>5</v>
      </c>
      <c r="BB357" s="185">
        <f t="shared" ca="1" si="288"/>
        <v>11</v>
      </c>
      <c r="BC357" s="185" t="str">
        <f t="shared" ca="1" si="288"/>
        <v>Version 8.0</v>
      </c>
      <c r="BD357" s="185" t="str">
        <f t="shared" ca="1" si="288"/>
        <v>Ja</v>
      </c>
      <c r="BE357" s="185" t="str">
        <f t="shared" ca="1" si="288"/>
        <v>Windows 10 Pro</v>
      </c>
      <c r="BF357" s="185" t="str">
        <f t="shared" ca="1" si="288"/>
        <v>ProBook 445 G8</v>
      </c>
      <c r="BG357" s="185">
        <f t="shared" ca="1" si="288"/>
        <v>6420</v>
      </c>
      <c r="BH357" s="192">
        <f t="shared" ca="1" si="288"/>
        <v>79</v>
      </c>
      <c r="BI357" s="192">
        <f t="shared" ca="1" si="288"/>
        <v>199</v>
      </c>
      <c r="BJ357" s="192">
        <f t="shared" ca="1" si="288"/>
        <v>106</v>
      </c>
      <c r="BK357" s="192">
        <f t="shared" ca="1" si="288"/>
        <v>949</v>
      </c>
      <c r="BL357" s="192">
        <f t="shared" ca="1" si="289"/>
        <v>151</v>
      </c>
      <c r="BM357" s="192">
        <f t="shared" ca="1" si="289"/>
        <v>70</v>
      </c>
      <c r="BN357" s="192">
        <f t="shared" ca="1" si="289"/>
        <v>25</v>
      </c>
      <c r="BO357" s="192">
        <f t="shared" ca="1" si="289"/>
        <v>25</v>
      </c>
      <c r="BP357" s="192" t="str">
        <f t="shared" ca="1" si="289"/>
        <v>HP</v>
      </c>
      <c r="BQ357" s="192" t="str">
        <f t="shared" ca="1" si="289"/>
        <v>HP</v>
      </c>
      <c r="BR357" s="192" t="str">
        <f t="shared" ca="1" si="289"/>
        <v>HP</v>
      </c>
      <c r="BS357" s="192" t="str">
        <f t="shared" ca="1" si="289"/>
        <v>HP</v>
      </c>
      <c r="BT357" s="192" t="str">
        <f t="shared" ca="1" si="289"/>
        <v>GBX2UW01AA</v>
      </c>
      <c r="BU357" s="192" t="str">
        <f t="shared" ca="1" si="289"/>
        <v>GBXJ6E65AA</v>
      </c>
      <c r="BV357" s="192" t="str">
        <f t="shared" ca="1" si="289"/>
        <v>GBXH6Y88AA</v>
      </c>
      <c r="BW357" s="192" t="str">
        <f t="shared" ca="1" si="289"/>
        <v>GBX5TW10AA</v>
      </c>
      <c r="BX357" s="192"/>
      <c r="BY357" s="192" t="str">
        <f t="shared" ca="1" si="284"/>
        <v>Qlosr Göteborg AB</v>
      </c>
      <c r="BZ357" s="192" t="str">
        <f t="shared" ca="1" si="284"/>
        <v>HP</v>
      </c>
      <c r="CA357" s="185"/>
      <c r="CB357" s="185"/>
      <c r="CC357" s="185"/>
      <c r="CD357" s="185"/>
      <c r="CE357" s="185"/>
      <c r="CF357" s="185"/>
      <c r="CG357" s="185"/>
      <c r="CH357" s="185"/>
      <c r="CI357" s="185"/>
      <c r="CJ357" s="185"/>
      <c r="CK357" s="185"/>
      <c r="CL357" s="185"/>
      <c r="CM357" s="185"/>
      <c r="CN357" s="185"/>
    </row>
    <row r="358" spans="2:92" ht="26.25" customHeight="1" outlineLevel="1" x14ac:dyDescent="0.35">
      <c r="B358" s="69" t="s">
        <v>53</v>
      </c>
      <c r="C358" s="115" t="s">
        <v>363</v>
      </c>
      <c r="D358" s="70"/>
      <c r="F358" s="161" t="str">
        <f t="shared" ref="F358:F369" si="290">IF(F$339="Inget antal angivet","",IFERROR(INDEX($AR$340:$BZ$367,MATCH(F$336,$AP$340:$AP$367,0),MATCH($B358,$AR$340:$BZ$340,0)),""))</f>
        <v/>
      </c>
      <c r="G358" s="162">
        <f t="shared" ref="G358:I369" ca="1" si="291">IFERROR(INDEX($AR$340:$BZ$367,MATCH(G$336,$AP$340:$AP$367,0),MATCH($B358,$AR$340:$BZ$340,0)),"")</f>
        <v>79</v>
      </c>
      <c r="H358" s="162">
        <f t="shared" ca="1" si="291"/>
        <v>123</v>
      </c>
      <c r="I358" s="162">
        <f t="shared" ca="1" si="291"/>
        <v>79</v>
      </c>
      <c r="J358" s="62"/>
      <c r="Q358" s="185">
        <f t="shared" si="263"/>
        <v>0</v>
      </c>
      <c r="R358" s="185">
        <f t="shared" si="264"/>
        <v>0</v>
      </c>
      <c r="S358" s="185">
        <f t="shared" si="265"/>
        <v>0</v>
      </c>
      <c r="T358" s="185">
        <f t="shared" si="266"/>
        <v>0</v>
      </c>
      <c r="U358" s="185">
        <f t="shared" si="267"/>
        <v>0</v>
      </c>
      <c r="V358" s="185">
        <f t="shared" si="268"/>
        <v>0</v>
      </c>
      <c r="W358" s="185">
        <f t="shared" si="269"/>
        <v>0</v>
      </c>
      <c r="X358" s="185">
        <f t="shared" si="270"/>
        <v>0</v>
      </c>
      <c r="Y358" s="185">
        <f t="shared" si="271"/>
        <v>0</v>
      </c>
      <c r="Z358" s="196">
        <f t="shared" ca="1" si="272"/>
        <v>9600</v>
      </c>
      <c r="AA358" s="185" t="str">
        <f t="shared" ca="1" si="273"/>
        <v>Offererad produktnr. 02Qlosr Göteborg AB</v>
      </c>
      <c r="AB358" s="185"/>
      <c r="AC358" s="185" t="b">
        <f ca="1">IFERROR(IF(D345="",TRUE,
IF(OR(D345=$CB$12,D345=$CB$13),IF(LEFT(AS358,FIND(" ",AS358)-1)=D345,TRUE,FALSE),
IF(OFFSET(Processor!$AB$1,MATCH($AS358,Processor!$AA$2:$AA$23,0),MATCH(LEFT(D345,FIND(" ",D345)-1),Processor!$AC$1:$AG$1,0))&gt;=
OFFSET(Processor!$AB$1,MATCH(D345,Processor!$AA$2:$AA$23,0),MATCH(LEFT(D345,FIND(" ",D345)-1),Processor!$AC$1:$AG$1,0)),TRUE,FALSE))),FALSE)</f>
        <v>1</v>
      </c>
      <c r="AD358" s="185" t="b">
        <f t="shared" si="274"/>
        <v>1</v>
      </c>
      <c r="AE358" s="185" t="b">
        <f t="shared" si="275"/>
        <v>1</v>
      </c>
      <c r="AF358" s="185" t="b">
        <f>IF($D$343="",TRUE,IF(COUNTIF(Processor!$I$2:$I$9,$D$343)&gt;0,AND(AV358&gt;INDEX(Processor!$J$2:$J$9,MATCH($D$343,Processor!$I$2:$I$9,0)),AV358&lt;INDEX(Processor!$K$2:$K$9,MATCH($D$343,Processor!$I$2:$I$9,0))),IF(AV358=$D$343,TRUE,FALSE)))</f>
        <v>1</v>
      </c>
      <c r="AG358" s="185" t="b">
        <f t="shared" si="276"/>
        <v>1</v>
      </c>
      <c r="AH358" s="185" t="b">
        <f t="shared" si="277"/>
        <v>1</v>
      </c>
      <c r="AI358" s="185" t="b">
        <f t="shared" si="278"/>
        <v>1</v>
      </c>
      <c r="AJ358" s="185" t="b">
        <f t="shared" si="279"/>
        <v>1</v>
      </c>
      <c r="AK358" s="185" t="b">
        <f t="shared" si="280"/>
        <v>1</v>
      </c>
      <c r="AL358" s="185" t="b">
        <f>IFERROR(IF($D354="",TRUE,IF(MID(BC358,LEN(BC358)-2,1)*1&gt;=MID($D354,LEN($D354)-2,1)*1,TRUE,FALSE)),FALSE)</f>
        <v>1</v>
      </c>
      <c r="AM358" s="185" t="b">
        <f>IF(D353="",TRUE,IF(BB358&gt;=D353,TRUE,FALSE))</f>
        <v>1</v>
      </c>
      <c r="AN358" s="185"/>
      <c r="AO358" s="185"/>
      <c r="AP358" s="185" t="s">
        <v>553</v>
      </c>
      <c r="AQ358" s="185">
        <v>1</v>
      </c>
      <c r="AR358" s="185" t="str">
        <f t="shared" ca="1" si="287"/>
        <v>1920x1080</v>
      </c>
      <c r="AS358" s="185" t="str">
        <f t="shared" ca="1" si="287"/>
        <v>Intel i5</v>
      </c>
      <c r="AT358" s="185">
        <f t="shared" ca="1" si="287"/>
        <v>8</v>
      </c>
      <c r="AU358" s="185">
        <f t="shared" ca="1" si="287"/>
        <v>256</v>
      </c>
      <c r="AV358" s="185">
        <f t="shared" ca="1" si="287"/>
        <v>14</v>
      </c>
      <c r="AW358" s="185">
        <f t="shared" ca="1" si="287"/>
        <v>2</v>
      </c>
      <c r="AX358" s="185">
        <f t="shared" ca="1" si="287"/>
        <v>2</v>
      </c>
      <c r="AY358" s="185" t="str">
        <f t="shared" ca="1" si="287"/>
        <v>Ja, HDMI-port finns</v>
      </c>
      <c r="AZ358" s="185" t="str">
        <f t="shared" ca="1" si="287"/>
        <v>802.11a/b/g/n/ac/ax</v>
      </c>
      <c r="BA358" s="185">
        <f t="shared" ca="1" si="287"/>
        <v>5.3</v>
      </c>
      <c r="BB358" s="185">
        <f t="shared" ca="1" si="288"/>
        <v>11</v>
      </c>
      <c r="BC358" s="185" t="str">
        <f t="shared" ca="1" si="288"/>
        <v>Version 8.0</v>
      </c>
      <c r="BD358" s="185" t="str">
        <f t="shared" ca="1" si="288"/>
        <v>Ja</v>
      </c>
      <c r="BE358" s="185" t="str">
        <f t="shared" ca="1" si="288"/>
        <v>Windows 11 Pro</v>
      </c>
      <c r="BF358" s="185" t="str">
        <f t="shared" ca="1" si="288"/>
        <v>Dell Latitude 5440</v>
      </c>
      <c r="BG358" s="185">
        <f t="shared" ca="1" si="288"/>
        <v>9600</v>
      </c>
      <c r="BH358" s="192">
        <f t="shared" ca="1" si="288"/>
        <v>79</v>
      </c>
      <c r="BI358" s="192">
        <f t="shared" ca="1" si="288"/>
        <v>199</v>
      </c>
      <c r="BJ358" s="192">
        <f t="shared" ca="1" si="288"/>
        <v>182</v>
      </c>
      <c r="BK358" s="192">
        <f t="shared" ca="1" si="288"/>
        <v>1138</v>
      </c>
      <c r="BL358" s="192">
        <f t="shared" ca="1" si="289"/>
        <v>151</v>
      </c>
      <c r="BM358" s="192">
        <f t="shared" ca="1" si="289"/>
        <v>70</v>
      </c>
      <c r="BN358" s="192">
        <f t="shared" ca="1" si="289"/>
        <v>25</v>
      </c>
      <c r="BO358" s="192">
        <f t="shared" ca="1" si="289"/>
        <v>25</v>
      </c>
      <c r="BP358" s="192" t="str">
        <f t="shared" ca="1" si="289"/>
        <v>HP</v>
      </c>
      <c r="BQ358" s="192" t="str">
        <f t="shared" ca="1" si="289"/>
        <v>HP</v>
      </c>
      <c r="BR358" s="192" t="str">
        <f t="shared" ca="1" si="289"/>
        <v>Dell</v>
      </c>
      <c r="BS358" s="192" t="str">
        <f t="shared" ca="1" si="289"/>
        <v>HP</v>
      </c>
      <c r="BT358" s="192" t="str">
        <f t="shared" ca="1" si="289"/>
        <v>GBX3E2U7AA</v>
      </c>
      <c r="BU358" s="192" t="str">
        <f t="shared" ca="1" si="289"/>
        <v>GBXJ6E65AA</v>
      </c>
      <c r="BV358" s="192" t="str">
        <f t="shared" ca="1" si="289"/>
        <v>GBXUSBC65W-2</v>
      </c>
      <c r="BW358" s="192" t="str">
        <f t="shared" ca="1" si="289"/>
        <v>GBX5TW10AA</v>
      </c>
      <c r="BX358" s="192"/>
      <c r="BY358" s="192" t="str">
        <f t="shared" ca="1" si="284"/>
        <v>Qlosr Göteborg AB</v>
      </c>
      <c r="BZ358" s="192" t="str">
        <f t="shared" ca="1" si="284"/>
        <v>Dell</v>
      </c>
      <c r="CA358" s="185"/>
      <c r="CB358" s="185"/>
      <c r="CC358" s="185"/>
      <c r="CD358" s="185"/>
      <c r="CE358" s="185"/>
      <c r="CF358" s="185"/>
      <c r="CG358" s="185"/>
      <c r="CH358" s="185"/>
      <c r="CI358" s="185"/>
      <c r="CJ358" s="185"/>
      <c r="CK358" s="185"/>
      <c r="CL358" s="185"/>
      <c r="CM358" s="185"/>
      <c r="CN358" s="185"/>
    </row>
    <row r="359" spans="2:92" ht="26.25" customHeight="1" outlineLevel="1" x14ac:dyDescent="0.35">
      <c r="B359" s="69" t="s">
        <v>340</v>
      </c>
      <c r="C359" s="96" t="s">
        <v>51</v>
      </c>
      <c r="D359" s="131" t="str">
        <f>IF("Ska Ingå"=D358,"Ska Ingå","")</f>
        <v/>
      </c>
      <c r="F359" s="84" t="str">
        <f t="shared" si="290"/>
        <v/>
      </c>
      <c r="G359" s="85" t="str">
        <f t="shared" ca="1" si="291"/>
        <v>HP</v>
      </c>
      <c r="H359" s="85" t="str">
        <f t="shared" ca="1" si="291"/>
        <v>Cirafon</v>
      </c>
      <c r="I359" s="85" t="str">
        <f t="shared" ca="1" si="291"/>
        <v>HP</v>
      </c>
      <c r="J359" s="62"/>
      <c r="Q359" s="185">
        <f t="shared" si="263"/>
        <v>0</v>
      </c>
      <c r="R359" s="185">
        <f t="shared" si="264"/>
        <v>0</v>
      </c>
      <c r="S359" s="185">
        <f t="shared" si="265"/>
        <v>0</v>
      </c>
      <c r="T359" s="185">
        <f t="shared" si="266"/>
        <v>0</v>
      </c>
      <c r="U359" s="185">
        <f t="shared" si="267"/>
        <v>0</v>
      </c>
      <c r="V359" s="185">
        <f t="shared" si="268"/>
        <v>0</v>
      </c>
      <c r="W359" s="185">
        <f t="shared" si="269"/>
        <v>0</v>
      </c>
      <c r="X359" s="185">
        <f t="shared" si="270"/>
        <v>0</v>
      </c>
      <c r="Y359" s="185">
        <f t="shared" si="271"/>
        <v>0</v>
      </c>
      <c r="Z359" s="196">
        <f t="shared" ca="1" si="272"/>
        <v>7640</v>
      </c>
      <c r="AA359" s="185" t="str">
        <f t="shared" ca="1" si="273"/>
        <v>Offererad produktnr. 03Qlosr Göteborg AB</v>
      </c>
      <c r="AB359" s="185"/>
      <c r="AC359" s="185" t="b">
        <f ca="1">IFERROR(IF(D345="",TRUE,
IF(OR(D345=$CB$12,D345=$CB$13),IF(LEFT(AS359,FIND(" ",AS359)-1)=D345,TRUE,FALSE),
IF(OFFSET(Processor!$AB$1,MATCH($AS359,Processor!$AA$2:$AA$23,0),MATCH(LEFT(D345,FIND(" ",D345)-1),Processor!$AC$1:$AG$1,0))&gt;=
OFFSET(Processor!$AB$1,MATCH(D345,Processor!$AA$2:$AA$23,0),MATCH(LEFT(D345,FIND(" ",D345)-1),Processor!$AC$1:$AG$1,0)),TRUE,FALSE))),FALSE)</f>
        <v>1</v>
      </c>
      <c r="AD359" s="185" t="b">
        <f t="shared" si="274"/>
        <v>1</v>
      </c>
      <c r="AE359" s="185" t="b">
        <f t="shared" si="275"/>
        <v>1</v>
      </c>
      <c r="AF359" s="185" t="b">
        <f>IF($D$343="",TRUE,IF(COUNTIF(Processor!$I$2:$I$9,$D$343)&gt;0,AND(AV359&gt;INDEX(Processor!$J$2:$J$9,MATCH($D$343,Processor!$I$2:$I$9,0)),AV359&lt;INDEX(Processor!$K$2:$K$9,MATCH($D$343,Processor!$I$2:$I$9,0))),IF(AV359=$D$343,TRUE,FALSE)))</f>
        <v>1</v>
      </c>
      <c r="AG359" s="185" t="b">
        <f t="shared" si="276"/>
        <v>1</v>
      </c>
      <c r="AH359" s="185" t="b">
        <f t="shared" si="277"/>
        <v>1</v>
      </c>
      <c r="AI359" s="185" t="b">
        <f t="shared" si="278"/>
        <v>1</v>
      </c>
      <c r="AJ359" s="185" t="b">
        <f t="shared" si="279"/>
        <v>1</v>
      </c>
      <c r="AK359" s="185" t="b">
        <f t="shared" si="280"/>
        <v>1</v>
      </c>
      <c r="AL359" s="185" t="b">
        <f>IFERROR(IF($D354="",TRUE,IF(MID(BC359,LEN(BC359)-2,1)*1&gt;=MID($D354,LEN($D354)-2,1)*1,TRUE,FALSE)),FALSE)</f>
        <v>1</v>
      </c>
      <c r="AM359" s="185" t="b">
        <f>IF(D353="",TRUE,IF(BB359&gt;=D353,TRUE,FALSE))</f>
        <v>1</v>
      </c>
      <c r="AN359" s="185"/>
      <c r="AO359" s="185"/>
      <c r="AP359" s="185" t="s">
        <v>554</v>
      </c>
      <c r="AQ359" s="185">
        <v>1</v>
      </c>
      <c r="AR359" s="185" t="str">
        <f t="shared" ca="1" si="287"/>
        <v>1920x1080</v>
      </c>
      <c r="AS359" s="185" t="str">
        <f t="shared" ca="1" si="287"/>
        <v>AMD Ryzen 7</v>
      </c>
      <c r="AT359" s="185">
        <f t="shared" ca="1" si="287"/>
        <v>16</v>
      </c>
      <c r="AU359" s="185">
        <f t="shared" ca="1" si="287"/>
        <v>512</v>
      </c>
      <c r="AV359" s="185">
        <f t="shared" ca="1" si="287"/>
        <v>14</v>
      </c>
      <c r="AW359" s="185">
        <f t="shared" ca="1" si="287"/>
        <v>4</v>
      </c>
      <c r="AX359" s="185">
        <f t="shared" ca="1" si="287"/>
        <v>1</v>
      </c>
      <c r="AY359" s="185" t="str">
        <f t="shared" ca="1" si="287"/>
        <v>Ja, HDMI-port finns</v>
      </c>
      <c r="AZ359" s="185" t="str">
        <f t="shared" ca="1" si="287"/>
        <v>802.11a/b/g/n/ac/ax</v>
      </c>
      <c r="BA359" s="185">
        <f t="shared" ca="1" si="287"/>
        <v>5</v>
      </c>
      <c r="BB359" s="185">
        <f t="shared" ca="1" si="288"/>
        <v>11</v>
      </c>
      <c r="BC359" s="185" t="str">
        <f t="shared" ca="1" si="288"/>
        <v>Version 8.0</v>
      </c>
      <c r="BD359" s="185" t="str">
        <f t="shared" ca="1" si="288"/>
        <v>Ja</v>
      </c>
      <c r="BE359" s="185" t="str">
        <f t="shared" ca="1" si="288"/>
        <v>Windows 10 Pro</v>
      </c>
      <c r="BF359" s="185" t="str">
        <f t="shared" ca="1" si="288"/>
        <v>ProBook 445 G8</v>
      </c>
      <c r="BG359" s="185">
        <f t="shared" ca="1" si="288"/>
        <v>7640</v>
      </c>
      <c r="BH359" s="192">
        <f t="shared" ca="1" si="288"/>
        <v>79</v>
      </c>
      <c r="BI359" s="192">
        <f t="shared" ca="1" si="288"/>
        <v>199</v>
      </c>
      <c r="BJ359" s="192">
        <f t="shared" ca="1" si="288"/>
        <v>106</v>
      </c>
      <c r="BK359" s="192">
        <f t="shared" ca="1" si="288"/>
        <v>949</v>
      </c>
      <c r="BL359" s="192">
        <f t="shared" ca="1" si="289"/>
        <v>151</v>
      </c>
      <c r="BM359" s="192">
        <f t="shared" ca="1" si="289"/>
        <v>70</v>
      </c>
      <c r="BN359" s="192">
        <f t="shared" ca="1" si="289"/>
        <v>25</v>
      </c>
      <c r="BO359" s="192">
        <f t="shared" ca="1" si="289"/>
        <v>25</v>
      </c>
      <c r="BP359" s="192" t="str">
        <f t="shared" ca="1" si="289"/>
        <v>HP</v>
      </c>
      <c r="BQ359" s="192" t="str">
        <f t="shared" ca="1" si="289"/>
        <v>HP</v>
      </c>
      <c r="BR359" s="192" t="str">
        <f t="shared" ca="1" si="289"/>
        <v>HP</v>
      </c>
      <c r="BS359" s="192" t="str">
        <f t="shared" ca="1" si="289"/>
        <v>HP</v>
      </c>
      <c r="BT359" s="192" t="str">
        <f t="shared" ca="1" si="289"/>
        <v>GBX2UW01AA</v>
      </c>
      <c r="BU359" s="192" t="str">
        <f t="shared" ca="1" si="289"/>
        <v>GBXJ6E65AA</v>
      </c>
      <c r="BV359" s="192" t="str">
        <f t="shared" ca="1" si="289"/>
        <v>GBXH6Y88AA</v>
      </c>
      <c r="BW359" s="192" t="str">
        <f t="shared" ca="1" si="289"/>
        <v>GBX5TW10AA</v>
      </c>
      <c r="BX359" s="192"/>
      <c r="BY359" s="192" t="str">
        <f t="shared" ca="1" si="284"/>
        <v>Qlosr Göteborg AB</v>
      </c>
      <c r="BZ359" s="192" t="str">
        <f t="shared" ca="1" si="284"/>
        <v>HP</v>
      </c>
      <c r="CA359" s="185"/>
      <c r="CB359" s="185"/>
      <c r="CC359" s="185"/>
      <c r="CD359" s="185"/>
      <c r="CE359" s="185"/>
      <c r="CF359" s="185"/>
      <c r="CG359" s="185"/>
      <c r="CH359" s="185"/>
      <c r="CI359" s="185"/>
      <c r="CJ359" s="185"/>
      <c r="CK359" s="185"/>
      <c r="CL359" s="185"/>
      <c r="CM359" s="185"/>
      <c r="CN359" s="185"/>
    </row>
    <row r="360" spans="2:92" ht="67.5" customHeight="1" outlineLevel="1" x14ac:dyDescent="0.35">
      <c r="B360" s="69" t="s">
        <v>345</v>
      </c>
      <c r="C360" s="97" t="s">
        <v>52</v>
      </c>
      <c r="D360" s="132" t="str">
        <f>IF("Ska Ingå"=D358,"Ska Ingå","")</f>
        <v/>
      </c>
      <c r="F360" s="86" t="str">
        <f t="shared" si="290"/>
        <v/>
      </c>
      <c r="G360" s="87" t="str">
        <f t="shared" ca="1" si="291"/>
        <v>GBX2UW01AA</v>
      </c>
      <c r="H360" s="87" t="str">
        <f t="shared" ca="1" si="291"/>
        <v>LSN8696R2-14.1</v>
      </c>
      <c r="I360" s="87" t="str">
        <f t="shared" ca="1" si="291"/>
        <v>GBX2UW01AA</v>
      </c>
      <c r="J360" s="62"/>
      <c r="Q360" s="185">
        <f t="shared" si="263"/>
        <v>0</v>
      </c>
      <c r="R360" s="185">
        <f t="shared" si="264"/>
        <v>0</v>
      </c>
      <c r="S360" s="185">
        <f t="shared" si="265"/>
        <v>0</v>
      </c>
      <c r="T360" s="185">
        <f t="shared" si="266"/>
        <v>0</v>
      </c>
      <c r="U360" s="185">
        <f t="shared" si="267"/>
        <v>0</v>
      </c>
      <c r="V360" s="185">
        <f t="shared" si="268"/>
        <v>0</v>
      </c>
      <c r="W360" s="185">
        <f t="shared" si="269"/>
        <v>0</v>
      </c>
      <c r="X360" s="185">
        <f t="shared" si="270"/>
        <v>0</v>
      </c>
      <c r="Y360" s="185">
        <f t="shared" si="271"/>
        <v>0</v>
      </c>
      <c r="Z360" s="196">
        <f t="shared" ca="1" si="272"/>
        <v>8299</v>
      </c>
      <c r="AA360" s="185" t="str">
        <f t="shared" ca="1" si="273"/>
        <v>Offererad produktnr. 04Qlosr Göteborg AB</v>
      </c>
      <c r="AB360" s="185"/>
      <c r="AC360" s="185" t="b">
        <f ca="1">IFERROR(IF(D345="",TRUE,
IF(OR(D345=$CB$12,D345=$CB$13),IF(LEFT(AS360,FIND(" ",AS360)-1)=D345,TRUE,FALSE),
IF(OFFSET(Processor!$AB$1,MATCH($AS360,Processor!$AA$2:$AA$23,0),MATCH(LEFT(D345,FIND(" ",D345)-1),Processor!$AC$1:$AG$1,0))&gt;=
OFFSET(Processor!$AB$1,MATCH(D345,Processor!$AA$2:$AA$23,0),MATCH(LEFT(D345,FIND(" ",D345)-1),Processor!$AC$1:$AG$1,0)),TRUE,FALSE))),FALSE)</f>
        <v>1</v>
      </c>
      <c r="AD360" s="185" t="b">
        <f t="shared" si="274"/>
        <v>1</v>
      </c>
      <c r="AE360" s="185" t="b">
        <f t="shared" si="275"/>
        <v>1</v>
      </c>
      <c r="AF360" s="185" t="b">
        <f>IF($D$343="",TRUE,IF(COUNTIF(Processor!$I$2:$I$9,$D$343)&gt;0,AND(AV360&gt;INDEX(Processor!$J$2:$J$9,MATCH($D$343,Processor!$I$2:$I$9,0)),AV360&lt;INDEX(Processor!$K$2:$K$9,MATCH($D$343,Processor!$I$2:$I$9,0))),IF(AV360=$D$343,TRUE,FALSE)))</f>
        <v>1</v>
      </c>
      <c r="AG360" s="185" t="b">
        <f t="shared" si="276"/>
        <v>1</v>
      </c>
      <c r="AH360" s="185" t="b">
        <f t="shared" si="277"/>
        <v>1</v>
      </c>
      <c r="AI360" s="185" t="b">
        <f t="shared" si="278"/>
        <v>1</v>
      </c>
      <c r="AJ360" s="185" t="b">
        <f t="shared" si="279"/>
        <v>1</v>
      </c>
      <c r="AK360" s="185" t="b">
        <f t="shared" si="280"/>
        <v>1</v>
      </c>
      <c r="AL360" s="185" t="b">
        <f>IFERROR(IF($D354="",TRUE,IF(MID(BC360,LEN(BC360)-2,1)*1&gt;=MID($D354,LEN($D354)-2,1)*1,TRUE,FALSE)),FALSE)</f>
        <v>1</v>
      </c>
      <c r="AM360" s="185" t="b">
        <f>IF(D353="",TRUE,IF(BB360&gt;=D353,TRUE,FALSE))</f>
        <v>1</v>
      </c>
      <c r="AN360" s="185"/>
      <c r="AO360" s="185"/>
      <c r="AP360" s="185" t="s">
        <v>555</v>
      </c>
      <c r="AQ360" s="185">
        <v>1</v>
      </c>
      <c r="AR360" s="185" t="str">
        <f t="shared" ca="1" si="287"/>
        <v>1920x1080</v>
      </c>
      <c r="AS360" s="185" t="str">
        <f t="shared" ca="1" si="287"/>
        <v>Intel i7</v>
      </c>
      <c r="AT360" s="185">
        <f t="shared" ca="1" si="287"/>
        <v>16</v>
      </c>
      <c r="AU360" s="185">
        <f t="shared" ca="1" si="287"/>
        <v>512</v>
      </c>
      <c r="AV360" s="185">
        <f t="shared" ca="1" si="287"/>
        <v>14</v>
      </c>
      <c r="AW360" s="185">
        <f t="shared" ca="1" si="287"/>
        <v>4</v>
      </c>
      <c r="AX360" s="185">
        <f t="shared" ca="1" si="287"/>
        <v>1</v>
      </c>
      <c r="AY360" s="185" t="str">
        <f t="shared" ca="1" si="287"/>
        <v>Ja, HDMI-port finns</v>
      </c>
      <c r="AZ360" s="185" t="str">
        <f t="shared" ca="1" si="287"/>
        <v>802.11a/b/g/n/ac/ax</v>
      </c>
      <c r="BA360" s="185">
        <f t="shared" ca="1" si="287"/>
        <v>5</v>
      </c>
      <c r="BB360" s="185">
        <f t="shared" ca="1" si="288"/>
        <v>11</v>
      </c>
      <c r="BC360" s="185" t="str">
        <f t="shared" ca="1" si="288"/>
        <v>Version 8.0</v>
      </c>
      <c r="BD360" s="185" t="str">
        <f t="shared" ca="1" si="288"/>
        <v>Ja</v>
      </c>
      <c r="BE360" s="185" t="str">
        <f t="shared" ca="1" si="288"/>
        <v>Windows 10 Pro</v>
      </c>
      <c r="BF360" s="185" t="str">
        <f t="shared" ca="1" si="288"/>
        <v>ProBook 440 G8</v>
      </c>
      <c r="BG360" s="185">
        <f t="shared" ca="1" si="288"/>
        <v>8299</v>
      </c>
      <c r="BH360" s="192">
        <f t="shared" ca="1" si="288"/>
        <v>79</v>
      </c>
      <c r="BI360" s="192">
        <f t="shared" ca="1" si="288"/>
        <v>199</v>
      </c>
      <c r="BJ360" s="192">
        <f t="shared" ca="1" si="288"/>
        <v>106</v>
      </c>
      <c r="BK360" s="192">
        <f t="shared" ca="1" si="288"/>
        <v>949</v>
      </c>
      <c r="BL360" s="192">
        <f t="shared" ca="1" si="289"/>
        <v>151</v>
      </c>
      <c r="BM360" s="192">
        <f t="shared" ca="1" si="289"/>
        <v>70</v>
      </c>
      <c r="BN360" s="192">
        <f t="shared" ca="1" si="289"/>
        <v>25</v>
      </c>
      <c r="BO360" s="192">
        <f t="shared" ca="1" si="289"/>
        <v>25</v>
      </c>
      <c r="BP360" s="192" t="str">
        <f t="shared" ca="1" si="289"/>
        <v>HP</v>
      </c>
      <c r="BQ360" s="192" t="str">
        <f t="shared" ca="1" si="289"/>
        <v>HP</v>
      </c>
      <c r="BR360" s="192" t="str">
        <f t="shared" ca="1" si="289"/>
        <v>HP</v>
      </c>
      <c r="BS360" s="192" t="str">
        <f t="shared" ca="1" si="289"/>
        <v>HP</v>
      </c>
      <c r="BT360" s="192" t="str">
        <f t="shared" ca="1" si="289"/>
        <v>GBX2UW01AA</v>
      </c>
      <c r="BU360" s="192" t="str">
        <f t="shared" ca="1" si="289"/>
        <v>GBXJ6E65AA</v>
      </c>
      <c r="BV360" s="192" t="str">
        <f t="shared" ca="1" si="289"/>
        <v>GBXH6Y88AA</v>
      </c>
      <c r="BW360" s="192" t="str">
        <f t="shared" ca="1" si="289"/>
        <v>GBX5TW10AA</v>
      </c>
      <c r="BX360" s="192"/>
      <c r="BY360" s="192" t="str">
        <f t="shared" ca="1" si="284"/>
        <v>Qlosr Göteborg AB</v>
      </c>
      <c r="BZ360" s="192" t="str">
        <f t="shared" ca="1" si="284"/>
        <v>HP</v>
      </c>
      <c r="CA360" s="185"/>
      <c r="CB360" s="185"/>
      <c r="CC360" s="185"/>
      <c r="CD360" s="185"/>
      <c r="CE360" s="185"/>
      <c r="CF360" s="185"/>
      <c r="CG360" s="185"/>
      <c r="CH360" s="185"/>
      <c r="CI360" s="185"/>
      <c r="CJ360" s="185"/>
      <c r="CK360" s="185"/>
      <c r="CL360" s="185"/>
      <c r="CM360" s="185"/>
      <c r="CN360" s="185"/>
    </row>
    <row r="361" spans="2:92" ht="26.25" customHeight="1" outlineLevel="1" x14ac:dyDescent="0.35">
      <c r="B361" s="69" t="s">
        <v>54</v>
      </c>
      <c r="C361" s="98" t="s">
        <v>77</v>
      </c>
      <c r="D361" s="70"/>
      <c r="F361" s="157" t="str">
        <f t="shared" si="290"/>
        <v/>
      </c>
      <c r="G361" s="158">
        <f t="shared" ca="1" si="291"/>
        <v>199</v>
      </c>
      <c r="H361" s="158">
        <f t="shared" ca="1" si="291"/>
        <v>425</v>
      </c>
      <c r="I361" s="158">
        <f t="shared" ca="1" si="291"/>
        <v>199</v>
      </c>
      <c r="J361" s="62"/>
      <c r="BH361" s="63"/>
      <c r="BI361" s="63"/>
      <c r="BJ361" s="63"/>
      <c r="BK361" s="63"/>
      <c r="BL361" s="63"/>
      <c r="BM361" s="63"/>
      <c r="BN361" s="63"/>
      <c r="BO361" s="63"/>
      <c r="BP361" s="63"/>
      <c r="BQ361" s="63"/>
      <c r="BR361" s="63"/>
      <c r="BS361" s="63"/>
      <c r="BT361" s="63"/>
      <c r="BU361" s="63"/>
      <c r="BV361" s="63"/>
      <c r="BW361" s="63"/>
      <c r="BX361" s="63"/>
      <c r="BY361" s="63"/>
      <c r="BZ361" s="63"/>
      <c r="CA361" s="185"/>
      <c r="CB361" s="185"/>
      <c r="CC361" s="185"/>
      <c r="CD361" s="185"/>
      <c r="CE361" s="185"/>
      <c r="CF361" s="185"/>
      <c r="CG361" s="185"/>
      <c r="CH361" s="185"/>
      <c r="CI361" s="185"/>
      <c r="CJ361" s="185"/>
      <c r="CK361" s="185"/>
      <c r="CL361" s="185"/>
      <c r="CM361" s="185"/>
      <c r="CN361" s="185"/>
    </row>
    <row r="362" spans="2:92" ht="26.25" customHeight="1" outlineLevel="1" x14ac:dyDescent="0.35">
      <c r="B362" s="69" t="s">
        <v>341</v>
      </c>
      <c r="C362" s="61" t="s">
        <v>51</v>
      </c>
      <c r="D362" s="131" t="str">
        <f>IF("Ska Ingå"=D361,"Ska Ingå","")</f>
        <v/>
      </c>
      <c r="F362" s="88" t="str">
        <f t="shared" si="290"/>
        <v/>
      </c>
      <c r="G362" s="89" t="str">
        <f t="shared" ca="1" si="291"/>
        <v>HP</v>
      </c>
      <c r="H362" s="89" t="str">
        <f t="shared" ca="1" si="291"/>
        <v>Cirafon</v>
      </c>
      <c r="I362" s="89" t="str">
        <f t="shared" ca="1" si="291"/>
        <v>HP</v>
      </c>
      <c r="J362" s="62"/>
      <c r="BH362" s="63"/>
      <c r="BI362" s="63"/>
      <c r="BJ362" s="63"/>
      <c r="BK362" s="63"/>
      <c r="BL362" s="63"/>
      <c r="BM362" s="63"/>
      <c r="BN362" s="63"/>
      <c r="BO362" s="63"/>
      <c r="BP362" s="63"/>
      <c r="BQ362" s="63"/>
      <c r="BR362" s="63"/>
      <c r="BS362" s="63"/>
      <c r="BT362" s="63"/>
      <c r="BU362" s="63"/>
      <c r="BV362" s="63"/>
      <c r="BW362" s="63"/>
      <c r="BX362" s="63"/>
      <c r="BY362" s="63"/>
      <c r="BZ362" s="63"/>
      <c r="CA362" s="185"/>
      <c r="CB362" s="185"/>
      <c r="CC362" s="185"/>
      <c r="CD362" s="185"/>
      <c r="CE362" s="185"/>
      <c r="CF362" s="185"/>
      <c r="CG362" s="185"/>
      <c r="CH362" s="185"/>
      <c r="CI362" s="185"/>
      <c r="CJ362" s="185"/>
      <c r="CK362" s="185"/>
      <c r="CL362" s="185"/>
      <c r="CM362" s="185"/>
      <c r="CN362" s="185"/>
    </row>
    <row r="363" spans="2:92" ht="68.25" customHeight="1" outlineLevel="1" x14ac:dyDescent="0.35">
      <c r="B363" s="69" t="s">
        <v>346</v>
      </c>
      <c r="C363" s="99" t="s">
        <v>52</v>
      </c>
      <c r="D363" s="132" t="str">
        <f>IF("Ska Ingå"=D361,"Ska Ingå","")</f>
        <v/>
      </c>
      <c r="F363" s="90" t="str">
        <f t="shared" si="290"/>
        <v/>
      </c>
      <c r="G363" s="91" t="str">
        <f t="shared" ca="1" si="291"/>
        <v>GBXJ6E65AA</v>
      </c>
      <c r="H363" s="91" t="str">
        <f t="shared" ca="1" si="291"/>
        <v>DPF14-9</v>
      </c>
      <c r="I363" s="91" t="str">
        <f t="shared" ca="1" si="291"/>
        <v>GBXJ6E65AA</v>
      </c>
      <c r="J363" s="62"/>
      <c r="BH363" s="63"/>
      <c r="BI363" s="63"/>
      <c r="BJ363" s="63"/>
      <c r="BK363" s="63"/>
      <c r="BL363" s="63"/>
      <c r="BM363" s="63"/>
      <c r="BN363" s="63"/>
      <c r="BO363" s="63"/>
      <c r="BP363" s="63"/>
      <c r="BQ363" s="63"/>
      <c r="BR363" s="63"/>
      <c r="BS363" s="63"/>
      <c r="BT363" s="63"/>
      <c r="BU363" s="63"/>
      <c r="BV363" s="63"/>
      <c r="BW363" s="63"/>
      <c r="BX363" s="63"/>
      <c r="BY363" s="63"/>
      <c r="BZ363" s="63"/>
      <c r="CA363" s="185"/>
      <c r="CB363" s="185"/>
      <c r="CC363" s="185"/>
      <c r="CD363" s="185"/>
      <c r="CE363" s="185"/>
      <c r="CF363" s="185"/>
      <c r="CG363" s="185"/>
      <c r="CH363" s="185"/>
      <c r="CI363" s="185"/>
      <c r="CJ363" s="185"/>
      <c r="CK363" s="185"/>
      <c r="CL363" s="185"/>
      <c r="CM363" s="185"/>
      <c r="CN363" s="185"/>
    </row>
    <row r="364" spans="2:92" ht="31.5" customHeight="1" outlineLevel="1" x14ac:dyDescent="0.35">
      <c r="B364" s="69" t="s">
        <v>55</v>
      </c>
      <c r="C364" s="95" t="s">
        <v>371</v>
      </c>
      <c r="D364" s="70"/>
      <c r="F364" s="159" t="str">
        <f t="shared" si="290"/>
        <v/>
      </c>
      <c r="G364" s="160">
        <f t="shared" ca="1" si="291"/>
        <v>106</v>
      </c>
      <c r="H364" s="160">
        <f t="shared" ca="1" si="291"/>
        <v>149</v>
      </c>
      <c r="I364" s="160">
        <f t="shared" ca="1" si="291"/>
        <v>106</v>
      </c>
      <c r="J364" s="62"/>
      <c r="BH364" s="63"/>
      <c r="BI364" s="63"/>
      <c r="BJ364" s="63"/>
      <c r="BK364" s="63"/>
      <c r="BL364" s="63"/>
      <c r="BM364" s="63"/>
      <c r="BN364" s="63"/>
      <c r="BO364" s="63"/>
      <c r="BP364" s="63"/>
      <c r="BQ364" s="63"/>
      <c r="BR364" s="63"/>
      <c r="BS364" s="63"/>
      <c r="BT364" s="63"/>
      <c r="BU364" s="63"/>
      <c r="BV364" s="63"/>
      <c r="BW364" s="63"/>
      <c r="BX364" s="63"/>
      <c r="BY364" s="63"/>
      <c r="BZ364" s="63"/>
      <c r="CA364" s="185"/>
      <c r="CB364" s="185"/>
      <c r="CC364" s="185"/>
      <c r="CD364" s="185"/>
      <c r="CE364" s="185"/>
      <c r="CF364" s="185"/>
      <c r="CG364" s="185"/>
      <c r="CH364" s="185"/>
      <c r="CI364" s="185"/>
      <c r="CJ364" s="185"/>
      <c r="CK364" s="185"/>
      <c r="CL364" s="185"/>
      <c r="CM364" s="185"/>
      <c r="CN364" s="185"/>
    </row>
    <row r="365" spans="2:92" ht="26.25" customHeight="1" outlineLevel="1" x14ac:dyDescent="0.35">
      <c r="B365" s="69" t="s">
        <v>342</v>
      </c>
      <c r="C365" s="96" t="s">
        <v>51</v>
      </c>
      <c r="D365" s="131" t="str">
        <f>IF("Ska Ingå"=D364,"Ska Ingå","")</f>
        <v/>
      </c>
      <c r="F365" s="84" t="str">
        <f t="shared" si="290"/>
        <v/>
      </c>
      <c r="G365" s="85" t="str">
        <f t="shared" ca="1" si="291"/>
        <v>HP</v>
      </c>
      <c r="H365" s="85" t="str">
        <f t="shared" ca="1" si="291"/>
        <v>HP</v>
      </c>
      <c r="I365" s="85" t="str">
        <f t="shared" ca="1" si="291"/>
        <v>HP</v>
      </c>
      <c r="J365" s="62"/>
    </row>
    <row r="366" spans="2:92" ht="67.5" customHeight="1" outlineLevel="1" x14ac:dyDescent="0.35">
      <c r="B366" s="69" t="s">
        <v>347</v>
      </c>
      <c r="C366" s="97" t="s">
        <v>52</v>
      </c>
      <c r="D366" s="132" t="str">
        <f>IF("Ska Ingå"=D364,"Ska Ingå","")</f>
        <v/>
      </c>
      <c r="F366" s="86" t="str">
        <f t="shared" si="290"/>
        <v/>
      </c>
      <c r="G366" s="87" t="str">
        <f t="shared" ca="1" si="291"/>
        <v>GBXH6Y88AA</v>
      </c>
      <c r="H366" s="87" t="str">
        <f t="shared" ca="1" si="291"/>
        <v xml:space="preserve">1MZ01AA </v>
      </c>
      <c r="I366" s="87" t="str">
        <f t="shared" ca="1" si="291"/>
        <v>GBXH6Y88AA</v>
      </c>
      <c r="J366" s="62"/>
    </row>
    <row r="367" spans="2:92" ht="26.25" customHeight="1" outlineLevel="1" x14ac:dyDescent="0.35">
      <c r="B367" s="69" t="s">
        <v>59</v>
      </c>
      <c r="C367" s="98" t="s">
        <v>364</v>
      </c>
      <c r="D367" s="70"/>
      <c r="F367" s="157" t="str">
        <f t="shared" si="290"/>
        <v/>
      </c>
      <c r="G367" s="158">
        <f t="shared" ca="1" si="291"/>
        <v>949</v>
      </c>
      <c r="H367" s="158">
        <f t="shared" ca="1" si="291"/>
        <v>1185</v>
      </c>
      <c r="I367" s="158">
        <f t="shared" ca="1" si="291"/>
        <v>949</v>
      </c>
      <c r="J367" s="62"/>
      <c r="BH367" s="63"/>
      <c r="BI367" s="63"/>
      <c r="BJ367" s="63"/>
      <c r="BK367" s="63"/>
      <c r="BL367" s="63"/>
      <c r="BM367" s="63"/>
      <c r="BN367" s="63"/>
      <c r="BO367" s="63"/>
      <c r="BP367" s="63"/>
      <c r="BQ367" s="63"/>
      <c r="BR367" s="63"/>
      <c r="BS367" s="63"/>
      <c r="BT367" s="63"/>
      <c r="BU367" s="63"/>
      <c r="BV367" s="63"/>
      <c r="BW367" s="63"/>
      <c r="BX367" s="63"/>
      <c r="BY367" s="63"/>
      <c r="BZ367" s="63"/>
    </row>
    <row r="368" spans="2:92" ht="26.25" customHeight="1" outlineLevel="1" x14ac:dyDescent="0.35">
      <c r="B368" s="69" t="s">
        <v>343</v>
      </c>
      <c r="C368" s="61" t="s">
        <v>51</v>
      </c>
      <c r="D368" s="131" t="str">
        <f>IF("Ska Ingå"=D367,"Ska Ingå","")</f>
        <v/>
      </c>
      <c r="F368" s="88" t="str">
        <f t="shared" si="290"/>
        <v/>
      </c>
      <c r="G368" s="89" t="str">
        <f t="shared" ca="1" si="291"/>
        <v>HP</v>
      </c>
      <c r="H368" s="89" t="str">
        <f t="shared" ca="1" si="291"/>
        <v>HP</v>
      </c>
      <c r="I368" s="89" t="str">
        <f t="shared" ca="1" si="291"/>
        <v>HP</v>
      </c>
      <c r="J368" s="62"/>
    </row>
    <row r="369" spans="2:92" ht="67.5" customHeight="1" outlineLevel="1" x14ac:dyDescent="0.35">
      <c r="B369" s="69" t="s">
        <v>348</v>
      </c>
      <c r="C369" s="99" t="s">
        <v>52</v>
      </c>
      <c r="D369" s="132" t="str">
        <f>IF("Ska Ingå"=D367,"Ska Ingå","")</f>
        <v/>
      </c>
      <c r="F369" s="90" t="str">
        <f t="shared" si="290"/>
        <v/>
      </c>
      <c r="G369" s="91" t="str">
        <f t="shared" ca="1" si="291"/>
        <v>GBX5TW10AA</v>
      </c>
      <c r="H369" s="91" t="str">
        <f t="shared" ca="1" si="291"/>
        <v>72C71AA</v>
      </c>
      <c r="I369" s="91" t="str">
        <f t="shared" ca="1" si="291"/>
        <v>GBX5TW10AA</v>
      </c>
      <c r="J369" s="62"/>
      <c r="BH369" s="63"/>
      <c r="BI369" s="63"/>
      <c r="BJ369" s="63"/>
      <c r="BK369" s="63"/>
      <c r="BL369" s="63"/>
      <c r="BM369" s="63"/>
      <c r="BN369" s="63"/>
      <c r="BO369" s="63"/>
      <c r="BP369" s="63"/>
      <c r="BQ369" s="63"/>
      <c r="BR369" s="63"/>
      <c r="BS369" s="63"/>
      <c r="BT369" s="63"/>
      <c r="BU369" s="63"/>
      <c r="BV369" s="63"/>
      <c r="BW369" s="63"/>
      <c r="BX369" s="63"/>
      <c r="BY369" s="63"/>
      <c r="BZ369" s="63"/>
    </row>
    <row r="370" spans="2:92" ht="26.25" customHeight="1" outlineLevel="1" x14ac:dyDescent="0.35">
      <c r="B370" s="69"/>
      <c r="C370" s="212" t="s">
        <v>365</v>
      </c>
      <c r="D370" s="215"/>
      <c r="E370" s="213"/>
      <c r="F370" s="213"/>
      <c r="G370" s="213"/>
      <c r="H370" s="213"/>
      <c r="I370" s="214"/>
      <c r="J370" s="62"/>
      <c r="BH370" s="63"/>
      <c r="BI370" s="63"/>
      <c r="BJ370" s="63"/>
      <c r="BK370" s="63"/>
      <c r="BL370" s="63"/>
      <c r="BM370" s="63"/>
      <c r="BN370" s="63"/>
      <c r="BO370" s="63"/>
      <c r="BP370" s="63"/>
      <c r="BQ370" s="63"/>
      <c r="BR370" s="63"/>
      <c r="BS370" s="63"/>
      <c r="BT370" s="63"/>
      <c r="BU370" s="63"/>
      <c r="BV370" s="63"/>
      <c r="BW370" s="63"/>
      <c r="BX370" s="63"/>
      <c r="BY370" s="63"/>
      <c r="BZ370" s="63"/>
    </row>
    <row r="371" spans="2:92" ht="26.25" customHeight="1" outlineLevel="1" x14ac:dyDescent="0.35">
      <c r="B371" s="71" t="s">
        <v>228</v>
      </c>
      <c r="C371" s="115" t="s">
        <v>367</v>
      </c>
      <c r="D371" s="70"/>
      <c r="F371" s="151" t="str">
        <f>IF(F$339="Inget antal angivet","",IFERROR(INDEX($AR$340:$BZ$367,MATCH(F$336,$AP$340:$AP$367,0),MATCH($B371,$AR$340:$BZ$340,0)),""))</f>
        <v/>
      </c>
      <c r="G371" s="152">
        <f t="shared" ref="G371:I374" ca="1" si="292">IFERROR(INDEX($AR$340:$BZ$367,MATCH(G$336,$AP$340:$AP$367,0),MATCH($B371,$AR$340:$BZ$340,0)),"")</f>
        <v>151</v>
      </c>
      <c r="H371" s="152">
        <f t="shared" ca="1" si="292"/>
        <v>450</v>
      </c>
      <c r="I371" s="152">
        <f t="shared" ca="1" si="292"/>
        <v>151</v>
      </c>
      <c r="J371" s="62"/>
    </row>
    <row r="372" spans="2:92" ht="26.25" customHeight="1" outlineLevel="1" x14ac:dyDescent="0.35">
      <c r="B372" s="71" t="s">
        <v>229</v>
      </c>
      <c r="C372" s="61" t="s">
        <v>368</v>
      </c>
      <c r="D372" s="70"/>
      <c r="F372" s="153" t="str">
        <f>IF(F$339="Inget antal angivet","",IFERROR(INDEX($AR$340:$BZ$367,MATCH(F$336,$AP$340:$AP$367,0),MATCH($B372,$AR$340:$BZ$340,0)),""))</f>
        <v/>
      </c>
      <c r="G372" s="154">
        <f t="shared" ca="1" si="292"/>
        <v>70</v>
      </c>
      <c r="H372" s="154">
        <f t="shared" ca="1" si="292"/>
        <v>133</v>
      </c>
      <c r="I372" s="154">
        <f t="shared" ca="1" si="292"/>
        <v>70</v>
      </c>
      <c r="J372" s="62"/>
    </row>
    <row r="373" spans="2:92" ht="26.25" customHeight="1" outlineLevel="1" x14ac:dyDescent="0.35">
      <c r="B373" s="71" t="s">
        <v>230</v>
      </c>
      <c r="C373" s="96" t="s">
        <v>369</v>
      </c>
      <c r="D373" s="70"/>
      <c r="F373" s="155" t="str">
        <f>IF(F$339="Inget antal angivet","",IFERROR(INDEX($AR$340:$BZ$367,MATCH(F$336,$AP$340:$AP$367,0),MATCH($B373,$AR$340:$BZ$340,0)),""))</f>
        <v/>
      </c>
      <c r="G373" s="156">
        <f t="shared" ca="1" si="292"/>
        <v>25</v>
      </c>
      <c r="H373" s="156">
        <f t="shared" ca="1" si="292"/>
        <v>20</v>
      </c>
      <c r="I373" s="156">
        <f t="shared" ca="1" si="292"/>
        <v>25</v>
      </c>
      <c r="J373" s="62"/>
    </row>
    <row r="374" spans="2:92" ht="26.25" customHeight="1" outlineLevel="1" x14ac:dyDescent="0.35">
      <c r="B374" s="71" t="s">
        <v>231</v>
      </c>
      <c r="C374" s="61" t="s">
        <v>370</v>
      </c>
      <c r="D374" s="70"/>
      <c r="F374" s="153" t="str">
        <f>IF(F$339="Inget antal angivet","",IFERROR(INDEX($AR$340:$BZ$367,MATCH(F$336,$AP$340:$AP$367,0),MATCH($B374,$AR$340:$BZ$340,0)),""))</f>
        <v/>
      </c>
      <c r="G374" s="154">
        <f t="shared" ca="1" si="292"/>
        <v>25</v>
      </c>
      <c r="H374" s="154">
        <f t="shared" ca="1" si="292"/>
        <v>20</v>
      </c>
      <c r="I374" s="154">
        <f t="shared" ca="1" si="292"/>
        <v>25</v>
      </c>
      <c r="J374" s="62"/>
    </row>
    <row r="375" spans="2:92" ht="24" customHeight="1" outlineLevel="1" x14ac:dyDescent="0.35"/>
    <row r="376" spans="2:92" ht="24" customHeight="1" x14ac:dyDescent="0.35"/>
    <row r="377" spans="2:92" ht="24" customHeight="1" x14ac:dyDescent="0.35">
      <c r="D377" s="72" t="s">
        <v>233</v>
      </c>
      <c r="F377" s="216" t="s">
        <v>362</v>
      </c>
      <c r="G377" s="216"/>
      <c r="H377" s="216"/>
      <c r="I377" s="217"/>
      <c r="J377" s="73"/>
    </row>
    <row r="378" spans="2:92" ht="24" customHeight="1" x14ac:dyDescent="0.35">
      <c r="D378" s="74"/>
      <c r="F378" s="202" t="str">
        <f ca="1">IFERROR(INDEX($Z$341:$Z$367,MATCH(F336,$AA$341:$AA$367,0)) *D378,"")</f>
        <v/>
      </c>
      <c r="G378" s="202">
        <f ca="1">IFERROR(P341 *D378,"")</f>
        <v>0</v>
      </c>
      <c r="H378" s="202">
        <f ca="1">IFERROR(P342 *D378,"")</f>
        <v>0</v>
      </c>
      <c r="I378" s="202">
        <f ca="1">IFERROR(P343 * D378,"")</f>
        <v>0</v>
      </c>
      <c r="J378" s="54"/>
    </row>
    <row r="380" spans="2:92" ht="15" thickBot="1" x14ac:dyDescent="0.4">
      <c r="C380" s="174"/>
      <c r="D380" s="174"/>
      <c r="E380" s="174"/>
      <c r="F380" s="174"/>
      <c r="G380" s="174"/>
      <c r="H380" s="174"/>
      <c r="I380" s="174"/>
    </row>
    <row r="381" spans="2:92" ht="15" thickTop="1" x14ac:dyDescent="0.35"/>
    <row r="384" spans="2:92" ht="59.25" customHeight="1" collapsed="1" x14ac:dyDescent="0.35">
      <c r="C384" s="53"/>
      <c r="D384" s="53"/>
      <c r="F384" s="169" t="e">
        <f ca="1">N388</f>
        <v>#N/A</v>
      </c>
      <c r="G384" s="169" t="str">
        <f ca="1">INDEX(AA389:AA415,MATCH(P389,Z389:Z415,0))</f>
        <v>Offererad produktnr. 01Qlosr Göteborg AB</v>
      </c>
      <c r="H384" s="169" t="str">
        <f ca="1">INDEX(AA389:AA415,MATCH(P390,Z389:Z415,0))</f>
        <v>Offererad produktnr. 01Dustin Sverige AB</v>
      </c>
      <c r="I384" s="169" t="str">
        <f ca="1">INDEX(AA389:AA415,MATCH(P391,Z389:Z415,0))</f>
        <v>Offererad produktnr. 03Qlosr Göteborg AB</v>
      </c>
      <c r="J384" s="54"/>
      <c r="AR384" s="12" t="s">
        <v>124</v>
      </c>
      <c r="AS384" s="12" t="s">
        <v>124</v>
      </c>
      <c r="AT384" s="12" t="s">
        <v>124</v>
      </c>
      <c r="AU384" s="12" t="s">
        <v>124</v>
      </c>
      <c r="AV384" s="12" t="s">
        <v>124</v>
      </c>
      <c r="AW384" s="12" t="s">
        <v>124</v>
      </c>
      <c r="AX384" s="12" t="s">
        <v>124</v>
      </c>
      <c r="AY384" s="12" t="s">
        <v>124</v>
      </c>
      <c r="AZ384" s="12" t="s">
        <v>124</v>
      </c>
      <c r="BA384" s="12" t="s">
        <v>124</v>
      </c>
      <c r="BB384" s="12" t="s">
        <v>124</v>
      </c>
      <c r="BC384" s="12" t="s">
        <v>124</v>
      </c>
      <c r="BD384" s="12" t="s">
        <v>124</v>
      </c>
      <c r="BE384" s="12" t="s">
        <v>124</v>
      </c>
      <c r="BF384" s="12" t="s">
        <v>124</v>
      </c>
      <c r="BG384" s="12" t="s">
        <v>124</v>
      </c>
      <c r="BH384" s="12" t="s">
        <v>124</v>
      </c>
      <c r="BI384" s="12" t="s">
        <v>124</v>
      </c>
      <c r="BJ384" s="12" t="s">
        <v>124</v>
      </c>
      <c r="BK384" s="12" t="s">
        <v>124</v>
      </c>
      <c r="BL384" s="12" t="s">
        <v>124</v>
      </c>
      <c r="BM384" s="12" t="s">
        <v>124</v>
      </c>
      <c r="BN384" s="12" t="s">
        <v>124</v>
      </c>
      <c r="BO384" s="12" t="s">
        <v>124</v>
      </c>
      <c r="BP384" s="12" t="s">
        <v>124</v>
      </c>
      <c r="BQ384" s="12" t="s">
        <v>124</v>
      </c>
      <c r="BR384" s="12" t="s">
        <v>124</v>
      </c>
      <c r="BS384" s="12" t="s">
        <v>124</v>
      </c>
      <c r="BT384" s="12" t="s">
        <v>124</v>
      </c>
      <c r="BU384" s="12" t="s">
        <v>124</v>
      </c>
      <c r="BV384" s="12" t="s">
        <v>124</v>
      </c>
      <c r="BW384" s="12" t="s">
        <v>124</v>
      </c>
      <c r="BX384" s="12"/>
      <c r="BY384" s="12" t="s">
        <v>124</v>
      </c>
      <c r="BZ384" s="12" t="s">
        <v>124</v>
      </c>
      <c r="CA384" s="12"/>
      <c r="CB384" s="12"/>
      <c r="CC384" s="12"/>
      <c r="CD384" s="12"/>
      <c r="CE384" s="12"/>
      <c r="CF384" s="12"/>
      <c r="CG384" s="12"/>
      <c r="CH384" s="12"/>
      <c r="CI384" s="12"/>
      <c r="CJ384" s="12"/>
      <c r="CK384" s="12"/>
      <c r="CL384" s="12"/>
      <c r="CM384" s="12"/>
      <c r="CN384" s="12"/>
    </row>
    <row r="385" spans="2:92" ht="33" customHeight="1" thickBot="1" x14ac:dyDescent="0.4">
      <c r="C385" s="53"/>
      <c r="D385" s="53"/>
      <c r="F385" s="140" t="s">
        <v>446</v>
      </c>
      <c r="G385" s="205" t="s">
        <v>447</v>
      </c>
      <c r="H385" s="205"/>
      <c r="I385" s="205"/>
      <c r="J385" s="54"/>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row>
    <row r="386" spans="2:92" ht="22.5" customHeight="1" thickBot="1" x14ac:dyDescent="0.4">
      <c r="B386" t="str">
        <f ca="1" xml:space="preserve"> "Produkt "  &amp; B387</f>
        <v>Produkt 9</v>
      </c>
      <c r="C386" s="206" t="str">
        <f>IF(F387="Ingen produkt motsvarar","Felmeddelande",IF(COUNTIF($P$1:$P$6,TRUE)&gt;0,"","Felmeddelande"))</f>
        <v/>
      </c>
      <c r="D386" s="207"/>
      <c r="F386" s="208" t="s">
        <v>271</v>
      </c>
      <c r="G386" s="209"/>
      <c r="H386" s="209"/>
      <c r="I386" s="209"/>
      <c r="J386" s="55"/>
      <c r="O386">
        <v>1</v>
      </c>
      <c r="AR386" s="13" t="str">
        <f t="shared" ref="AR386:BF386" si="293">AR388</f>
        <v>Upplösning</v>
      </c>
      <c r="AS386" s="13" t="str">
        <f t="shared" si="293"/>
        <v>Processor</v>
      </c>
      <c r="AT386" s="13" t="str">
        <f t="shared" si="293"/>
        <v>Internminne (GB)</v>
      </c>
      <c r="AU386" s="13" t="str">
        <f t="shared" si="293"/>
        <v>Hårddisk</v>
      </c>
      <c r="AV386" s="13" t="str">
        <f t="shared" si="293"/>
        <v>Skärmstorlek (tum)</v>
      </c>
      <c r="AW386" s="13" t="str">
        <f t="shared" si="293"/>
        <v>Portar USB</v>
      </c>
      <c r="AX386" s="13" t="str">
        <f t="shared" si="293"/>
        <v>Portar USB C</v>
      </c>
      <c r="AY386" s="13" t="str">
        <f t="shared" si="293"/>
        <v>Portar HDMI/Display</v>
      </c>
      <c r="AZ386" s="13" t="str">
        <f t="shared" si="293"/>
        <v>Kommunikation WLAN</v>
      </c>
      <c r="BA386" s="13" t="str">
        <f t="shared" si="293"/>
        <v>Kommunikation Bluetooth</v>
      </c>
      <c r="BB386" s="13" t="str">
        <f t="shared" si="293"/>
        <v>Batteritid (tim)</v>
      </c>
      <c r="BC386" s="13" t="str">
        <f t="shared" si="293"/>
        <v>Energiprestanda</v>
      </c>
      <c r="BD386" s="13" t="str">
        <f t="shared" si="293"/>
        <v>Låsskydd</v>
      </c>
      <c r="BE386" s="13" t="str">
        <f t="shared" si="293"/>
        <v>Operativsystem</v>
      </c>
      <c r="BF386" s="13" t="str">
        <f t="shared" si="293"/>
        <v>Modellbenämning</v>
      </c>
      <c r="BG386" t="s">
        <v>224</v>
      </c>
      <c r="BH386" s="56" t="s">
        <v>53</v>
      </c>
      <c r="BI386" s="56" t="s">
        <v>54</v>
      </c>
      <c r="BJ386" s="56" t="s">
        <v>55</v>
      </c>
      <c r="BK386" s="56" t="s">
        <v>59</v>
      </c>
      <c r="BL386" s="57" t="s">
        <v>228</v>
      </c>
      <c r="BM386" s="57" t="s">
        <v>229</v>
      </c>
      <c r="BN386" s="57" t="s">
        <v>230</v>
      </c>
      <c r="BO386" s="57" t="s">
        <v>231</v>
      </c>
      <c r="BP386" s="57" t="s">
        <v>340</v>
      </c>
      <c r="BQ386" s="57" t="s">
        <v>341</v>
      </c>
      <c r="BR386" s="57" t="s">
        <v>342</v>
      </c>
      <c r="BS386" s="57" t="s">
        <v>343</v>
      </c>
      <c r="BT386" s="57" t="s">
        <v>345</v>
      </c>
      <c r="BU386" s="57" t="s">
        <v>346</v>
      </c>
      <c r="BV386" s="57" t="s">
        <v>347</v>
      </c>
      <c r="BW386" s="57" t="s">
        <v>348</v>
      </c>
      <c r="BX386" s="57"/>
      <c r="BY386" s="57" t="s">
        <v>6</v>
      </c>
      <c r="BZ386" s="4" t="s">
        <v>51</v>
      </c>
      <c r="CA386" s="13"/>
      <c r="CB386" s="13"/>
      <c r="CC386" s="13"/>
      <c r="CD386" s="13"/>
      <c r="CE386" s="13"/>
      <c r="CF386" s="13"/>
      <c r="CG386" s="13"/>
      <c r="CH386" s="13"/>
      <c r="CI386" s="13"/>
      <c r="CJ386" s="13"/>
      <c r="CK386" s="13"/>
      <c r="CL386" s="13"/>
      <c r="CM386" s="13"/>
      <c r="CN386" s="13"/>
    </row>
    <row r="387" spans="2:92" ht="22.5" customHeight="1" x14ac:dyDescent="0.35">
      <c r="B387">
        <f ca="1">COUNTIF($F$6:F390,"Produkt I varukorg*")</f>
        <v>9</v>
      </c>
      <c r="C387" t="s">
        <v>474</v>
      </c>
      <c r="F387" s="187" t="str" cm="1">
        <f t="array" ref="F387">IF(D426&lt;1,"Inget antal angivet",IFERROR(INDEX($Z389:$Z415,MATCH(F384,$AA389:$AA415,0),0),"Ingen produkt motsvarar"))</f>
        <v>Inget antal angivet</v>
      </c>
      <c r="G387" s="188">
        <f ca="1">IFERROR(P389,"Ingen produkt motsvarar")</f>
        <v>6420</v>
      </c>
      <c r="H387" s="188">
        <f ca="1">IFERROR(P390,"")</f>
        <v>7599</v>
      </c>
      <c r="I387" s="188">
        <f ca="1">IFERROR(P391,"")</f>
        <v>7640</v>
      </c>
      <c r="J387" s="54"/>
      <c r="AA387" t="str">
        <f>IF(COUNTIF(AB387:AK387,FALSE)&gt;0,AP387,"")</f>
        <v/>
      </c>
      <c r="AB387" t="b">
        <f>IF($D$392="",TRUE,IF(AR387=$D$392,TRUE,FALSE))</f>
        <v>1</v>
      </c>
      <c r="AC387" t="b">
        <f>IF(D389="",TRUE,IF(AS387=$D$393,TRUE,FALSE))</f>
        <v>1</v>
      </c>
      <c r="AD387" t="b">
        <f>IF(D392="",TRUE,IF(AT387=D392,TRUE,FALSE))</f>
        <v>1</v>
      </c>
      <c r="AE387" t="b">
        <f>IF(D393="",TRUE,IF(AU387=D393,TRUE,FALSE))</f>
        <v>1</v>
      </c>
      <c r="AF387" t="b">
        <f>IF(D394="",TRUE,IF(AV387=D394,TRUE,FALSE))</f>
        <v>1</v>
      </c>
      <c r="AG387" t="b">
        <f>IF(D395="",TRUE,IF(AW387=D395,TRUE,FALSE))</f>
        <v>1</v>
      </c>
      <c r="AH387" t="b">
        <f>IF(D391="",TRUE,IF(AX387=D391,TRUE,FALSE))</f>
        <v>1</v>
      </c>
      <c r="AI387" t="b">
        <f>IF(D396="",TRUE,IF(AY387=D396,TRUE,FALSE))</f>
        <v>1</v>
      </c>
      <c r="AJ387" t="b">
        <f>IF(D397="",TRUE,IF(AZ387=D397,TRUE,FALSE))</f>
        <v>1</v>
      </c>
      <c r="AK387" t="b">
        <f>IF(D398="",TRUE,IF(BA387=D398,TRUE,FALSE))</f>
        <v>1</v>
      </c>
      <c r="AP387" t="s">
        <v>126</v>
      </c>
      <c r="AR387" s="58" t="str">
        <f t="shared" ref="AR387:BW387" ca="1" si="294">IFERROR(INDEX(INDIRECT(AR$384&amp;"!$A$10:CC100000"),MATCH($AP387,INDIRECT(AR$384&amp;"!BH$10:BH100000"),0),MATCH(AR$386,INDIRECT(AR$384&amp;"!a10:CC10"),0)),"False")</f>
        <v>False</v>
      </c>
      <c r="AS387" s="58" t="str">
        <f t="shared" ca="1" si="294"/>
        <v>False</v>
      </c>
      <c r="AT387" s="58" t="str">
        <f t="shared" ca="1" si="294"/>
        <v>False</v>
      </c>
      <c r="AU387" s="58" t="str">
        <f t="shared" ca="1" si="294"/>
        <v>False</v>
      </c>
      <c r="AV387" s="58" t="str">
        <f t="shared" ca="1" si="294"/>
        <v>False</v>
      </c>
      <c r="AW387" s="58" t="str">
        <f t="shared" ca="1" si="294"/>
        <v>False</v>
      </c>
      <c r="AX387" s="58" t="str">
        <f t="shared" ca="1" si="294"/>
        <v>False</v>
      </c>
      <c r="AY387" s="58" t="str">
        <f t="shared" ca="1" si="294"/>
        <v>False</v>
      </c>
      <c r="AZ387" s="58" t="str">
        <f t="shared" ca="1" si="294"/>
        <v>False</v>
      </c>
      <c r="BA387" s="58" t="str">
        <f t="shared" ca="1" si="294"/>
        <v>False</v>
      </c>
      <c r="BB387" s="58" t="str">
        <f t="shared" ca="1" si="294"/>
        <v>False</v>
      </c>
      <c r="BC387" s="58" t="str">
        <f t="shared" ca="1" si="294"/>
        <v>False</v>
      </c>
      <c r="BD387" s="58" t="str">
        <f t="shared" ca="1" si="294"/>
        <v>False</v>
      </c>
      <c r="BE387" s="58" t="str">
        <f t="shared" ca="1" si="294"/>
        <v>False</v>
      </c>
      <c r="BF387" s="58" t="str">
        <f t="shared" ca="1" si="294"/>
        <v>False</v>
      </c>
      <c r="BG387" s="58" t="str">
        <f t="shared" ca="1" si="294"/>
        <v>False</v>
      </c>
      <c r="BH387" s="58" t="str">
        <f t="shared" ca="1" si="294"/>
        <v>False</v>
      </c>
      <c r="BI387" s="58" t="str">
        <f t="shared" ca="1" si="294"/>
        <v>False</v>
      </c>
      <c r="BJ387" s="58" t="str">
        <f t="shared" ca="1" si="294"/>
        <v>False</v>
      </c>
      <c r="BK387" s="58" t="str">
        <f t="shared" ca="1" si="294"/>
        <v>False</v>
      </c>
      <c r="BL387" s="58" t="str">
        <f t="shared" ca="1" si="294"/>
        <v>False</v>
      </c>
      <c r="BM387" s="58" t="str">
        <f t="shared" ca="1" si="294"/>
        <v>False</v>
      </c>
      <c r="BN387" s="58" t="str">
        <f t="shared" ca="1" si="294"/>
        <v>False</v>
      </c>
      <c r="BO387" s="58" t="str">
        <f t="shared" ca="1" si="294"/>
        <v>False</v>
      </c>
      <c r="BP387" s="58" t="str">
        <f t="shared" ca="1" si="294"/>
        <v>False</v>
      </c>
      <c r="BQ387" s="58" t="str">
        <f t="shared" ca="1" si="294"/>
        <v>False</v>
      </c>
      <c r="BR387" s="58" t="str">
        <f t="shared" ca="1" si="294"/>
        <v>False</v>
      </c>
      <c r="BS387" s="58" t="str">
        <f t="shared" ca="1" si="294"/>
        <v>False</v>
      </c>
      <c r="BT387" s="58" t="str">
        <f t="shared" ca="1" si="294"/>
        <v>False</v>
      </c>
      <c r="BU387" s="58" t="str">
        <f t="shared" ca="1" si="294"/>
        <v>False</v>
      </c>
      <c r="BV387" s="58" t="str">
        <f t="shared" ca="1" si="294"/>
        <v>False</v>
      </c>
      <c r="BW387" s="58" t="str">
        <f t="shared" ca="1" si="294"/>
        <v>False</v>
      </c>
      <c r="BX387" s="58"/>
      <c r="BY387" s="58" t="str">
        <f ca="1">IFERROR(INDEX(INDIRECT(BY$384&amp;"!$A$10:CC100000"),MATCH($AP387,INDIRECT(BY$384&amp;"!BH$10:BH100000"),0),MATCH(BY$386,INDIRECT(BY$384&amp;"!a10:CC10"),0)),"False")</f>
        <v>False</v>
      </c>
      <c r="BZ387" s="58" t="str">
        <f ca="1">IFERROR(INDEX(INDIRECT(BZ$384&amp;"!$A$10:CC100000"),MATCH($AP387,INDIRECT(BZ$384&amp;"!BH$10:BH100000"),0),MATCH(BZ$386,INDIRECT(BZ$384&amp;"!a10:CC10"),0)),"False")</f>
        <v>False</v>
      </c>
      <c r="CA387" s="58"/>
      <c r="CB387" s="58"/>
      <c r="CC387" s="58"/>
      <c r="CD387" s="58"/>
      <c r="CE387" s="58"/>
      <c r="CF387" s="58"/>
      <c r="CG387" s="58"/>
      <c r="CH387" s="58"/>
      <c r="CI387" s="58"/>
      <c r="CJ387" s="58"/>
      <c r="CK387" s="58"/>
      <c r="CL387" s="58"/>
      <c r="CM387" s="58"/>
      <c r="CN387" s="58"/>
    </row>
    <row r="388" spans="2:92" ht="22.5" customHeight="1" x14ac:dyDescent="0.35">
      <c r="C388" s="210" t="str">
        <f ca="1" xml:space="preserve"> "Bärbar dator (A) "  &amp; RIGHT("00" &amp; B387,2)</f>
        <v>Bärbar dator (A) 09</v>
      </c>
      <c r="D388" s="211"/>
      <c r="F388" s="59" t="str">
        <f>IF(F$387="Inget antal angivet","",IFERROR(INDEX($AR$388:$BZ$415,MATCH(F$384,$AP$388:$AP$415,0),MATCH("Modellbenämning",$AR$388:$BZ$388,0)),""))</f>
        <v/>
      </c>
      <c r="G388" s="59" t="str">
        <f ca="1">IFERROR(INDEX($AR$388:$BZ$415,MATCH(G$384,$AP$388:$AP$415,0),MATCH("Modellbenämning",$AR$388:$BZ$388,0)),"")</f>
        <v>ProBook 445 G8</v>
      </c>
      <c r="H388" s="59" t="str">
        <f ca="1">IFERROR(INDEX($AR$388:$BZ$415,MATCH(H$384,$AP$388:$AP$415,0),MATCH("Modellbenämning",$AR$388:$BZ$388,0)),"")</f>
        <v>ProBook 445 G10</v>
      </c>
      <c r="I388" s="59" t="str">
        <f ca="1">IFERROR(INDEX($AR$388:$BZ$415,MATCH(I$384,$AP$388:$AP$415,0),MATCH("Modellbenämning",$AR$388:$BZ$388,0)),"")</f>
        <v>ProBook 445 G8</v>
      </c>
      <c r="J388" s="60"/>
      <c r="K388" s="195"/>
      <c r="L388" s="195"/>
      <c r="M388" s="195"/>
      <c r="N388" s="195" t="e">
        <f ca="1">INDEX($N$389:$N$394,MATCH(Överblick!$L$2,$M$389:$M$394,0))</f>
        <v>#N/A</v>
      </c>
      <c r="O388" s="195"/>
      <c r="P388" s="195"/>
      <c r="Q388" s="195"/>
      <c r="R388" s="195">
        <v>1</v>
      </c>
      <c r="S388" s="195">
        <v>2</v>
      </c>
      <c r="T388" s="195">
        <v>3</v>
      </c>
      <c r="U388" s="195">
        <v>4</v>
      </c>
      <c r="V388" s="195">
        <v>5</v>
      </c>
      <c r="W388" s="195">
        <v>6</v>
      </c>
      <c r="X388" s="195">
        <v>7</v>
      </c>
      <c r="Y388" s="195">
        <v>8</v>
      </c>
      <c r="Z388" s="195"/>
      <c r="AA388" s="195" t="s">
        <v>122</v>
      </c>
      <c r="AB388" s="195" t="s">
        <v>2</v>
      </c>
      <c r="AC388" s="195" t="s">
        <v>4</v>
      </c>
      <c r="AD388" s="195" t="s">
        <v>119</v>
      </c>
      <c r="AE388" s="195" t="s">
        <v>16</v>
      </c>
      <c r="AF388" s="195" t="s">
        <v>7</v>
      </c>
      <c r="AG388" s="195" t="s">
        <v>67</v>
      </c>
      <c r="AH388" s="195" t="s">
        <v>74</v>
      </c>
      <c r="AI388" s="195" t="s">
        <v>97</v>
      </c>
      <c r="AJ388" s="195" t="s">
        <v>103</v>
      </c>
      <c r="AK388" s="195" t="s">
        <v>75</v>
      </c>
      <c r="AL388" s="195" t="s">
        <v>38</v>
      </c>
      <c r="AM388" s="195" t="s">
        <v>120</v>
      </c>
      <c r="AN388" s="195"/>
      <c r="AO388" s="195"/>
      <c r="AP388" s="195" t="s">
        <v>222</v>
      </c>
      <c r="AQ388" s="195">
        <v>1</v>
      </c>
      <c r="AR388" s="195" t="s">
        <v>2</v>
      </c>
      <c r="AS388" s="195" t="s">
        <v>4</v>
      </c>
      <c r="AT388" s="195" t="s">
        <v>119</v>
      </c>
      <c r="AU388" s="195" t="s">
        <v>16</v>
      </c>
      <c r="AV388" s="195" t="s">
        <v>7</v>
      </c>
      <c r="AW388" s="195" t="s">
        <v>67</v>
      </c>
      <c r="AX388" s="195" t="s">
        <v>74</v>
      </c>
      <c r="AY388" s="195" t="s">
        <v>97</v>
      </c>
      <c r="AZ388" s="195" t="s">
        <v>103</v>
      </c>
      <c r="BA388" s="195" t="s">
        <v>75</v>
      </c>
      <c r="BB388" s="195" t="s">
        <v>120</v>
      </c>
      <c r="BC388" s="195" t="s">
        <v>38</v>
      </c>
      <c r="BD388" s="195" t="s">
        <v>37</v>
      </c>
      <c r="BE388" s="195" t="s">
        <v>3</v>
      </c>
      <c r="BF388" s="195" t="s">
        <v>52</v>
      </c>
      <c r="BG388" s="195" t="s">
        <v>25</v>
      </c>
      <c r="BH388" s="195" t="s">
        <v>53</v>
      </c>
      <c r="BI388" s="195" t="s">
        <v>54</v>
      </c>
      <c r="BJ388" s="195" t="s">
        <v>55</v>
      </c>
      <c r="BK388" s="195" t="s">
        <v>59</v>
      </c>
      <c r="BL388" s="195" t="s">
        <v>228</v>
      </c>
      <c r="BM388" s="195" t="s">
        <v>229</v>
      </c>
      <c r="BN388" s="195" t="s">
        <v>230</v>
      </c>
      <c r="BO388" s="195" t="s">
        <v>231</v>
      </c>
      <c r="BP388" s="195" t="s">
        <v>340</v>
      </c>
      <c r="BQ388" s="195" t="s">
        <v>341</v>
      </c>
      <c r="BR388" s="195" t="s">
        <v>342</v>
      </c>
      <c r="BS388" s="195" t="s">
        <v>343</v>
      </c>
      <c r="BT388" s="195" t="s">
        <v>345</v>
      </c>
      <c r="BU388" s="195" t="s">
        <v>346</v>
      </c>
      <c r="BV388" s="195" t="s">
        <v>347</v>
      </c>
      <c r="BW388" s="195" t="s">
        <v>348</v>
      </c>
      <c r="BX388" s="195"/>
      <c r="BY388" s="195" t="s">
        <v>6</v>
      </c>
      <c r="BZ388" s="195" t="s">
        <v>51</v>
      </c>
      <c r="CA388" s="184" t="s">
        <v>2</v>
      </c>
      <c r="CB388" s="184" t="s">
        <v>4</v>
      </c>
      <c r="CC388" s="184" t="s">
        <v>119</v>
      </c>
      <c r="CD388" s="184" t="s">
        <v>16</v>
      </c>
      <c r="CE388" s="184" t="s">
        <v>7</v>
      </c>
      <c r="CF388" s="184" t="s">
        <v>67</v>
      </c>
      <c r="CG388" s="184" t="s">
        <v>74</v>
      </c>
      <c r="CH388" s="184" t="s">
        <v>97</v>
      </c>
      <c r="CI388" s="184" t="s">
        <v>103</v>
      </c>
      <c r="CJ388" s="184" t="s">
        <v>75</v>
      </c>
      <c r="CK388" s="184" t="s">
        <v>120</v>
      </c>
      <c r="CL388" s="184" t="s">
        <v>38</v>
      </c>
      <c r="CM388" s="184" t="s">
        <v>37</v>
      </c>
      <c r="CN388" s="184" t="s">
        <v>3</v>
      </c>
    </row>
    <row r="389" spans="2:92" ht="22.5" customHeight="1" outlineLevel="1" x14ac:dyDescent="0.35">
      <c r="C389" s="210" t="s">
        <v>261</v>
      </c>
      <c r="D389" s="211"/>
      <c r="F389" s="82" t="str">
        <f>IF(F$387="Inget antal angivet","",IFERROR(INDEX($AR$388:$BZ$415,MATCH(F$384,$AP$388:$AP$415,0),MATCH("Varumärke",$AR$388:$BZ$388,0)),""))</f>
        <v/>
      </c>
      <c r="G389" s="83" t="str">
        <f ca="1">IFERROR(INDEX($AR$388:$BZ$415,MATCH(G$384,$AP$388:$AP$415,0),MATCH("Varumärke",$AR$388:$BZ$388,0)),"")</f>
        <v>HP</v>
      </c>
      <c r="H389" s="83" t="str">
        <f ca="1">IFERROR(INDEX($AR$388:$BZ$415,MATCH(H$384,$AP$388:$AP$415,0),MATCH("Varumärke",$AR$388:$BZ$388,0)),"")</f>
        <v>HP</v>
      </c>
      <c r="I389" s="119" t="str">
        <f ca="1">IFERROR(INDEX($AR$388:$BZ$415,MATCH(I$384,$AP$388:$AP$415,0),MATCH("Varumärke",$AR$388:$BZ$388,0)),"")</f>
        <v>HP</v>
      </c>
      <c r="J389" s="62"/>
      <c r="K389" s="196">
        <f t="shared" ref="K389:K394" ca="1" si="295">O389*$D$426</f>
        <v>0</v>
      </c>
      <c r="L389" s="185" t="b">
        <f t="shared" ref="L389:L394" si="296">IF($D$426=0,TRUE,IF(K389=0,FALSE,TRUE))</f>
        <v>1</v>
      </c>
      <c r="M389" s="185" t="s">
        <v>162</v>
      </c>
      <c r="N389" s="185" t="str">
        <f t="shared" ref="N389:N394" ca="1" si="297">INDEX($AA$389:$AA$415,MATCH(O389,$Z$389:$Z$415,0))</f>
        <v>Offererad produktnr. 01Advania Sverige AB</v>
      </c>
      <c r="O389" s="196" cm="1">
        <f t="array" aca="1" ref="O389" ca="1">MIN(IF(($BY$389:$BY$412=M389)*($AQ$389:$AQ$412=$O$386),$Z$389:$Z$412))</f>
        <v>8880</v>
      </c>
      <c r="P389" s="197">
        <f ca="1">SMALL($Z$389:$Z$415,1)</f>
        <v>6420</v>
      </c>
      <c r="Q389" s="185">
        <f t="shared" ref="Q389:Q408" si="298">SUM(R389:Y389)</f>
        <v>0</v>
      </c>
      <c r="R389" s="185">
        <f t="shared" ref="R389:R408" si="299">IF($D$406="",0,BH389)</f>
        <v>0</v>
      </c>
      <c r="S389" s="185">
        <f t="shared" ref="S389:S408" si="300">IF($D$409="",0,BI389)</f>
        <v>0</v>
      </c>
      <c r="T389" s="185">
        <f t="shared" ref="T389:T408" si="301">IF($D$412="",0,BJ389)</f>
        <v>0</v>
      </c>
      <c r="U389" s="185">
        <f t="shared" ref="U389:U408" si="302">IF($D$415="",0,BK389)</f>
        <v>0</v>
      </c>
      <c r="V389" s="185">
        <f t="shared" ref="V389:V408" si="303">IF($D$419="",0,BL389)</f>
        <v>0</v>
      </c>
      <c r="W389" s="185">
        <f t="shared" ref="W389:W408" si="304">IF($D$420="",0,BM389)</f>
        <v>0</v>
      </c>
      <c r="X389" s="185">
        <f t="shared" ref="X389:X408" si="305">IF($D$421="",0,BN389)</f>
        <v>0</v>
      </c>
      <c r="Y389" s="185">
        <f t="shared" ref="Y389:Y408" si="306">IF($D$422="",0,BO389)</f>
        <v>0</v>
      </c>
      <c r="Z389" s="196">
        <f t="shared" ref="Z389:Z408" ca="1" si="307">IF(AA389="","",SUM(BG389,R389:Y389))</f>
        <v>8880</v>
      </c>
      <c r="AA389" s="185" t="str">
        <f t="shared" ref="AA389:AA408" ca="1" si="308">IF(COUNTIF(AB389:AO389,FALSE)&gt;0,"",AP389)</f>
        <v>Offererad produktnr. 01Advania Sverige AB</v>
      </c>
      <c r="AB389" s="185"/>
      <c r="AC389" s="185" t="b">
        <f ca="1">IFERROR(IF(D393="",TRUE,
IF(OR(D393=$CB$12,D393=$CB$13),IF(LEFT(AS389,FIND(" ",AS389)-1)=D393,TRUE,FALSE),
IF(OFFSET(Processor!$AB$1,MATCH($AS389,Processor!$AA$2:$AA$23,0),MATCH(LEFT(D393,FIND(" ",D393)-1),Processor!$AC$1:$AG$1,0))&gt;=
OFFSET(Processor!$AB$1,MATCH(D393,Processor!$AA$2:$AA$23,0),MATCH(LEFT(D393,FIND(" ",D393)-1),Processor!$AC$1:$AG$1,0)),TRUE,FALSE))),FALSE)</f>
        <v>1</v>
      </c>
      <c r="AD389" s="185" t="b">
        <f t="shared" ref="AD389:AD408" si="309">IF($D$394="",TRUE,IF(AT389&gt;=$D$394,TRUE,FALSE))</f>
        <v>1</v>
      </c>
      <c r="AE389" s="185" t="b">
        <f t="shared" ref="AE389:AE408" si="310">IF($D$395="",TRUE,IF(AU389&gt;=$D$395,TRUE,FALSE))</f>
        <v>1</v>
      </c>
      <c r="AF389" s="185" t="b">
        <f>IF($D$391="",TRUE,IF(COUNTIF(Processor!$I$2:$I$9,$D$391)&gt;0,AND(AV389&gt;INDEX(Processor!$J$2:$J$9,MATCH($D$391,Processor!$I$2:$I$9,0)),AV389&lt;INDEX(Processor!$K$2:$K$9,MATCH($D$391,Processor!$I$2:$I$9,0))),IF(AV389=$D$391,TRUE,FALSE)))</f>
        <v>1</v>
      </c>
      <c r="AG389" s="185" t="b">
        <f t="shared" ref="AG389:AG408" si="311">IF($D$396="",TRUE,IF(AW389&gt;=$D$396,TRUE,FALSE))</f>
        <v>1</v>
      </c>
      <c r="AH389" s="185" t="b">
        <f t="shared" ref="AH389:AH408" si="312">IF($D$397="",TRUE,IF(AX389&gt;=$D$397,TRUE,FALSE))</f>
        <v>1</v>
      </c>
      <c r="AI389" s="185" t="b">
        <f t="shared" ref="AI389:AI408" si="313">IF($D$398="",TRUE,IF(AY389=$D$398,TRUE,FALSE))</f>
        <v>1</v>
      </c>
      <c r="AJ389" s="185" t="b">
        <f t="shared" ref="AJ389:AJ408" si="314">IF($D$399="",TRUE,IF($D$399="802.11a/b/g/n/ac",TRUE,IF(AZ389&gt;=$D$399,TRUE,FALSE)))</f>
        <v>1</v>
      </c>
      <c r="AK389" s="185" t="b">
        <f t="shared" ref="AK389:AK408" si="315">IF($D$400="",TRUE,IF(BA389&gt;=$D$400,TRUE,FALSE))</f>
        <v>1</v>
      </c>
      <c r="AL389" s="185" t="b">
        <f>IFERROR(IF($D402="",TRUE,IF(MID(BC389,LEN(BC389)-2,1)*1&gt;=MID($D402,LEN($D402)-2,1)*1,TRUE,FALSE)),FALSE)</f>
        <v>1</v>
      </c>
      <c r="AM389" s="185" t="b">
        <f>IF(D401="",TRUE,IF(BB389&gt;=D401,TRUE,FALSE))</f>
        <v>1</v>
      </c>
      <c r="AN389" s="185"/>
      <c r="AO389" s="185"/>
      <c r="AP389" s="185" t="s">
        <v>198</v>
      </c>
      <c r="AQ389" s="185">
        <v>1</v>
      </c>
      <c r="AR389" s="185" t="str">
        <f t="shared" ref="AR389:BA398" ca="1" si="316">IFERROR(INDEX(INDIRECT(AR$384&amp;"!$A$10:CC100000"),MATCH($AP389,INDIRECT(AR$384&amp;"!BH$10:BH100000"),0),MATCH(AR$386,INDIRECT(AR$384&amp;"!a10:CC10"),0)),"False")</f>
        <v>1920x1080</v>
      </c>
      <c r="AS389" s="185" t="str">
        <f t="shared" ca="1" si="316"/>
        <v>AMD Ryzen 5</v>
      </c>
      <c r="AT389" s="185">
        <f t="shared" ca="1" si="316"/>
        <v>16</v>
      </c>
      <c r="AU389" s="185">
        <f t="shared" ca="1" si="316"/>
        <v>256</v>
      </c>
      <c r="AV389" s="185">
        <f t="shared" ca="1" si="316"/>
        <v>14</v>
      </c>
      <c r="AW389" s="185">
        <f t="shared" ca="1" si="316"/>
        <v>4</v>
      </c>
      <c r="AX389" s="185">
        <f t="shared" ca="1" si="316"/>
        <v>1</v>
      </c>
      <c r="AY389" s="185" t="str">
        <f t="shared" ca="1" si="316"/>
        <v>Ja, HDMI-port finns</v>
      </c>
      <c r="AZ389" s="185" t="str">
        <f t="shared" ca="1" si="316"/>
        <v>802.11a/b/g/n/ac/ax</v>
      </c>
      <c r="BA389" s="185">
        <f t="shared" ca="1" si="316"/>
        <v>5.3</v>
      </c>
      <c r="BB389" s="185">
        <f t="shared" ref="BB389:BK398" ca="1" si="317">IFERROR(INDEX(INDIRECT(BB$384&amp;"!$A$10:CC100000"),MATCH($AP389,INDIRECT(BB$384&amp;"!BH$10:BH100000"),0),MATCH(BB$386,INDIRECT(BB$384&amp;"!a10:CC10"),0)),"False")</f>
        <v>11</v>
      </c>
      <c r="BC389" s="185" t="str">
        <f t="shared" ca="1" si="317"/>
        <v>Version 8.0</v>
      </c>
      <c r="BD389" s="185" t="str">
        <f t="shared" ca="1" si="317"/>
        <v>Ja</v>
      </c>
      <c r="BE389" s="185" t="str">
        <f t="shared" ca="1" si="317"/>
        <v>Windows 11 Pro</v>
      </c>
      <c r="BF389" s="185" t="str">
        <f t="shared" ca="1" si="317"/>
        <v>ProBook 445 G10</v>
      </c>
      <c r="BG389" s="185">
        <f t="shared" ca="1" si="317"/>
        <v>8880</v>
      </c>
      <c r="BH389" s="192">
        <f t="shared" ca="1" si="317"/>
        <v>60</v>
      </c>
      <c r="BI389" s="192">
        <f t="shared" ca="1" si="317"/>
        <v>218</v>
      </c>
      <c r="BJ389" s="192">
        <f t="shared" ca="1" si="317"/>
        <v>251</v>
      </c>
      <c r="BK389" s="192">
        <f t="shared" ca="1" si="317"/>
        <v>1462</v>
      </c>
      <c r="BL389" s="192">
        <f t="shared" ref="BL389:BW398" ca="1" si="318">IFERROR(INDEX(INDIRECT(BL$384&amp;"!$A$10:CC100000"),MATCH($AP389,INDIRECT(BL$384&amp;"!BH$10:BH100000"),0),MATCH(BL$386,INDIRECT(BL$384&amp;"!a10:CC10"),0)),"False")</f>
        <v>226</v>
      </c>
      <c r="BM389" s="192">
        <f t="shared" ca="1" si="318"/>
        <v>112</v>
      </c>
      <c r="BN389" s="192">
        <f t="shared" ca="1" si="318"/>
        <v>50</v>
      </c>
      <c r="BO389" s="192">
        <f t="shared" ca="1" si="318"/>
        <v>50</v>
      </c>
      <c r="BP389" s="192" t="str">
        <f t="shared" ca="1" si="318"/>
        <v>V7</v>
      </c>
      <c r="BQ389" s="192" t="str">
        <f t="shared" ca="1" si="318"/>
        <v>PORT Designs</v>
      </c>
      <c r="BR389" s="192" t="str">
        <f t="shared" ca="1" si="318"/>
        <v>CoreParts</v>
      </c>
      <c r="BS389" s="192" t="str">
        <f t="shared" ca="1" si="318"/>
        <v>HP</v>
      </c>
      <c r="BT389" s="192" t="str">
        <f t="shared" ca="1" si="318"/>
        <v xml:space="preserve"> CSE14-BLK-3E  -Fodral för bärbar dator - 14" - svart</v>
      </c>
      <c r="BU389" s="192" t="str">
        <f t="shared" ca="1" si="318"/>
        <v>900003 - Professional - filter för personlig integritet - 14"</v>
      </c>
      <c r="BV389" s="192" t="str">
        <f t="shared" ca="1" si="318"/>
        <v>MBXUSBC-AC0005 - USB-C - strömadapter 45 Watt</v>
      </c>
      <c r="BW389" s="192" t="str">
        <f t="shared" ca="1" si="318"/>
        <v>72C71AA#ABB - Essential - dockningsstation</v>
      </c>
      <c r="BX389" s="192"/>
      <c r="BY389" s="192" t="str">
        <f t="shared" ref="BY389:BZ408" ca="1" si="319">IFERROR(INDEX(INDIRECT(BY$384&amp;"!$A$10:CC100000"),MATCH($AP389,INDIRECT(BY$384&amp;"!BH$10:BH100000"),0),MATCH(BY$386,INDIRECT(BY$384&amp;"!a10:CC10"),0)),"False")</f>
        <v>Advania Sverige AB</v>
      </c>
      <c r="BZ389" s="192" t="str">
        <f t="shared" ca="1" si="319"/>
        <v>HP</v>
      </c>
      <c r="CA389" s="185" t="s">
        <v>71</v>
      </c>
      <c r="CB389" s="185" t="s">
        <v>687</v>
      </c>
      <c r="CC389" s="185">
        <v>8</v>
      </c>
      <c r="CD389" s="185">
        <v>256</v>
      </c>
      <c r="CE389" s="185">
        <v>14</v>
      </c>
      <c r="CF389" s="185">
        <v>3</v>
      </c>
      <c r="CG389" s="185">
        <v>1</v>
      </c>
      <c r="CH389" s="185" t="s">
        <v>84</v>
      </c>
      <c r="CI389" s="185" t="s">
        <v>86</v>
      </c>
      <c r="CJ389" s="186">
        <v>5.3</v>
      </c>
      <c r="CK389" s="185">
        <v>11</v>
      </c>
      <c r="CL389" s="185" t="s">
        <v>686</v>
      </c>
      <c r="CM389" s="185" t="s">
        <v>69</v>
      </c>
      <c r="CN389" s="185" t="s">
        <v>567</v>
      </c>
    </row>
    <row r="390" spans="2:92" ht="22.5" customHeight="1" outlineLevel="1" x14ac:dyDescent="0.35">
      <c r="C390" s="61" t="s">
        <v>3</v>
      </c>
      <c r="D390" s="64"/>
      <c r="F390" s="80" t="str">
        <f t="shared" ref="F390:F403" si="320">IF(F$387="Inget antal angivet","",IFERROR(INDEX($AR$388:$BZ$415,MATCH(F$384,$AP$388:$AP$415,0),MATCH($C390,$AR$388:$BZ$388,0)),""))</f>
        <v/>
      </c>
      <c r="G390" s="81" t="str">
        <f t="shared" ref="G390:I403" ca="1" si="321">IFERROR(INDEX($AR$388:$BZ$415,MATCH(G$384,$AP$388:$AP$415,0),MATCH($C390,$AR$388:$BZ$388,0)),"")</f>
        <v>Windows 10 Pro</v>
      </c>
      <c r="H390" s="81" t="str">
        <f t="shared" ca="1" si="321"/>
        <v>Windows 11 Pro</v>
      </c>
      <c r="I390" s="120" t="str">
        <f t="shared" ca="1" si="321"/>
        <v>Windows 10 Pro</v>
      </c>
      <c r="J390" s="62"/>
      <c r="K390" s="196">
        <f t="shared" ca="1" si="295"/>
        <v>0</v>
      </c>
      <c r="L390" s="185" t="b">
        <f t="shared" si="296"/>
        <v>1</v>
      </c>
      <c r="M390" s="185" t="s">
        <v>150</v>
      </c>
      <c r="N390" s="185" t="str">
        <f t="shared" ca="1" si="297"/>
        <v>Offererad produktnr. 01Atea Sverige AB</v>
      </c>
      <c r="O390" s="196" cm="1">
        <f t="array" aca="1" ref="O390" ca="1">MIN(IF(($BY$389:$BY$412=M390)*($AQ$389:$AQ$412=$O$386),$Z$389:$Z$412))</f>
        <v>11724</v>
      </c>
      <c r="P390" s="197">
        <f ca="1">SMALL($Z$389:$Z$415,2)</f>
        <v>7599</v>
      </c>
      <c r="Q390" s="185">
        <f t="shared" si="298"/>
        <v>0</v>
      </c>
      <c r="R390" s="185">
        <f t="shared" si="299"/>
        <v>0</v>
      </c>
      <c r="S390" s="185">
        <f t="shared" si="300"/>
        <v>0</v>
      </c>
      <c r="T390" s="185">
        <f t="shared" si="301"/>
        <v>0</v>
      </c>
      <c r="U390" s="185">
        <f t="shared" si="302"/>
        <v>0</v>
      </c>
      <c r="V390" s="185">
        <f t="shared" si="303"/>
        <v>0</v>
      </c>
      <c r="W390" s="185">
        <f t="shared" si="304"/>
        <v>0</v>
      </c>
      <c r="X390" s="185">
        <f t="shared" si="305"/>
        <v>0</v>
      </c>
      <c r="Y390" s="185">
        <f t="shared" si="306"/>
        <v>0</v>
      </c>
      <c r="Z390" s="196">
        <f t="shared" ca="1" si="307"/>
        <v>9324</v>
      </c>
      <c r="AA390" s="185" t="str">
        <f t="shared" ca="1" si="308"/>
        <v>Offererad produktnr. 02Advania Sverige AB</v>
      </c>
      <c r="AB390" s="185"/>
      <c r="AC390" s="185" t="b">
        <f ca="1">IFERROR(IF(D393="",TRUE,
IF(OR(D393=$CB$12,D393=$CB$13),IF(LEFT(AS390,FIND(" ",AS390)-1)=D393,TRUE,FALSE),
IF(OFFSET(Processor!$AB$1,MATCH($AS390,Processor!$AA$2:$AA$23,0),MATCH(LEFT(D393,FIND(" ",D393)-1),Processor!$AC$1:$AG$1,0))&gt;=
OFFSET(Processor!$AB$1,MATCH(D393,Processor!$AA$2:$AA$23,0),MATCH(LEFT(D393,FIND(" ",D393)-1),Processor!$AC$1:$AG$1,0)),TRUE,FALSE))),FALSE)</f>
        <v>1</v>
      </c>
      <c r="AD390" s="185" t="b">
        <f t="shared" si="309"/>
        <v>1</v>
      </c>
      <c r="AE390" s="185" t="b">
        <f t="shared" si="310"/>
        <v>1</v>
      </c>
      <c r="AF390" s="185" t="b">
        <f>IF($D$391="",TRUE,IF(COUNTIF(Processor!$I$2:$I$9,$D$391)&gt;0,AND(AV390&gt;INDEX(Processor!$J$2:$J$9,MATCH($D$391,Processor!$I$2:$I$9,0)),AV390&lt;INDEX(Processor!$K$2:$K$9,MATCH($D$391,Processor!$I$2:$I$9,0))),IF(AV390=$D$391,TRUE,FALSE)))</f>
        <v>1</v>
      </c>
      <c r="AG390" s="185" t="b">
        <f t="shared" si="311"/>
        <v>1</v>
      </c>
      <c r="AH390" s="185" t="b">
        <f t="shared" si="312"/>
        <v>1</v>
      </c>
      <c r="AI390" s="185" t="b">
        <f t="shared" si="313"/>
        <v>1</v>
      </c>
      <c r="AJ390" s="185" t="b">
        <f t="shared" si="314"/>
        <v>1</v>
      </c>
      <c r="AK390" s="185" t="b">
        <f t="shared" si="315"/>
        <v>1</v>
      </c>
      <c r="AL390" s="185" t="b">
        <f>IFERROR(IF($D402="",TRUE,IF(MID(BC390,LEN(BC390)-2,1)*1&gt;=MID($D402,LEN($D402)-2,1)*1,TRUE,FALSE)),FALSE)</f>
        <v>1</v>
      </c>
      <c r="AM390" s="185" t="b">
        <f>IF(D401="",TRUE,IF(BB390&gt;=D401,TRUE,FALSE))</f>
        <v>1</v>
      </c>
      <c r="AN390" s="185"/>
      <c r="AO390" s="185"/>
      <c r="AP390" s="185" t="s">
        <v>199</v>
      </c>
      <c r="AQ390" s="185">
        <v>1</v>
      </c>
      <c r="AR390" s="185" t="str">
        <f t="shared" ca="1" si="316"/>
        <v>1920x1080</v>
      </c>
      <c r="AS390" s="185" t="str">
        <f t="shared" ca="1" si="316"/>
        <v>Intel i5 Gen 12</v>
      </c>
      <c r="AT390" s="185">
        <f t="shared" ca="1" si="316"/>
        <v>16</v>
      </c>
      <c r="AU390" s="185">
        <f t="shared" ca="1" si="316"/>
        <v>256</v>
      </c>
      <c r="AV390" s="185">
        <f t="shared" ca="1" si="316"/>
        <v>14</v>
      </c>
      <c r="AW390" s="185">
        <f t="shared" ca="1" si="316"/>
        <v>4</v>
      </c>
      <c r="AX390" s="185">
        <f t="shared" ca="1" si="316"/>
        <v>1</v>
      </c>
      <c r="AY390" s="185" t="str">
        <f t="shared" ca="1" si="316"/>
        <v>Ja, HDMI-port finns</v>
      </c>
      <c r="AZ390" s="185" t="str">
        <f t="shared" ca="1" si="316"/>
        <v>802.11a/b/g/n/ac</v>
      </c>
      <c r="BA390" s="185">
        <f t="shared" ca="1" si="316"/>
        <v>5.2</v>
      </c>
      <c r="BB390" s="185">
        <f t="shared" ca="1" si="317"/>
        <v>11</v>
      </c>
      <c r="BC390" s="185" t="str">
        <f t="shared" ca="1" si="317"/>
        <v>Version 8.0</v>
      </c>
      <c r="BD390" s="185" t="str">
        <f t="shared" ca="1" si="317"/>
        <v>Ja</v>
      </c>
      <c r="BE390" s="185" t="str">
        <f t="shared" ca="1" si="317"/>
        <v>Windows 11 Pro</v>
      </c>
      <c r="BF390" s="185" t="str">
        <f t="shared" ca="1" si="317"/>
        <v>ProBook 440 G10</v>
      </c>
      <c r="BG390" s="185">
        <f t="shared" ca="1" si="317"/>
        <v>9324</v>
      </c>
      <c r="BH390" s="192">
        <f t="shared" ca="1" si="317"/>
        <v>60</v>
      </c>
      <c r="BI390" s="192">
        <f t="shared" ca="1" si="317"/>
        <v>218</v>
      </c>
      <c r="BJ390" s="192">
        <f t="shared" ca="1" si="317"/>
        <v>251</v>
      </c>
      <c r="BK390" s="192">
        <f t="shared" ca="1" si="317"/>
        <v>1462</v>
      </c>
      <c r="BL390" s="192">
        <f t="shared" ca="1" si="318"/>
        <v>226</v>
      </c>
      <c r="BM390" s="192">
        <f t="shared" ca="1" si="318"/>
        <v>112</v>
      </c>
      <c r="BN390" s="192">
        <f t="shared" ca="1" si="318"/>
        <v>50</v>
      </c>
      <c r="BO390" s="192">
        <f t="shared" ca="1" si="318"/>
        <v>50</v>
      </c>
      <c r="BP390" s="192" t="str">
        <f t="shared" ca="1" si="318"/>
        <v>V7</v>
      </c>
      <c r="BQ390" s="192" t="str">
        <f t="shared" ca="1" si="318"/>
        <v>PORT Designs</v>
      </c>
      <c r="BR390" s="192" t="str">
        <f t="shared" ca="1" si="318"/>
        <v>CoreParts</v>
      </c>
      <c r="BS390" s="192" t="str">
        <f t="shared" ca="1" si="318"/>
        <v>HP</v>
      </c>
      <c r="BT390" s="192" t="str">
        <f t="shared" ca="1" si="318"/>
        <v xml:space="preserve"> CSE14-BLK-3E  -Fodral för bärbar dator - 14" - svart</v>
      </c>
      <c r="BU390" s="192" t="str">
        <f t="shared" ca="1" si="318"/>
        <v>900003 - Professional - filter för personlig integritet - 14"</v>
      </c>
      <c r="BV390" s="192" t="str">
        <f t="shared" ca="1" si="318"/>
        <v>MBXUSBC-AC0005 - USB-C - strömadapter 45 Watt</v>
      </c>
      <c r="BW390" s="192" t="str">
        <f t="shared" ca="1" si="318"/>
        <v>72C71AA#ABB - Essential - dockningsstation</v>
      </c>
      <c r="BX390" s="192"/>
      <c r="BY390" s="192" t="str">
        <f t="shared" ca="1" si="319"/>
        <v>Advania Sverige AB</v>
      </c>
      <c r="BZ390" s="192" t="str">
        <f t="shared" ca="1" si="319"/>
        <v>HP</v>
      </c>
      <c r="CA390" s="185" t="s">
        <v>163</v>
      </c>
      <c r="CB390" s="185" t="s">
        <v>688</v>
      </c>
      <c r="CC390" s="185">
        <v>16</v>
      </c>
      <c r="CD390" s="185">
        <v>512</v>
      </c>
      <c r="CE390" s="185">
        <v>0</v>
      </c>
      <c r="CF390" s="185">
        <v>4</v>
      </c>
      <c r="CG390" s="185">
        <v>2</v>
      </c>
      <c r="CH390" s="185">
        <v>0</v>
      </c>
      <c r="CI390" s="185" t="s">
        <v>79</v>
      </c>
      <c r="CJ390" s="186">
        <v>5.2</v>
      </c>
      <c r="CK390" s="185">
        <v>8</v>
      </c>
      <c r="CL390" s="185" t="s">
        <v>527</v>
      </c>
      <c r="CM390" s="185">
        <v>0</v>
      </c>
      <c r="CN390" s="185" t="s">
        <v>80</v>
      </c>
    </row>
    <row r="391" spans="2:92" ht="22.5" customHeight="1" outlineLevel="1" x14ac:dyDescent="0.35">
      <c r="C391" s="61" t="s">
        <v>7</v>
      </c>
      <c r="D391" s="64"/>
      <c r="F391" s="80" t="str">
        <f t="shared" si="320"/>
        <v/>
      </c>
      <c r="G391" s="81">
        <f t="shared" ca="1" si="321"/>
        <v>14</v>
      </c>
      <c r="H391" s="81">
        <f t="shared" ca="1" si="321"/>
        <v>14</v>
      </c>
      <c r="I391" s="120">
        <f t="shared" ca="1" si="321"/>
        <v>14</v>
      </c>
      <c r="J391" s="62"/>
      <c r="K391" s="196">
        <f t="shared" ca="1" si="295"/>
        <v>0</v>
      </c>
      <c r="L391" s="185" t="b">
        <f t="shared" si="296"/>
        <v>1</v>
      </c>
      <c r="M391" s="185" t="s">
        <v>128</v>
      </c>
      <c r="N391" s="185" t="str">
        <f t="shared" ca="1" si="297"/>
        <v>Offererad produktnr. 01Dustin Sverige AB</v>
      </c>
      <c r="O391" s="196" cm="1">
        <f t="array" aca="1" ref="O391" ca="1">MIN(IF(($BY$389:$BY$412=M391)*($AQ$389:$AQ$412=$O$386),$Z$389:$Z$412))</f>
        <v>7599</v>
      </c>
      <c r="P391" s="197">
        <f ca="1">SMALL($Z$389:$Z$415,3)</f>
        <v>7640</v>
      </c>
      <c r="Q391" s="185">
        <f t="shared" si="298"/>
        <v>0</v>
      </c>
      <c r="R391" s="185">
        <f t="shared" si="299"/>
        <v>0</v>
      </c>
      <c r="S391" s="185">
        <f t="shared" si="300"/>
        <v>0</v>
      </c>
      <c r="T391" s="185">
        <f t="shared" si="301"/>
        <v>0</v>
      </c>
      <c r="U391" s="185">
        <f t="shared" si="302"/>
        <v>0</v>
      </c>
      <c r="V391" s="185">
        <f t="shared" si="303"/>
        <v>0</v>
      </c>
      <c r="W391" s="185">
        <f t="shared" si="304"/>
        <v>0</v>
      </c>
      <c r="X391" s="185">
        <f t="shared" si="305"/>
        <v>0</v>
      </c>
      <c r="Y391" s="185">
        <f t="shared" si="306"/>
        <v>0</v>
      </c>
      <c r="Z391" s="196">
        <f t="shared" ca="1" si="307"/>
        <v>10608</v>
      </c>
      <c r="AA391" s="185" t="str">
        <f t="shared" ca="1" si="308"/>
        <v>Offererad produktnr. 03Advania Sverige AB</v>
      </c>
      <c r="AB391" s="185"/>
      <c r="AC391" s="185" t="b">
        <f ca="1">IFERROR(IF(D393="",TRUE,
IF(OR(D393=$CB$12,D393=$CB$13),IF(LEFT(AS391,FIND(" ",AS391)-1)=D393,TRUE,FALSE),
IF(OFFSET(Processor!$AB$1,MATCH($AS391,Processor!$AA$2:$AA$23,0),MATCH(LEFT(D393,FIND(" ",D393)-1),Processor!$AC$1:$AG$1,0))&gt;=
OFFSET(Processor!$AB$1,MATCH(D393,Processor!$AA$2:$AA$23,0),MATCH(LEFT(D393,FIND(" ",D393)-1),Processor!$AC$1:$AG$1,0)),TRUE,FALSE))),FALSE)</f>
        <v>1</v>
      </c>
      <c r="AD391" s="185" t="b">
        <f t="shared" si="309"/>
        <v>1</v>
      </c>
      <c r="AE391" s="185" t="b">
        <f t="shared" si="310"/>
        <v>1</v>
      </c>
      <c r="AF391" s="185" t="b">
        <f>IF($D$391="",TRUE,IF(COUNTIF(Processor!$I$2:$I$9,$D$391)&gt;0,AND(AV391&gt;INDEX(Processor!$J$2:$J$9,MATCH($D$391,Processor!$I$2:$I$9,0)),AV391&lt;INDEX(Processor!$K$2:$K$9,MATCH($D$391,Processor!$I$2:$I$9,0))),IF(AV391=$D$391,TRUE,FALSE)))</f>
        <v>1</v>
      </c>
      <c r="AG391" s="185" t="b">
        <f t="shared" si="311"/>
        <v>1</v>
      </c>
      <c r="AH391" s="185" t="b">
        <f t="shared" si="312"/>
        <v>1</v>
      </c>
      <c r="AI391" s="185" t="b">
        <f t="shared" si="313"/>
        <v>1</v>
      </c>
      <c r="AJ391" s="185" t="b">
        <f t="shared" si="314"/>
        <v>1</v>
      </c>
      <c r="AK391" s="185" t="b">
        <f t="shared" si="315"/>
        <v>1</v>
      </c>
      <c r="AL391" s="185" t="b">
        <f>IFERROR(IF($D402="",TRUE,IF(MID(BC391,LEN(BC391)-2,1)*1&gt;=MID($D402,LEN($D402)-2,1)*1,TRUE,FALSE)),FALSE)</f>
        <v>1</v>
      </c>
      <c r="AM391" s="185" t="b">
        <f>IF(D401="",TRUE,IF(BB391&gt;=D401,TRUE,FALSE))</f>
        <v>1</v>
      </c>
      <c r="AN391" s="185"/>
      <c r="AO391" s="185"/>
      <c r="AP391" s="185" t="s">
        <v>200</v>
      </c>
      <c r="AQ391" s="185">
        <v>1</v>
      </c>
      <c r="AR391" s="185" t="str">
        <f t="shared" ca="1" si="316"/>
        <v>1920x1080</v>
      </c>
      <c r="AS391" s="185" t="str">
        <f t="shared" ca="1" si="316"/>
        <v>AMD Ryzen 7</v>
      </c>
      <c r="AT391" s="185">
        <f t="shared" ca="1" si="316"/>
        <v>16</v>
      </c>
      <c r="AU391" s="185">
        <f t="shared" ca="1" si="316"/>
        <v>512</v>
      </c>
      <c r="AV391" s="185">
        <f t="shared" ca="1" si="316"/>
        <v>14</v>
      </c>
      <c r="AW391" s="185">
        <f t="shared" ca="1" si="316"/>
        <v>4</v>
      </c>
      <c r="AX391" s="185">
        <f t="shared" ca="1" si="316"/>
        <v>1</v>
      </c>
      <c r="AY391" s="185" t="str">
        <f t="shared" ca="1" si="316"/>
        <v>Ja, HDMI-port finns</v>
      </c>
      <c r="AZ391" s="185" t="str">
        <f t="shared" ca="1" si="316"/>
        <v>802.11a/b/g/n/ac/ax</v>
      </c>
      <c r="BA391" s="185">
        <f t="shared" ca="1" si="316"/>
        <v>5.2</v>
      </c>
      <c r="BB391" s="185">
        <f t="shared" ca="1" si="317"/>
        <v>11</v>
      </c>
      <c r="BC391" s="185" t="str">
        <f t="shared" ca="1" si="317"/>
        <v>Version 8.0</v>
      </c>
      <c r="BD391" s="185" t="str">
        <f t="shared" ca="1" si="317"/>
        <v>Ja</v>
      </c>
      <c r="BE391" s="185" t="str">
        <f t="shared" ca="1" si="317"/>
        <v>Windows 11 Pro</v>
      </c>
      <c r="BF391" s="185" t="str">
        <f t="shared" ca="1" si="317"/>
        <v>HP ProBook 445 G10</v>
      </c>
      <c r="BG391" s="185">
        <f t="shared" ca="1" si="317"/>
        <v>10608</v>
      </c>
      <c r="BH391" s="192">
        <f t="shared" ca="1" si="317"/>
        <v>60</v>
      </c>
      <c r="BI391" s="192">
        <f t="shared" ca="1" si="317"/>
        <v>218</v>
      </c>
      <c r="BJ391" s="192">
        <f t="shared" ca="1" si="317"/>
        <v>251</v>
      </c>
      <c r="BK391" s="192">
        <f t="shared" ca="1" si="317"/>
        <v>1462</v>
      </c>
      <c r="BL391" s="192">
        <f t="shared" ca="1" si="318"/>
        <v>226</v>
      </c>
      <c r="BM391" s="192">
        <f t="shared" ca="1" si="318"/>
        <v>112</v>
      </c>
      <c r="BN391" s="192">
        <f t="shared" ca="1" si="318"/>
        <v>50</v>
      </c>
      <c r="BO391" s="192">
        <f t="shared" ca="1" si="318"/>
        <v>50</v>
      </c>
      <c r="BP391" s="192" t="str">
        <f t="shared" ca="1" si="318"/>
        <v>V7</v>
      </c>
      <c r="BQ391" s="192" t="str">
        <f t="shared" ca="1" si="318"/>
        <v>PORT Designs</v>
      </c>
      <c r="BR391" s="192" t="str">
        <f t="shared" ca="1" si="318"/>
        <v>CoreParts</v>
      </c>
      <c r="BS391" s="192" t="str">
        <f t="shared" ca="1" si="318"/>
        <v>HP</v>
      </c>
      <c r="BT391" s="192" t="str">
        <f t="shared" ca="1" si="318"/>
        <v xml:space="preserve"> CSE14-BLK-3E  -Fodral för bärbar dator - 14" - svart</v>
      </c>
      <c r="BU391" s="192" t="str">
        <f t="shared" ca="1" si="318"/>
        <v>900003 - Professional - filter för personlig integritet - 14"</v>
      </c>
      <c r="BV391" s="192" t="str">
        <f t="shared" ca="1" si="318"/>
        <v>MBXUSBC-AC0005 - USB-C - strömadapter 45 Watt</v>
      </c>
      <c r="BW391" s="192" t="str">
        <f t="shared" ca="1" si="318"/>
        <v>72C71AA#ABB - Essential - dockningsstation</v>
      </c>
      <c r="BX391" s="192"/>
      <c r="BY391" s="192" t="str">
        <f t="shared" ca="1" si="319"/>
        <v>Advania Sverige AB</v>
      </c>
      <c r="BZ391" s="192" t="str">
        <f t="shared" ca="1" si="319"/>
        <v>HP</v>
      </c>
      <c r="CA391" s="185">
        <v>0</v>
      </c>
      <c r="CB391" s="185"/>
      <c r="CC391" s="185">
        <v>32</v>
      </c>
      <c r="CD391" s="185">
        <v>0</v>
      </c>
      <c r="CE391" s="185"/>
      <c r="CF391" s="185">
        <v>2</v>
      </c>
      <c r="CG391" s="185">
        <v>0</v>
      </c>
      <c r="CH391" s="185"/>
      <c r="CI391" s="185">
        <v>0</v>
      </c>
      <c r="CJ391" s="186">
        <v>5</v>
      </c>
      <c r="CK391" s="185">
        <v>0</v>
      </c>
      <c r="CL391" s="185">
        <v>0</v>
      </c>
      <c r="CM391" s="185"/>
      <c r="CN391" s="185">
        <v>0</v>
      </c>
    </row>
    <row r="392" spans="2:92" ht="22.5" customHeight="1" outlineLevel="1" x14ac:dyDescent="0.35">
      <c r="C392" s="61" t="s">
        <v>2</v>
      </c>
      <c r="D392" s="64"/>
      <c r="F392" s="80" t="str">
        <f t="shared" si="320"/>
        <v/>
      </c>
      <c r="G392" s="81" t="str">
        <f t="shared" ca="1" si="321"/>
        <v>1920x1080</v>
      </c>
      <c r="H392" s="81" t="str">
        <f t="shared" ca="1" si="321"/>
        <v>1920x1080</v>
      </c>
      <c r="I392" s="120" t="str">
        <f t="shared" ca="1" si="321"/>
        <v>1920x1080</v>
      </c>
      <c r="J392" s="62"/>
      <c r="K392" s="196">
        <f t="shared" ca="1" si="295"/>
        <v>0</v>
      </c>
      <c r="L392" s="185" t="b">
        <f t="shared" si="296"/>
        <v>1</v>
      </c>
      <c r="M392" s="185" t="s">
        <v>169</v>
      </c>
      <c r="N392" s="185" t="str">
        <f t="shared" ca="1" si="297"/>
        <v>Offererad produktnr. 01Foxway Education AB</v>
      </c>
      <c r="O392" s="196" cm="1">
        <f t="array" aca="1" ref="O392" ca="1">MIN(IF(($BY$389:$BY$412=M392)*($AQ$389:$AQ$412=$O$386),$Z$389:$Z$412))</f>
        <v>8848</v>
      </c>
      <c r="P392" s="197"/>
      <c r="Q392" s="185">
        <f t="shared" si="298"/>
        <v>0</v>
      </c>
      <c r="R392" s="185">
        <f t="shared" si="299"/>
        <v>0</v>
      </c>
      <c r="S392" s="185">
        <f t="shared" si="300"/>
        <v>0</v>
      </c>
      <c r="T392" s="185">
        <f t="shared" si="301"/>
        <v>0</v>
      </c>
      <c r="U392" s="185">
        <f t="shared" si="302"/>
        <v>0</v>
      </c>
      <c r="V392" s="185">
        <f t="shared" si="303"/>
        <v>0</v>
      </c>
      <c r="W392" s="185">
        <f t="shared" si="304"/>
        <v>0</v>
      </c>
      <c r="X392" s="185">
        <f t="shared" si="305"/>
        <v>0</v>
      </c>
      <c r="Y392" s="185">
        <f t="shared" si="306"/>
        <v>0</v>
      </c>
      <c r="Z392" s="196">
        <f t="shared" ca="1" si="307"/>
        <v>11474</v>
      </c>
      <c r="AA392" s="185" t="str">
        <f t="shared" ca="1" si="308"/>
        <v>Offererad produktnr. 04Advania Sverige AB</v>
      </c>
      <c r="AB392" s="185"/>
      <c r="AC392" s="185" t="b">
        <f ca="1">IFERROR(IF(D393="",TRUE,
IF(OR(D393=$CB$12,D393=$CB$13),IF(LEFT(AS392,FIND(" ",AS392)-1)=D393,TRUE,FALSE),
IF(OFFSET(Processor!$AB$1,MATCH($AS392,Processor!$AA$2:$AA$23,0),MATCH(LEFT(D393,FIND(" ",D393)-1),Processor!$AC$1:$AG$1,0))&gt;=
OFFSET(Processor!$AB$1,MATCH(D393,Processor!$AA$2:$AA$23,0),MATCH(LEFT(D393,FIND(" ",D393)-1),Processor!$AC$1:$AG$1,0)),TRUE,FALSE))),FALSE)</f>
        <v>1</v>
      </c>
      <c r="AD392" s="185" t="b">
        <f t="shared" si="309"/>
        <v>1</v>
      </c>
      <c r="AE392" s="185" t="b">
        <f t="shared" si="310"/>
        <v>1</v>
      </c>
      <c r="AF392" s="185" t="b">
        <f>IF($D$391="",TRUE,IF(COUNTIF(Processor!$I$2:$I$9,$D$391)&gt;0,AND(AV392&gt;INDEX(Processor!$J$2:$J$9,MATCH($D$391,Processor!$I$2:$I$9,0)),AV392&lt;INDEX(Processor!$K$2:$K$9,MATCH($D$391,Processor!$I$2:$I$9,0))),IF(AV392=$D$391,TRUE,FALSE)))</f>
        <v>1</v>
      </c>
      <c r="AG392" s="185" t="b">
        <f t="shared" si="311"/>
        <v>1</v>
      </c>
      <c r="AH392" s="185" t="b">
        <f t="shared" si="312"/>
        <v>1</v>
      </c>
      <c r="AI392" s="185" t="b">
        <f t="shared" si="313"/>
        <v>1</v>
      </c>
      <c r="AJ392" s="185" t="b">
        <f t="shared" si="314"/>
        <v>1</v>
      </c>
      <c r="AK392" s="185" t="b">
        <f t="shared" si="315"/>
        <v>1</v>
      </c>
      <c r="AL392" s="185" t="b">
        <f>IFERROR(IF($D402="",TRUE,IF(MID(BC392,LEN(BC392)-2,1)*1&gt;=MID($D402,LEN($D402)-2,1)*1,TRUE,FALSE)),FALSE)</f>
        <v>1</v>
      </c>
      <c r="AM392" s="185" t="b">
        <f>IF(D401="",TRUE,IF(BB392&gt;=D401,TRUE,FALSE))</f>
        <v>1</v>
      </c>
      <c r="AN392" s="185"/>
      <c r="AO392" s="185"/>
      <c r="AP392" s="185" t="s">
        <v>201</v>
      </c>
      <c r="AQ392" s="185">
        <v>1</v>
      </c>
      <c r="AR392" s="185" t="str">
        <f t="shared" ca="1" si="316"/>
        <v>1920x1080</v>
      </c>
      <c r="AS392" s="185" t="str">
        <f t="shared" ca="1" si="316"/>
        <v>Intel i7 Gen 12</v>
      </c>
      <c r="AT392" s="185">
        <f t="shared" ca="1" si="316"/>
        <v>16</v>
      </c>
      <c r="AU392" s="185">
        <f t="shared" ca="1" si="316"/>
        <v>512</v>
      </c>
      <c r="AV392" s="185">
        <f t="shared" ca="1" si="316"/>
        <v>14</v>
      </c>
      <c r="AW392" s="185">
        <f t="shared" ca="1" si="316"/>
        <v>4</v>
      </c>
      <c r="AX392" s="185">
        <f t="shared" ca="1" si="316"/>
        <v>2</v>
      </c>
      <c r="AY392" s="185" t="str">
        <f t="shared" ca="1" si="316"/>
        <v>Ja, HDMI-port finns</v>
      </c>
      <c r="AZ392" s="185" t="str">
        <f t="shared" ca="1" si="316"/>
        <v>802.11a/b/g/n/ac/ax</v>
      </c>
      <c r="BA392" s="185">
        <f t="shared" ca="1" si="316"/>
        <v>5.2</v>
      </c>
      <c r="BB392" s="185">
        <f t="shared" ca="1" si="317"/>
        <v>11</v>
      </c>
      <c r="BC392" s="185" t="str">
        <f t="shared" ca="1" si="317"/>
        <v>Version 8.0</v>
      </c>
      <c r="BD392" s="185" t="str">
        <f t="shared" ca="1" si="317"/>
        <v>Ja</v>
      </c>
      <c r="BE392" s="185" t="str">
        <f t="shared" ca="1" si="317"/>
        <v>Windows 11 Pro</v>
      </c>
      <c r="BF392" s="185" t="str">
        <f t="shared" ca="1" si="317"/>
        <v>ProBook 440 G11</v>
      </c>
      <c r="BG392" s="185">
        <f t="shared" ca="1" si="317"/>
        <v>11474</v>
      </c>
      <c r="BH392" s="192">
        <f t="shared" ca="1" si="317"/>
        <v>60</v>
      </c>
      <c r="BI392" s="192">
        <f t="shared" ca="1" si="317"/>
        <v>218</v>
      </c>
      <c r="BJ392" s="192">
        <f t="shared" ca="1" si="317"/>
        <v>251</v>
      </c>
      <c r="BK392" s="192">
        <f t="shared" ca="1" si="317"/>
        <v>1462</v>
      </c>
      <c r="BL392" s="192">
        <f t="shared" ca="1" si="318"/>
        <v>226</v>
      </c>
      <c r="BM392" s="192">
        <f t="shared" ca="1" si="318"/>
        <v>112</v>
      </c>
      <c r="BN392" s="192">
        <f t="shared" ca="1" si="318"/>
        <v>50</v>
      </c>
      <c r="BO392" s="192">
        <f t="shared" ca="1" si="318"/>
        <v>50</v>
      </c>
      <c r="BP392" s="192" t="str">
        <f t="shared" ca="1" si="318"/>
        <v>V7</v>
      </c>
      <c r="BQ392" s="192" t="str">
        <f t="shared" ca="1" si="318"/>
        <v>DICOTA</v>
      </c>
      <c r="BR392" s="192" t="str">
        <f t="shared" ca="1" si="318"/>
        <v>CoreParts</v>
      </c>
      <c r="BS392" s="192" t="str">
        <f t="shared" ca="1" si="318"/>
        <v>HP</v>
      </c>
      <c r="BT392" s="192" t="str">
        <f t="shared" ca="1" si="318"/>
        <v xml:space="preserve"> CSE14-BLK-3E  -Fodral för bärbar dator - 14" - svart</v>
      </c>
      <c r="BU392" s="192" t="str">
        <f t="shared" ca="1" si="318"/>
        <v>D70513 - Sekretessfilter till bärbar dator - 2-vägs - borttagbar - lim - 14 tum bred - svart</v>
      </c>
      <c r="BV392" s="192" t="str">
        <f t="shared" ca="1" si="318"/>
        <v>MBXUSBC-AC0005 - USB-C - strömadapter 45 Watt</v>
      </c>
      <c r="BW392" s="192" t="str">
        <f t="shared" ca="1" si="318"/>
        <v>72C71AA#ABB - Essential - dockningsstation</v>
      </c>
      <c r="BX392" s="192"/>
      <c r="BY392" s="192" t="str">
        <f t="shared" ca="1" si="319"/>
        <v>Advania Sverige AB</v>
      </c>
      <c r="BZ392" s="192" t="str">
        <f t="shared" ca="1" si="319"/>
        <v>HP</v>
      </c>
      <c r="CA392" s="185"/>
      <c r="CB392" s="185" t="s">
        <v>65</v>
      </c>
      <c r="CC392" s="185">
        <v>0</v>
      </c>
      <c r="CD392" s="185"/>
      <c r="CE392" s="185"/>
      <c r="CF392" s="185">
        <v>0</v>
      </c>
      <c r="CG392" s="185"/>
      <c r="CH392" s="185"/>
      <c r="CI392" s="185"/>
      <c r="CJ392" s="186">
        <v>0</v>
      </c>
      <c r="CK392" s="185"/>
      <c r="CL392" s="185"/>
      <c r="CM392" s="185"/>
      <c r="CN392" s="185"/>
    </row>
    <row r="393" spans="2:92" ht="22.5" customHeight="1" outlineLevel="1" x14ac:dyDescent="0.35">
      <c r="C393" s="61" t="s">
        <v>4</v>
      </c>
      <c r="D393" s="64"/>
      <c r="F393" s="80" t="str">
        <f t="shared" si="320"/>
        <v/>
      </c>
      <c r="G393" s="81" t="str">
        <f t="shared" ca="1" si="321"/>
        <v>AMD Ryzen 5</v>
      </c>
      <c r="H393" s="81" t="str">
        <f t="shared" ca="1" si="321"/>
        <v>AMD Ryzen 5</v>
      </c>
      <c r="I393" s="120" t="str">
        <f t="shared" ca="1" si="321"/>
        <v>AMD Ryzen 7</v>
      </c>
      <c r="J393" s="62"/>
      <c r="K393" s="196">
        <f t="shared" ca="1" si="295"/>
        <v>0</v>
      </c>
      <c r="L393" s="185" t="b">
        <f t="shared" si="296"/>
        <v>1</v>
      </c>
      <c r="M393" s="185" t="s">
        <v>167</v>
      </c>
      <c r="N393" s="185" t="e">
        <f t="shared" ca="1" si="297"/>
        <v>#N/A</v>
      </c>
      <c r="O393" s="196" cm="1">
        <f t="array" aca="1" ref="O393" ca="1">MIN(IF(($BY$389:$BY$412=M393)*($AQ$389:$AQ$412=$O$386),$Z$389:$Z$412))</f>
        <v>0</v>
      </c>
      <c r="P393" s="197"/>
      <c r="Q393" s="185">
        <f t="shared" si="298"/>
        <v>0</v>
      </c>
      <c r="R393" s="185">
        <f t="shared" si="299"/>
        <v>0</v>
      </c>
      <c r="S393" s="185">
        <f t="shared" si="300"/>
        <v>0</v>
      </c>
      <c r="T393" s="185">
        <f t="shared" si="301"/>
        <v>0</v>
      </c>
      <c r="U393" s="185">
        <f t="shared" si="302"/>
        <v>0</v>
      </c>
      <c r="V393" s="185">
        <f t="shared" si="303"/>
        <v>0</v>
      </c>
      <c r="W393" s="185">
        <f t="shared" si="304"/>
        <v>0</v>
      </c>
      <c r="X393" s="185">
        <f t="shared" si="305"/>
        <v>0</v>
      </c>
      <c r="Y393" s="185">
        <f t="shared" si="306"/>
        <v>0</v>
      </c>
      <c r="Z393" s="196">
        <f t="shared" ca="1" si="307"/>
        <v>11724</v>
      </c>
      <c r="AA393" s="185" t="str">
        <f t="shared" ca="1" si="308"/>
        <v>Offererad produktnr. 01Atea Sverige AB</v>
      </c>
      <c r="AB393" s="185"/>
      <c r="AC393" s="185" t="b">
        <f ca="1">IFERROR(IF(D393="",TRUE,
IF(OR(D393=$CB$12,D393=$CB$13),IF(LEFT(AS393,FIND(" ",AS393)-1)=D393,TRUE,FALSE),
IF(OFFSET(Processor!$AB$1,MATCH($AS393,Processor!$AA$2:$AA$23,0),MATCH(LEFT(D393,FIND(" ",D393)-1),Processor!$AC$1:$AG$1,0))&gt;=
OFFSET(Processor!$AB$1,MATCH(D393,Processor!$AA$2:$AA$23,0),MATCH(LEFT(D393,FIND(" ",D393)-1),Processor!$AC$1:$AG$1,0)),TRUE,FALSE))),FALSE)</f>
        <v>1</v>
      </c>
      <c r="AD393" s="185" t="b">
        <f t="shared" si="309"/>
        <v>1</v>
      </c>
      <c r="AE393" s="185" t="b">
        <f t="shared" si="310"/>
        <v>1</v>
      </c>
      <c r="AF393" s="185" t="b">
        <f>IF($D$391="",TRUE,IF(COUNTIF(Processor!$I$2:$I$9,$D$391)&gt;0,AND(AV393&gt;INDEX(Processor!$J$2:$J$9,MATCH($D$391,Processor!$I$2:$I$9,0)),AV393&lt;INDEX(Processor!$K$2:$K$9,MATCH($D$391,Processor!$I$2:$I$9,0))),IF(AV393=$D$391,TRUE,FALSE)))</f>
        <v>1</v>
      </c>
      <c r="AG393" s="185" t="b">
        <f t="shared" si="311"/>
        <v>1</v>
      </c>
      <c r="AH393" s="185" t="b">
        <f t="shared" si="312"/>
        <v>1</v>
      </c>
      <c r="AI393" s="185" t="b">
        <f t="shared" si="313"/>
        <v>1</v>
      </c>
      <c r="AJ393" s="185" t="b">
        <f t="shared" si="314"/>
        <v>1</v>
      </c>
      <c r="AK393" s="185" t="b">
        <f t="shared" si="315"/>
        <v>1</v>
      </c>
      <c r="AL393" s="185" t="b">
        <f>IFERROR(IF($D402="",TRUE,IF(MID(BC393,LEN(BC393)-2,1)*1&gt;=MID($D402,LEN($D402)-2,1)*1,TRUE,FALSE)),FALSE)</f>
        <v>1</v>
      </c>
      <c r="AM393" s="185" t="b">
        <f>IF(D401="",TRUE,IF(BB393&gt;=D401,TRUE,FALSE))</f>
        <v>1</v>
      </c>
      <c r="AN393" s="185"/>
      <c r="AO393" s="185"/>
      <c r="AP393" s="185" t="s">
        <v>186</v>
      </c>
      <c r="AQ393" s="185">
        <v>1</v>
      </c>
      <c r="AR393" s="185" t="str">
        <f t="shared" ca="1" si="316"/>
        <v>1920x1080</v>
      </c>
      <c r="AS393" s="185" t="str">
        <f t="shared" ca="1" si="316"/>
        <v>Intel i5 Gen 13</v>
      </c>
      <c r="AT393" s="185">
        <f t="shared" ca="1" si="316"/>
        <v>16</v>
      </c>
      <c r="AU393" s="185">
        <f t="shared" ca="1" si="316"/>
        <v>256</v>
      </c>
      <c r="AV393" s="185">
        <f t="shared" ca="1" si="316"/>
        <v>14</v>
      </c>
      <c r="AW393" s="185">
        <f t="shared" ca="1" si="316"/>
        <v>4</v>
      </c>
      <c r="AX393" s="185">
        <f t="shared" ca="1" si="316"/>
        <v>2</v>
      </c>
      <c r="AY393" s="185" t="str">
        <f t="shared" ca="1" si="316"/>
        <v>Ja, HDMI-port finns</v>
      </c>
      <c r="AZ393" s="185" t="str">
        <f t="shared" ca="1" si="316"/>
        <v>802.11a/b/g/n/ac/ax</v>
      </c>
      <c r="BA393" s="185">
        <f t="shared" ca="1" si="316"/>
        <v>5.2</v>
      </c>
      <c r="BB393" s="185">
        <f t="shared" ca="1" si="317"/>
        <v>8</v>
      </c>
      <c r="BC393" s="185" t="str">
        <f t="shared" ca="1" si="317"/>
        <v>Version 8.0</v>
      </c>
      <c r="BD393" s="185" t="str">
        <f t="shared" ca="1" si="317"/>
        <v>Ja</v>
      </c>
      <c r="BE393" s="185" t="str">
        <f t="shared" ca="1" si="317"/>
        <v>Windows 11 Pro</v>
      </c>
      <c r="BF393" s="185" t="str">
        <f t="shared" ca="1" si="317"/>
        <v>Elitebook 640 G10</v>
      </c>
      <c r="BG393" s="185">
        <f t="shared" ca="1" si="317"/>
        <v>11724</v>
      </c>
      <c r="BH393" s="192">
        <f t="shared" ca="1" si="317"/>
        <v>134</v>
      </c>
      <c r="BI393" s="192">
        <f t="shared" ca="1" si="317"/>
        <v>449</v>
      </c>
      <c r="BJ393" s="192">
        <f t="shared" ca="1" si="317"/>
        <v>241</v>
      </c>
      <c r="BK393" s="192">
        <f t="shared" ca="1" si="317"/>
        <v>1788</v>
      </c>
      <c r="BL393" s="192">
        <f t="shared" ca="1" si="318"/>
        <v>706</v>
      </c>
      <c r="BM393" s="192">
        <f t="shared" ca="1" si="318"/>
        <v>120</v>
      </c>
      <c r="BN393" s="192">
        <f t="shared" ca="1" si="318"/>
        <v>85</v>
      </c>
      <c r="BO393" s="192">
        <f t="shared" ca="1" si="318"/>
        <v>100</v>
      </c>
      <c r="BP393" s="192" t="str">
        <f t="shared" ca="1" si="318"/>
        <v>DELTACO</v>
      </c>
      <c r="BQ393" s="192" t="str">
        <f t="shared" ca="1" si="318"/>
        <v>Targus</v>
      </c>
      <c r="BR393" s="192" t="str">
        <f t="shared" ca="1" si="318"/>
        <v>HP</v>
      </c>
      <c r="BS393" s="192" t="str">
        <f t="shared" ca="1" si="318"/>
        <v>HP</v>
      </c>
      <c r="BT393" s="192" t="str">
        <f t="shared" ca="1" si="318"/>
        <v>Fodral för bärbar dator</v>
      </c>
      <c r="BU393" s="192" t="str">
        <f t="shared" ca="1" si="318"/>
        <v>Targus Privacy Screen 14" Widescreen</v>
      </c>
      <c r="BV393" s="192" t="str">
        <f t="shared" ca="1" si="318"/>
        <v>HP 65W Smart AC Adapter</v>
      </c>
      <c r="BW393" s="192" t="str">
        <f t="shared" ca="1" si="318"/>
        <v>HP USB-C Dock G5 Essential</v>
      </c>
      <c r="BX393" s="192"/>
      <c r="BY393" s="192" t="str">
        <f t="shared" ca="1" si="319"/>
        <v>Atea Sverige AB</v>
      </c>
      <c r="BZ393" s="192" t="str">
        <f t="shared" ca="1" si="319"/>
        <v>HP</v>
      </c>
      <c r="CA393" s="185"/>
      <c r="CB393" s="185" t="s">
        <v>66</v>
      </c>
      <c r="CC393" s="185"/>
      <c r="CD393" s="185"/>
      <c r="CE393" s="185"/>
      <c r="CF393" s="185"/>
      <c r="CG393" s="185"/>
      <c r="CH393" s="185"/>
      <c r="CI393" s="185"/>
      <c r="CJ393" s="185"/>
      <c r="CK393" s="185"/>
      <c r="CL393" s="185"/>
      <c r="CM393" s="185"/>
      <c r="CN393" s="185"/>
    </row>
    <row r="394" spans="2:92" ht="22.5" customHeight="1" outlineLevel="1" x14ac:dyDescent="0.35">
      <c r="C394" s="61" t="s">
        <v>119</v>
      </c>
      <c r="D394" s="64"/>
      <c r="F394" s="80" t="str">
        <f t="shared" si="320"/>
        <v/>
      </c>
      <c r="G394" s="81">
        <f t="shared" ca="1" si="321"/>
        <v>8</v>
      </c>
      <c r="H394" s="81">
        <f t="shared" ca="1" si="321"/>
        <v>8</v>
      </c>
      <c r="I394" s="120">
        <f t="shared" ca="1" si="321"/>
        <v>16</v>
      </c>
      <c r="J394" s="62"/>
      <c r="K394" s="196">
        <f t="shared" ca="1" si="295"/>
        <v>0</v>
      </c>
      <c r="L394" s="185" t="b">
        <f t="shared" si="296"/>
        <v>1</v>
      </c>
      <c r="M394" s="185" t="s">
        <v>546</v>
      </c>
      <c r="N394" s="185" t="str">
        <f t="shared" ca="1" si="297"/>
        <v>Offererad produktnr. 01Qlosr Göteborg AB</v>
      </c>
      <c r="O394" s="196" cm="1">
        <f t="array" aca="1" ref="O394" ca="1">MIN(IF(($BY$389:$BY$412=M394)*($AQ$389:$AQ$412=$O$386),$Z$389:$Z$412))</f>
        <v>6420</v>
      </c>
      <c r="P394" s="197"/>
      <c r="Q394" s="185">
        <f t="shared" si="298"/>
        <v>0</v>
      </c>
      <c r="R394" s="185">
        <f t="shared" si="299"/>
        <v>0</v>
      </c>
      <c r="S394" s="185">
        <f t="shared" si="300"/>
        <v>0</v>
      </c>
      <c r="T394" s="185">
        <f t="shared" si="301"/>
        <v>0</v>
      </c>
      <c r="U394" s="185">
        <f t="shared" si="302"/>
        <v>0</v>
      </c>
      <c r="V394" s="185">
        <f t="shared" si="303"/>
        <v>0</v>
      </c>
      <c r="W394" s="185">
        <f t="shared" si="304"/>
        <v>0</v>
      </c>
      <c r="X394" s="185">
        <f t="shared" si="305"/>
        <v>0</v>
      </c>
      <c r="Y394" s="185">
        <f t="shared" si="306"/>
        <v>0</v>
      </c>
      <c r="Z394" s="196">
        <f t="shared" ca="1" si="307"/>
        <v>14238</v>
      </c>
      <c r="AA394" s="185" t="str">
        <f t="shared" ca="1" si="308"/>
        <v>Offererad produktnr. 02Atea Sverige AB</v>
      </c>
      <c r="AB394" s="185"/>
      <c r="AC394" s="185" t="b">
        <f ca="1">IFERROR(IF(D393="",TRUE,
IF(OR(D393=$CB$12,D393=$CB$13),IF(LEFT(AS394,FIND(" ",AS394)-1)=D393,TRUE,FALSE),
IF(OFFSET(Processor!$AB$1,MATCH($AS394,Processor!$AA$2:$AA$23,0),MATCH(LEFT(D393,FIND(" ",D393)-1),Processor!$AC$1:$AG$1,0))&gt;=
OFFSET(Processor!$AB$1,MATCH(D393,Processor!$AA$2:$AA$23,0),MATCH(LEFT(D393,FIND(" ",D393)-1),Processor!$AC$1:$AG$1,0)),TRUE,FALSE))),FALSE)</f>
        <v>1</v>
      </c>
      <c r="AD394" s="185" t="b">
        <f t="shared" si="309"/>
        <v>1</v>
      </c>
      <c r="AE394" s="185" t="b">
        <f t="shared" si="310"/>
        <v>1</v>
      </c>
      <c r="AF394" s="185" t="b">
        <f>IF($D$391="",TRUE,IF(COUNTIF(Processor!$I$2:$I$9,$D$391)&gt;0,AND(AV394&gt;INDEX(Processor!$J$2:$J$9,MATCH($D$391,Processor!$I$2:$I$9,0)),AV394&lt;INDEX(Processor!$K$2:$K$9,MATCH($D$391,Processor!$I$2:$I$9,0))),IF(AV394=$D$391,TRUE,FALSE)))</f>
        <v>1</v>
      </c>
      <c r="AG394" s="185" t="b">
        <f t="shared" si="311"/>
        <v>1</v>
      </c>
      <c r="AH394" s="185" t="b">
        <f t="shared" si="312"/>
        <v>1</v>
      </c>
      <c r="AI394" s="185" t="b">
        <f t="shared" si="313"/>
        <v>1</v>
      </c>
      <c r="AJ394" s="185" t="b">
        <f t="shared" si="314"/>
        <v>1</v>
      </c>
      <c r="AK394" s="185" t="b">
        <f t="shared" si="315"/>
        <v>1</v>
      </c>
      <c r="AL394" s="185" t="b">
        <f>IFERROR(IF($D402="",TRUE,IF(MID(BC394,LEN(BC394)-2,1)*1&gt;=MID($D402,LEN($D402)-2,1)*1,TRUE,FALSE)),FALSE)</f>
        <v>1</v>
      </c>
      <c r="AM394" s="185" t="b">
        <f>IF(D401="",TRUE,IF(BB394&gt;=D401,TRUE,FALSE))</f>
        <v>1</v>
      </c>
      <c r="AN394" s="185"/>
      <c r="AO394" s="185"/>
      <c r="AP394" s="185" t="s">
        <v>187</v>
      </c>
      <c r="AQ394" s="185">
        <v>1</v>
      </c>
      <c r="AR394" s="185" t="str">
        <f t="shared" ca="1" si="316"/>
        <v>1920x1200</v>
      </c>
      <c r="AS394" s="185" t="str">
        <f t="shared" ca="1" si="316"/>
        <v>Intel i5 Gen 13</v>
      </c>
      <c r="AT394" s="185">
        <f t="shared" ca="1" si="316"/>
        <v>16</v>
      </c>
      <c r="AU394" s="185">
        <f t="shared" ca="1" si="316"/>
        <v>256</v>
      </c>
      <c r="AV394" s="185">
        <f t="shared" ca="1" si="316"/>
        <v>14</v>
      </c>
      <c r="AW394" s="185">
        <f t="shared" ca="1" si="316"/>
        <v>4</v>
      </c>
      <c r="AX394" s="185">
        <f t="shared" ca="1" si="316"/>
        <v>2</v>
      </c>
      <c r="AY394" s="185" t="str">
        <f t="shared" ca="1" si="316"/>
        <v>Ja, HDMI-port finns</v>
      </c>
      <c r="AZ394" s="185" t="str">
        <f t="shared" ca="1" si="316"/>
        <v>802.11a/b/g/n/ac/ax</v>
      </c>
      <c r="BA394" s="185">
        <f t="shared" ca="1" si="316"/>
        <v>5.3</v>
      </c>
      <c r="BB394" s="185">
        <f t="shared" ca="1" si="317"/>
        <v>8</v>
      </c>
      <c r="BC394" s="185" t="str">
        <f t="shared" ca="1" si="317"/>
        <v>Version 8.0</v>
      </c>
      <c r="BD394" s="185" t="str">
        <f t="shared" ca="1" si="317"/>
        <v>Ja</v>
      </c>
      <c r="BE394" s="185" t="str">
        <f t="shared" ca="1" si="317"/>
        <v>Windows 11 Pro</v>
      </c>
      <c r="BF394" s="185" t="str">
        <f t="shared" ca="1" si="317"/>
        <v>Elitebook 840 G10</v>
      </c>
      <c r="BG394" s="185">
        <f t="shared" ca="1" si="317"/>
        <v>14238</v>
      </c>
      <c r="BH394" s="192">
        <f t="shared" ca="1" si="317"/>
        <v>134</v>
      </c>
      <c r="BI394" s="192">
        <f t="shared" ca="1" si="317"/>
        <v>449</v>
      </c>
      <c r="BJ394" s="192">
        <f t="shared" ca="1" si="317"/>
        <v>241</v>
      </c>
      <c r="BK394" s="192">
        <f t="shared" ca="1" si="317"/>
        <v>1788</v>
      </c>
      <c r="BL394" s="192">
        <f t="shared" ca="1" si="318"/>
        <v>2039</v>
      </c>
      <c r="BM394" s="192">
        <f t="shared" ca="1" si="318"/>
        <v>120</v>
      </c>
      <c r="BN394" s="192">
        <f t="shared" ca="1" si="318"/>
        <v>85</v>
      </c>
      <c r="BO394" s="192">
        <f t="shared" ca="1" si="318"/>
        <v>100</v>
      </c>
      <c r="BP394" s="192" t="str">
        <f t="shared" ca="1" si="318"/>
        <v>DELTACO</v>
      </c>
      <c r="BQ394" s="192" t="str">
        <f t="shared" ca="1" si="318"/>
        <v>Targus</v>
      </c>
      <c r="BR394" s="192" t="str">
        <f t="shared" ca="1" si="318"/>
        <v>HP</v>
      </c>
      <c r="BS394" s="192" t="str">
        <f t="shared" ca="1" si="318"/>
        <v>HP</v>
      </c>
      <c r="BT394" s="192" t="str">
        <f t="shared" ca="1" si="318"/>
        <v>Fodral för bärbar dator</v>
      </c>
      <c r="BU394" s="192" t="str">
        <f t="shared" ca="1" si="318"/>
        <v>Targus Privacy Screen 14" Widescreen</v>
      </c>
      <c r="BV394" s="192" t="str">
        <f t="shared" ca="1" si="318"/>
        <v>HP 65W Smart AC Adapter</v>
      </c>
      <c r="BW394" s="192" t="str">
        <f t="shared" ca="1" si="318"/>
        <v>HP USB-C Dock G5 Essential</v>
      </c>
      <c r="BX394" s="192"/>
      <c r="BY394" s="192" t="str">
        <f t="shared" ca="1" si="319"/>
        <v>Atea Sverige AB</v>
      </c>
      <c r="BZ394" s="192" t="str">
        <f t="shared" ca="1" si="319"/>
        <v>HP</v>
      </c>
      <c r="CA394" s="185"/>
      <c r="CB394" s="185" t="s">
        <v>63</v>
      </c>
      <c r="CC394" s="185"/>
      <c r="CD394" s="185"/>
      <c r="CE394" s="185"/>
      <c r="CF394" s="185"/>
      <c r="CG394" s="185"/>
      <c r="CH394" s="185"/>
      <c r="CI394" s="185"/>
      <c r="CJ394" s="186"/>
      <c r="CK394" s="185"/>
      <c r="CL394" s="185"/>
      <c r="CM394" s="185"/>
      <c r="CN394" s="185"/>
    </row>
    <row r="395" spans="2:92" ht="22.5" customHeight="1" outlineLevel="1" x14ac:dyDescent="0.35">
      <c r="C395" s="61" t="s">
        <v>16</v>
      </c>
      <c r="D395" s="64"/>
      <c r="F395" s="80" t="str">
        <f t="shared" si="320"/>
        <v/>
      </c>
      <c r="G395" s="81">
        <f t="shared" ca="1" si="321"/>
        <v>256</v>
      </c>
      <c r="H395" s="81">
        <f t="shared" ca="1" si="321"/>
        <v>256</v>
      </c>
      <c r="I395" s="120">
        <f t="shared" ca="1" si="321"/>
        <v>512</v>
      </c>
      <c r="J395" s="62"/>
      <c r="Q395" s="185">
        <f t="shared" si="298"/>
        <v>0</v>
      </c>
      <c r="R395" s="185">
        <f t="shared" si="299"/>
        <v>0</v>
      </c>
      <c r="S395" s="185">
        <f t="shared" si="300"/>
        <v>0</v>
      </c>
      <c r="T395" s="185">
        <f t="shared" si="301"/>
        <v>0</v>
      </c>
      <c r="U395" s="185">
        <f t="shared" si="302"/>
        <v>0</v>
      </c>
      <c r="V395" s="185">
        <f t="shared" si="303"/>
        <v>0</v>
      </c>
      <c r="W395" s="185">
        <f t="shared" si="304"/>
        <v>0</v>
      </c>
      <c r="X395" s="185">
        <f t="shared" si="305"/>
        <v>0</v>
      </c>
      <c r="Y395" s="185">
        <f t="shared" si="306"/>
        <v>0</v>
      </c>
      <c r="Z395" s="196">
        <f t="shared" ca="1" si="307"/>
        <v>13908</v>
      </c>
      <c r="AA395" s="185" t="str">
        <f t="shared" ca="1" si="308"/>
        <v>Offererad produktnr. 03Atea Sverige AB</v>
      </c>
      <c r="AB395" s="185"/>
      <c r="AC395" s="185" t="b">
        <f ca="1">IFERROR(IF(D393="",TRUE,
IF(OR(D393=$CB$12,D393=$CB$13),IF(LEFT(AS395,FIND(" ",AS395)-1)=D393,TRUE,FALSE),
IF(OFFSET(Processor!$AB$1,MATCH($AS395,Processor!$AA$2:$AA$23,0),MATCH(LEFT(D393,FIND(" ",D393)-1),Processor!$AC$1:$AG$1,0))&gt;=
OFFSET(Processor!$AB$1,MATCH(D393,Processor!$AA$2:$AA$23,0),MATCH(LEFT(D393,FIND(" ",D393)-1),Processor!$AC$1:$AG$1,0)),TRUE,FALSE))),FALSE)</f>
        <v>1</v>
      </c>
      <c r="AD395" s="185" t="b">
        <f t="shared" si="309"/>
        <v>1</v>
      </c>
      <c r="AE395" s="185" t="b">
        <f t="shared" si="310"/>
        <v>1</v>
      </c>
      <c r="AF395" s="185" t="b">
        <f>IF($D$391="",TRUE,IF(COUNTIF(Processor!$I$2:$I$9,$D$391)&gt;0,AND(AV395&gt;INDEX(Processor!$J$2:$J$9,MATCH($D$391,Processor!$I$2:$I$9,0)),AV395&lt;INDEX(Processor!$K$2:$K$9,MATCH($D$391,Processor!$I$2:$I$9,0))),IF(AV395=$D$391,TRUE,FALSE)))</f>
        <v>1</v>
      </c>
      <c r="AG395" s="185" t="b">
        <f t="shared" si="311"/>
        <v>1</v>
      </c>
      <c r="AH395" s="185" t="b">
        <f t="shared" si="312"/>
        <v>1</v>
      </c>
      <c r="AI395" s="185" t="b">
        <f t="shared" si="313"/>
        <v>1</v>
      </c>
      <c r="AJ395" s="185" t="b">
        <f t="shared" si="314"/>
        <v>1</v>
      </c>
      <c r="AK395" s="185" t="b">
        <f t="shared" si="315"/>
        <v>1</v>
      </c>
      <c r="AL395" s="185" t="b">
        <f>IFERROR(IF($D402="",TRUE,IF(MID(BC395,LEN(BC395)-2,1)*1&gt;=MID($D402,LEN($D402)-2,1)*1,TRUE,FALSE)),FALSE)</f>
        <v>1</v>
      </c>
      <c r="AM395" s="185" t="b">
        <f>IF(D401="",TRUE,IF(BB395&gt;=D401,TRUE,FALSE))</f>
        <v>1</v>
      </c>
      <c r="AN395" s="185"/>
      <c r="AO395" s="185"/>
      <c r="AP395" s="185" t="s">
        <v>188</v>
      </c>
      <c r="AQ395" s="185">
        <v>1</v>
      </c>
      <c r="AR395" s="185" t="str">
        <f t="shared" ca="1" si="316"/>
        <v>1920x1080</v>
      </c>
      <c r="AS395" s="185" t="str">
        <f t="shared" ca="1" si="316"/>
        <v>Intel i7 Gen 13</v>
      </c>
      <c r="AT395" s="185">
        <f t="shared" ca="1" si="316"/>
        <v>16</v>
      </c>
      <c r="AU395" s="185">
        <f t="shared" ca="1" si="316"/>
        <v>512</v>
      </c>
      <c r="AV395" s="185">
        <f t="shared" ca="1" si="316"/>
        <v>14</v>
      </c>
      <c r="AW395" s="185">
        <f t="shared" ca="1" si="316"/>
        <v>4</v>
      </c>
      <c r="AX395" s="185">
        <f t="shared" ca="1" si="316"/>
        <v>2</v>
      </c>
      <c r="AY395" s="185" t="str">
        <f t="shared" ca="1" si="316"/>
        <v>Ja, HDMI-port finns</v>
      </c>
      <c r="AZ395" s="185" t="str">
        <f t="shared" ca="1" si="316"/>
        <v>802.11a/b/g/n/ac/ax</v>
      </c>
      <c r="BA395" s="185">
        <f t="shared" ca="1" si="316"/>
        <v>5.3</v>
      </c>
      <c r="BB395" s="185">
        <f t="shared" ca="1" si="317"/>
        <v>8</v>
      </c>
      <c r="BC395" s="185" t="str">
        <f t="shared" ca="1" si="317"/>
        <v>Version 8.0</v>
      </c>
      <c r="BD395" s="185" t="str">
        <f t="shared" ca="1" si="317"/>
        <v>Ja</v>
      </c>
      <c r="BE395" s="185" t="str">
        <f t="shared" ca="1" si="317"/>
        <v>Windows 11 Pro</v>
      </c>
      <c r="BF395" s="185" t="str">
        <f t="shared" ca="1" si="317"/>
        <v>Probook 440 G10</v>
      </c>
      <c r="BG395" s="185">
        <f t="shared" ca="1" si="317"/>
        <v>13908</v>
      </c>
      <c r="BH395" s="192">
        <f t="shared" ca="1" si="317"/>
        <v>134</v>
      </c>
      <c r="BI395" s="192">
        <f t="shared" ca="1" si="317"/>
        <v>449</v>
      </c>
      <c r="BJ395" s="192">
        <f t="shared" ca="1" si="317"/>
        <v>241</v>
      </c>
      <c r="BK395" s="192">
        <f t="shared" ca="1" si="317"/>
        <v>1788</v>
      </c>
      <c r="BL395" s="192">
        <f t="shared" ca="1" si="318"/>
        <v>706</v>
      </c>
      <c r="BM395" s="192">
        <f t="shared" ca="1" si="318"/>
        <v>120</v>
      </c>
      <c r="BN395" s="192">
        <f t="shared" ca="1" si="318"/>
        <v>85</v>
      </c>
      <c r="BO395" s="192">
        <f t="shared" ca="1" si="318"/>
        <v>100</v>
      </c>
      <c r="BP395" s="192" t="str">
        <f t="shared" ca="1" si="318"/>
        <v>DELTACO</v>
      </c>
      <c r="BQ395" s="192" t="str">
        <f t="shared" ca="1" si="318"/>
        <v>Targus</v>
      </c>
      <c r="BR395" s="192" t="str">
        <f t="shared" ca="1" si="318"/>
        <v>HP</v>
      </c>
      <c r="BS395" s="192" t="str">
        <f t="shared" ca="1" si="318"/>
        <v>HP</v>
      </c>
      <c r="BT395" s="192" t="str">
        <f t="shared" ca="1" si="318"/>
        <v>Fodral för bärbar dator</v>
      </c>
      <c r="BU395" s="192" t="str">
        <f t="shared" ca="1" si="318"/>
        <v>Targus Privacy Screen 14" Widescreen</v>
      </c>
      <c r="BV395" s="192" t="str">
        <f t="shared" ca="1" si="318"/>
        <v>HP 65W Smart AC Adapter</v>
      </c>
      <c r="BW395" s="192" t="str">
        <f t="shared" ca="1" si="318"/>
        <v>HP USB-C Dock G5 Essential</v>
      </c>
      <c r="BX395" s="192"/>
      <c r="BY395" s="192" t="str">
        <f t="shared" ca="1" si="319"/>
        <v>Atea Sverige AB</v>
      </c>
      <c r="BZ395" s="192" t="str">
        <f t="shared" ca="1" si="319"/>
        <v>HP</v>
      </c>
      <c r="CA395" s="185"/>
      <c r="CB395" s="185" t="s">
        <v>569</v>
      </c>
      <c r="CC395" s="185"/>
      <c r="CD395" s="185"/>
      <c r="CE395" s="185"/>
      <c r="CF395" s="185"/>
      <c r="CG395" s="185"/>
      <c r="CH395" s="185"/>
      <c r="CI395" s="185"/>
      <c r="CJ395" s="185"/>
      <c r="CK395" s="185"/>
      <c r="CL395" s="185"/>
      <c r="CM395" s="185"/>
      <c r="CN395" s="185"/>
    </row>
    <row r="396" spans="2:92" ht="22.5" customHeight="1" outlineLevel="1" x14ac:dyDescent="0.35">
      <c r="C396" s="61" t="s">
        <v>67</v>
      </c>
      <c r="D396" s="64"/>
      <c r="F396" s="80" t="str">
        <f t="shared" si="320"/>
        <v/>
      </c>
      <c r="G396" s="81">
        <f t="shared" ca="1" si="321"/>
        <v>4</v>
      </c>
      <c r="H396" s="81">
        <f t="shared" ca="1" si="321"/>
        <v>3</v>
      </c>
      <c r="I396" s="120">
        <f t="shared" ca="1" si="321"/>
        <v>4</v>
      </c>
      <c r="J396" s="62"/>
      <c r="Q396" s="185">
        <f t="shared" si="298"/>
        <v>0</v>
      </c>
      <c r="R396" s="185">
        <f t="shared" si="299"/>
        <v>0</v>
      </c>
      <c r="S396" s="185">
        <f t="shared" si="300"/>
        <v>0</v>
      </c>
      <c r="T396" s="185">
        <f t="shared" si="301"/>
        <v>0</v>
      </c>
      <c r="U396" s="185">
        <f t="shared" si="302"/>
        <v>0</v>
      </c>
      <c r="V396" s="185">
        <f t="shared" si="303"/>
        <v>0</v>
      </c>
      <c r="W396" s="185">
        <f t="shared" si="304"/>
        <v>0</v>
      </c>
      <c r="X396" s="185">
        <f t="shared" si="305"/>
        <v>0</v>
      </c>
      <c r="Y396" s="185">
        <f t="shared" si="306"/>
        <v>0</v>
      </c>
      <c r="Z396" s="196">
        <f t="shared" ca="1" si="307"/>
        <v>15588</v>
      </c>
      <c r="AA396" s="185" t="str">
        <f t="shared" ca="1" si="308"/>
        <v>Offererad produktnr. 04Atea Sverige AB</v>
      </c>
      <c r="AB396" s="185"/>
      <c r="AC396" s="185" t="b">
        <f ca="1">IFERROR(IF(D393="",TRUE,
IF(OR(D393=$CB$12,D393=$CB$13),IF(LEFT(AS396,FIND(" ",AS396)-1)=D393,TRUE,FALSE),
IF(OFFSET(Processor!$AB$1,MATCH($AS396,Processor!$AA$2:$AA$23,0),MATCH(LEFT(D393,FIND(" ",D393)-1),Processor!$AC$1:$AG$1,0))&gt;=
OFFSET(Processor!$AB$1,MATCH(D393,Processor!$AA$2:$AA$23,0),MATCH(LEFT(D393,FIND(" ",D393)-1),Processor!$AC$1:$AG$1,0)),TRUE,FALSE))),FALSE)</f>
        <v>1</v>
      </c>
      <c r="AD396" s="185" t="b">
        <f t="shared" si="309"/>
        <v>1</v>
      </c>
      <c r="AE396" s="185" t="b">
        <f t="shared" si="310"/>
        <v>1</v>
      </c>
      <c r="AF396" s="185" t="b">
        <f>IF($D$391="",TRUE,IF(COUNTIF(Processor!$I$2:$I$9,$D$391)&gt;0,AND(AV396&gt;INDEX(Processor!$J$2:$J$9,MATCH($D$391,Processor!$I$2:$I$9,0)),AV396&lt;INDEX(Processor!$K$2:$K$9,MATCH($D$391,Processor!$I$2:$I$9,0))),IF(AV396=$D$391,TRUE,FALSE)))</f>
        <v>1</v>
      </c>
      <c r="AG396" s="185" t="b">
        <f t="shared" si="311"/>
        <v>1</v>
      </c>
      <c r="AH396" s="185" t="b">
        <f t="shared" si="312"/>
        <v>1</v>
      </c>
      <c r="AI396" s="185" t="b">
        <f t="shared" si="313"/>
        <v>1</v>
      </c>
      <c r="AJ396" s="185" t="b">
        <f t="shared" si="314"/>
        <v>1</v>
      </c>
      <c r="AK396" s="185" t="b">
        <f t="shared" si="315"/>
        <v>1</v>
      </c>
      <c r="AL396" s="185" t="b">
        <f>IFERROR(IF($D402="",TRUE,IF(MID(BC396,LEN(BC396)-2,1)*1&gt;=MID($D402,LEN($D402)-2,1)*1,TRUE,FALSE)),FALSE)</f>
        <v>1</v>
      </c>
      <c r="AM396" s="185" t="b">
        <f>IF(D401="",TRUE,IF(BB396&gt;=D401,TRUE,FALSE))</f>
        <v>1</v>
      </c>
      <c r="AN396" s="185"/>
      <c r="AO396" s="185"/>
      <c r="AP396" s="185" t="s">
        <v>189</v>
      </c>
      <c r="AQ396" s="185">
        <v>1</v>
      </c>
      <c r="AR396" s="185" t="str">
        <f t="shared" ca="1" si="316"/>
        <v>1920x1080</v>
      </c>
      <c r="AS396" s="185" t="str">
        <f t="shared" ca="1" si="316"/>
        <v>Intel i7 Gen 13</v>
      </c>
      <c r="AT396" s="185">
        <f t="shared" ca="1" si="316"/>
        <v>16</v>
      </c>
      <c r="AU396" s="185">
        <f t="shared" ca="1" si="316"/>
        <v>512</v>
      </c>
      <c r="AV396" s="185">
        <f t="shared" ca="1" si="316"/>
        <v>14</v>
      </c>
      <c r="AW396" s="185">
        <f t="shared" ca="1" si="316"/>
        <v>4</v>
      </c>
      <c r="AX396" s="185">
        <f t="shared" ca="1" si="316"/>
        <v>2</v>
      </c>
      <c r="AY396" s="185" t="str">
        <f t="shared" ca="1" si="316"/>
        <v>Ja, HDMI-port finns</v>
      </c>
      <c r="AZ396" s="185" t="str">
        <f t="shared" ca="1" si="316"/>
        <v>802.11a/b/g/n/ac/ax</v>
      </c>
      <c r="BA396" s="185">
        <f t="shared" ca="1" si="316"/>
        <v>5.2</v>
      </c>
      <c r="BB396" s="185">
        <f t="shared" ca="1" si="317"/>
        <v>8</v>
      </c>
      <c r="BC396" s="185" t="str">
        <f t="shared" ca="1" si="317"/>
        <v>Version 8.0</v>
      </c>
      <c r="BD396" s="185" t="str">
        <f t="shared" ca="1" si="317"/>
        <v>Ja</v>
      </c>
      <c r="BE396" s="185" t="str">
        <f t="shared" ca="1" si="317"/>
        <v>Windows 11 Pro</v>
      </c>
      <c r="BF396" s="185" t="str">
        <f t="shared" ca="1" si="317"/>
        <v>Elitebook 640 G10</v>
      </c>
      <c r="BG396" s="185">
        <f t="shared" ca="1" si="317"/>
        <v>15588</v>
      </c>
      <c r="BH396" s="192">
        <f t="shared" ca="1" si="317"/>
        <v>134</v>
      </c>
      <c r="BI396" s="192">
        <f t="shared" ca="1" si="317"/>
        <v>449</v>
      </c>
      <c r="BJ396" s="192">
        <f t="shared" ca="1" si="317"/>
        <v>241</v>
      </c>
      <c r="BK396" s="192">
        <f t="shared" ca="1" si="317"/>
        <v>1788</v>
      </c>
      <c r="BL396" s="192">
        <f t="shared" ca="1" si="318"/>
        <v>2039</v>
      </c>
      <c r="BM396" s="192">
        <f t="shared" ca="1" si="318"/>
        <v>120</v>
      </c>
      <c r="BN396" s="192">
        <f t="shared" ca="1" si="318"/>
        <v>85</v>
      </c>
      <c r="BO396" s="192">
        <f t="shared" ca="1" si="318"/>
        <v>100</v>
      </c>
      <c r="BP396" s="192" t="str">
        <f t="shared" ca="1" si="318"/>
        <v>DELTACO</v>
      </c>
      <c r="BQ396" s="192" t="str">
        <f t="shared" ca="1" si="318"/>
        <v>Targus</v>
      </c>
      <c r="BR396" s="192" t="str">
        <f t="shared" ca="1" si="318"/>
        <v>HP</v>
      </c>
      <c r="BS396" s="192" t="str">
        <f t="shared" ca="1" si="318"/>
        <v>HP</v>
      </c>
      <c r="BT396" s="192" t="str">
        <f t="shared" ca="1" si="318"/>
        <v>Fodral för bärbar dator</v>
      </c>
      <c r="BU396" s="192" t="str">
        <f t="shared" ca="1" si="318"/>
        <v>Targus Privacy Screen 14" Widescreen</v>
      </c>
      <c r="BV396" s="192" t="str">
        <f t="shared" ca="1" si="318"/>
        <v>HP 65W Smart AC Adapter</v>
      </c>
      <c r="BW396" s="192" t="str">
        <f t="shared" ca="1" si="318"/>
        <v>HP USB-C Dock G5 Essential</v>
      </c>
      <c r="BX396" s="192"/>
      <c r="BY396" s="192" t="str">
        <f t="shared" ca="1" si="319"/>
        <v>Atea Sverige AB</v>
      </c>
      <c r="BZ396" s="192" t="str">
        <f t="shared" ca="1" si="319"/>
        <v>HP</v>
      </c>
      <c r="CA396" s="185"/>
      <c r="CB396" s="185" t="s">
        <v>711</v>
      </c>
      <c r="CC396" s="185"/>
      <c r="CD396" s="185"/>
      <c r="CE396" s="185"/>
      <c r="CF396" s="185"/>
      <c r="CG396" s="185"/>
      <c r="CH396" s="185"/>
      <c r="CI396" s="185"/>
      <c r="CJ396" s="185"/>
      <c r="CK396" s="185"/>
      <c r="CL396" s="185"/>
      <c r="CM396" s="185"/>
      <c r="CN396" s="185"/>
    </row>
    <row r="397" spans="2:92" ht="22.5" customHeight="1" outlineLevel="1" x14ac:dyDescent="0.35">
      <c r="C397" s="61" t="s">
        <v>74</v>
      </c>
      <c r="D397" s="64"/>
      <c r="F397" s="80" t="str">
        <f t="shared" si="320"/>
        <v/>
      </c>
      <c r="G397" s="81">
        <f t="shared" ca="1" si="321"/>
        <v>1</v>
      </c>
      <c r="H397" s="81">
        <f t="shared" ca="1" si="321"/>
        <v>1</v>
      </c>
      <c r="I397" s="120">
        <f t="shared" ca="1" si="321"/>
        <v>1</v>
      </c>
      <c r="J397" s="62"/>
      <c r="Q397" s="185">
        <f t="shared" si="298"/>
        <v>0</v>
      </c>
      <c r="R397" s="185">
        <f t="shared" si="299"/>
        <v>0</v>
      </c>
      <c r="S397" s="185">
        <f t="shared" si="300"/>
        <v>0</v>
      </c>
      <c r="T397" s="185">
        <f t="shared" si="301"/>
        <v>0</v>
      </c>
      <c r="U397" s="185">
        <f t="shared" si="302"/>
        <v>0</v>
      </c>
      <c r="V397" s="185">
        <f t="shared" si="303"/>
        <v>0</v>
      </c>
      <c r="W397" s="185">
        <f t="shared" si="304"/>
        <v>0</v>
      </c>
      <c r="X397" s="185">
        <f t="shared" si="305"/>
        <v>0</v>
      </c>
      <c r="Y397" s="185">
        <f t="shared" si="306"/>
        <v>0</v>
      </c>
      <c r="Z397" s="196">
        <f t="shared" ca="1" si="307"/>
        <v>7599</v>
      </c>
      <c r="AA397" s="185" t="str">
        <f t="shared" ca="1" si="308"/>
        <v>Offererad produktnr. 01Dustin Sverige AB</v>
      </c>
      <c r="AB397" s="185"/>
      <c r="AC397" s="185" t="b">
        <f ca="1">IFERROR(IF(D393="",TRUE,
IF(OR(D393=$CB$12,D393=$CB$13),IF(LEFT(AS397,FIND(" ",AS397)-1)=D393,TRUE,FALSE),
IF(OFFSET(Processor!$AB$1,MATCH($AS397,Processor!$AA$2:$AA$23,0),MATCH(LEFT(D393,FIND(" ",D393)-1),Processor!$AC$1:$AG$1,0))&gt;=
OFFSET(Processor!$AB$1,MATCH(D393,Processor!$AA$2:$AA$23,0),MATCH(LEFT(D393,FIND(" ",D393)-1),Processor!$AC$1:$AG$1,0)),TRUE,FALSE))),FALSE)</f>
        <v>1</v>
      </c>
      <c r="AD397" s="185" t="b">
        <f t="shared" si="309"/>
        <v>1</v>
      </c>
      <c r="AE397" s="185" t="b">
        <f t="shared" si="310"/>
        <v>1</v>
      </c>
      <c r="AF397" s="185" t="b">
        <f>IF($D$391="",TRUE,IF(COUNTIF(Processor!$I$2:$I$9,$D$391)&gt;0,AND(AV397&gt;INDEX(Processor!$J$2:$J$9,MATCH($D$391,Processor!$I$2:$I$9,0)),AV397&lt;INDEX(Processor!$K$2:$K$9,MATCH($D$391,Processor!$I$2:$I$9,0))),IF(AV397=$D$391,TRUE,FALSE)))</f>
        <v>1</v>
      </c>
      <c r="AG397" s="185" t="b">
        <f t="shared" si="311"/>
        <v>1</v>
      </c>
      <c r="AH397" s="185" t="b">
        <f t="shared" si="312"/>
        <v>1</v>
      </c>
      <c r="AI397" s="185" t="b">
        <f t="shared" si="313"/>
        <v>1</v>
      </c>
      <c r="AJ397" s="185" t="b">
        <f t="shared" si="314"/>
        <v>1</v>
      </c>
      <c r="AK397" s="185" t="b">
        <f t="shared" si="315"/>
        <v>1</v>
      </c>
      <c r="AL397" s="185" t="b">
        <f>IFERROR(IF($D402="",TRUE,IF(MID(BC397,LEN(BC397)-2,1)*1&gt;=MID($D402,LEN($D402)-2,1)*1,TRUE,FALSE)),FALSE)</f>
        <v>1</v>
      </c>
      <c r="AM397" s="185" t="b">
        <f>IF(D401="",TRUE,IF(BB397&gt;=D401,TRUE,FALSE))</f>
        <v>1</v>
      </c>
      <c r="AN397" s="185"/>
      <c r="AO397" s="185"/>
      <c r="AP397" s="185" t="s">
        <v>174</v>
      </c>
      <c r="AQ397" s="185">
        <v>1</v>
      </c>
      <c r="AR397" s="185" t="str">
        <f t="shared" ca="1" si="316"/>
        <v>1920x1080</v>
      </c>
      <c r="AS397" s="185" t="str">
        <f t="shared" ca="1" si="316"/>
        <v>AMD Ryzen 5</v>
      </c>
      <c r="AT397" s="185">
        <f t="shared" ca="1" si="316"/>
        <v>8</v>
      </c>
      <c r="AU397" s="185">
        <f t="shared" ca="1" si="316"/>
        <v>256</v>
      </c>
      <c r="AV397" s="185">
        <f t="shared" ca="1" si="316"/>
        <v>14</v>
      </c>
      <c r="AW397" s="185">
        <f t="shared" ca="1" si="316"/>
        <v>3</v>
      </c>
      <c r="AX397" s="185">
        <f t="shared" ca="1" si="316"/>
        <v>1</v>
      </c>
      <c r="AY397" s="185" t="str">
        <f t="shared" ca="1" si="316"/>
        <v>Ja, HDMI-port finns</v>
      </c>
      <c r="AZ397" s="185" t="str">
        <f t="shared" ca="1" si="316"/>
        <v>802.11a/b/g/n/ac/ax</v>
      </c>
      <c r="BA397" s="185">
        <f t="shared" ca="1" si="316"/>
        <v>5.3</v>
      </c>
      <c r="BB397" s="185">
        <f t="shared" ca="1" si="317"/>
        <v>11</v>
      </c>
      <c r="BC397" s="185" t="str">
        <f t="shared" ca="1" si="317"/>
        <v>Version 8.0</v>
      </c>
      <c r="BD397" s="185" t="str">
        <f t="shared" ca="1" si="317"/>
        <v>Ja</v>
      </c>
      <c r="BE397" s="185" t="str">
        <f t="shared" ca="1" si="317"/>
        <v>Windows 11 Pro</v>
      </c>
      <c r="BF397" s="185" t="str">
        <f t="shared" ca="1" si="317"/>
        <v>ProBook 445 G10</v>
      </c>
      <c r="BG397" s="185">
        <f t="shared" ca="1" si="317"/>
        <v>7599</v>
      </c>
      <c r="BH397" s="192">
        <f t="shared" ca="1" si="317"/>
        <v>123</v>
      </c>
      <c r="BI397" s="192">
        <f t="shared" ca="1" si="317"/>
        <v>425</v>
      </c>
      <c r="BJ397" s="192">
        <f t="shared" ca="1" si="317"/>
        <v>149</v>
      </c>
      <c r="BK397" s="192">
        <f t="shared" ca="1" si="317"/>
        <v>1185</v>
      </c>
      <c r="BL397" s="192">
        <f t="shared" ca="1" si="318"/>
        <v>450</v>
      </c>
      <c r="BM397" s="192">
        <f t="shared" ca="1" si="318"/>
        <v>133</v>
      </c>
      <c r="BN397" s="192">
        <f t="shared" ca="1" si="318"/>
        <v>20</v>
      </c>
      <c r="BO397" s="192">
        <f t="shared" ca="1" si="318"/>
        <v>20</v>
      </c>
      <c r="BP397" s="192" t="str">
        <f t="shared" ca="1" si="318"/>
        <v>Cirafon</v>
      </c>
      <c r="BQ397" s="192" t="str">
        <f t="shared" ca="1" si="318"/>
        <v>Cirafon</v>
      </c>
      <c r="BR397" s="192" t="str">
        <f t="shared" ca="1" si="318"/>
        <v>HP</v>
      </c>
      <c r="BS397" s="192" t="str">
        <f t="shared" ca="1" si="318"/>
        <v>HP</v>
      </c>
      <c r="BT397" s="192" t="str">
        <f t="shared" ca="1" si="318"/>
        <v>LSN8696R2-14.1</v>
      </c>
      <c r="BU397" s="192" t="str">
        <f t="shared" ca="1" si="318"/>
        <v>DPF14-9</v>
      </c>
      <c r="BV397" s="192" t="str">
        <f t="shared" ca="1" si="318"/>
        <v xml:space="preserve">1MZ01AA </v>
      </c>
      <c r="BW397" s="192" t="str">
        <f t="shared" ca="1" si="318"/>
        <v>72C71AA</v>
      </c>
      <c r="BX397" s="192"/>
      <c r="BY397" s="192" t="str">
        <f t="shared" ca="1" si="319"/>
        <v>Dustin Sverige AB</v>
      </c>
      <c r="BZ397" s="192" t="str">
        <f t="shared" ca="1" si="319"/>
        <v>HP</v>
      </c>
      <c r="CA397" s="185"/>
      <c r="CB397" s="185" t="s">
        <v>64</v>
      </c>
      <c r="CC397" s="185"/>
      <c r="CD397" s="185"/>
      <c r="CE397" s="185"/>
      <c r="CF397" s="185"/>
      <c r="CG397" s="185"/>
      <c r="CH397" s="185"/>
      <c r="CI397" s="185"/>
      <c r="CJ397" s="185"/>
      <c r="CK397" s="185"/>
      <c r="CL397" s="185"/>
      <c r="CM397" s="185"/>
      <c r="CN397" s="185"/>
    </row>
    <row r="398" spans="2:92" ht="22.5" customHeight="1" outlineLevel="1" x14ac:dyDescent="0.35">
      <c r="C398" s="61" t="s">
        <v>97</v>
      </c>
      <c r="D398" s="64"/>
      <c r="F398" s="80" t="str">
        <f t="shared" si="320"/>
        <v/>
      </c>
      <c r="G398" s="81" t="str">
        <f t="shared" ca="1" si="321"/>
        <v>Ja, HDMI-port finns</v>
      </c>
      <c r="H398" s="81" t="str">
        <f t="shared" ca="1" si="321"/>
        <v>Ja, HDMI-port finns</v>
      </c>
      <c r="I398" s="120" t="str">
        <f t="shared" ca="1" si="321"/>
        <v>Ja, HDMI-port finns</v>
      </c>
      <c r="J398" s="62"/>
      <c r="Q398" s="185">
        <f t="shared" si="298"/>
        <v>0</v>
      </c>
      <c r="R398" s="185">
        <f t="shared" si="299"/>
        <v>0</v>
      </c>
      <c r="S398" s="185">
        <f t="shared" si="300"/>
        <v>0</v>
      </c>
      <c r="T398" s="185">
        <f t="shared" si="301"/>
        <v>0</v>
      </c>
      <c r="U398" s="185">
        <f t="shared" si="302"/>
        <v>0</v>
      </c>
      <c r="V398" s="185">
        <f t="shared" si="303"/>
        <v>0</v>
      </c>
      <c r="W398" s="185">
        <f t="shared" si="304"/>
        <v>0</v>
      </c>
      <c r="X398" s="185">
        <f t="shared" si="305"/>
        <v>0</v>
      </c>
      <c r="Y398" s="185">
        <f t="shared" si="306"/>
        <v>0</v>
      </c>
      <c r="Z398" s="196">
        <f t="shared" ca="1" si="307"/>
        <v>11900</v>
      </c>
      <c r="AA398" s="185" t="str">
        <f t="shared" ca="1" si="308"/>
        <v>Offererad produktnr. 02Dustin Sverige AB</v>
      </c>
      <c r="AB398" s="185"/>
      <c r="AC398" s="198" t="b">
        <f ca="1">IFERROR(IF(D393="",TRUE,
IF(OR(D393=$CB$12,D393=$CB$13),IF(LEFT(AS398,FIND(" ",AS398)-1)=D393,TRUE,FALSE),
IF(OFFSET(Processor!$AB$1,MATCH($AS398,Processor!$AA$2:$AA$23,0),MATCH(LEFT(D393,FIND(" ",D393)-1),Processor!$AC$1:$AG$1,0))&gt;=
OFFSET(Processor!$AB$1,MATCH(D393,Processor!$AA$2:$AA$23,0),MATCH(LEFT(D393,FIND(" ",D393)-1),Processor!$AC$1:$AG$1,0)),TRUE,FALSE))),FALSE)</f>
        <v>1</v>
      </c>
      <c r="AD398" s="185" t="b">
        <f t="shared" si="309"/>
        <v>1</v>
      </c>
      <c r="AE398" s="185" t="b">
        <f t="shared" si="310"/>
        <v>1</v>
      </c>
      <c r="AF398" s="185" t="b">
        <f>IF($D$391="",TRUE,IF(COUNTIF(Processor!$I$2:$I$9,$D$391)&gt;0,AND(AV398&gt;INDEX(Processor!$J$2:$J$9,MATCH($D$391,Processor!$I$2:$I$9,0)),AV398&lt;INDEX(Processor!$K$2:$K$9,MATCH($D$391,Processor!$I$2:$I$9,0))),IF(AV398=$D$391,TRUE,FALSE)))</f>
        <v>1</v>
      </c>
      <c r="AG398" s="185" t="b">
        <f t="shared" si="311"/>
        <v>1</v>
      </c>
      <c r="AH398" s="185" t="b">
        <f t="shared" si="312"/>
        <v>1</v>
      </c>
      <c r="AI398" s="185" t="b">
        <f t="shared" si="313"/>
        <v>1</v>
      </c>
      <c r="AJ398" s="185" t="b">
        <f t="shared" si="314"/>
        <v>1</v>
      </c>
      <c r="AK398" s="185" t="b">
        <f t="shared" si="315"/>
        <v>1</v>
      </c>
      <c r="AL398" s="185" t="b">
        <f>IFERROR(IF($D402="",TRUE,IF(MID(BC398,LEN(BC398)-2,1)*1&gt;=MID($D402,LEN($D402)-2,1)*1,TRUE,FALSE)),FALSE)</f>
        <v>1</v>
      </c>
      <c r="AM398" s="185" t="b">
        <f>IF(D401="",TRUE,IF(BB398&gt;=D401,TRUE,FALSE))</f>
        <v>1</v>
      </c>
      <c r="AN398" s="185"/>
      <c r="AO398" s="185"/>
      <c r="AP398" s="185" t="s">
        <v>175</v>
      </c>
      <c r="AQ398" s="185">
        <v>1</v>
      </c>
      <c r="AR398" s="185" t="str">
        <f t="shared" ca="1" si="316"/>
        <v>1920x1200</v>
      </c>
      <c r="AS398" s="185" t="str">
        <f t="shared" ca="1" si="316"/>
        <v>Intel i5</v>
      </c>
      <c r="AT398" s="185">
        <f t="shared" ca="1" si="316"/>
        <v>16</v>
      </c>
      <c r="AU398" s="185">
        <f t="shared" ca="1" si="316"/>
        <v>256</v>
      </c>
      <c r="AV398" s="185">
        <f t="shared" ca="1" si="316"/>
        <v>14</v>
      </c>
      <c r="AW398" s="185">
        <f t="shared" ca="1" si="316"/>
        <v>2</v>
      </c>
      <c r="AX398" s="185">
        <f t="shared" ca="1" si="316"/>
        <v>2</v>
      </c>
      <c r="AY398" s="185" t="str">
        <f t="shared" ca="1" si="316"/>
        <v>Ja, HDMI-port finns</v>
      </c>
      <c r="AZ398" s="185" t="str">
        <f t="shared" ca="1" si="316"/>
        <v>802.11a/b/g/n/ac/ax</v>
      </c>
      <c r="BA398" s="185">
        <f t="shared" ca="1" si="316"/>
        <v>5.3</v>
      </c>
      <c r="BB398" s="185">
        <f t="shared" ca="1" si="317"/>
        <v>11</v>
      </c>
      <c r="BC398" s="185" t="str">
        <f t="shared" ca="1" si="317"/>
        <v>Version 8.0</v>
      </c>
      <c r="BD398" s="185" t="str">
        <f t="shared" ca="1" si="317"/>
        <v>Ja</v>
      </c>
      <c r="BE398" s="185" t="str">
        <f t="shared" ca="1" si="317"/>
        <v>Windows 11 Pro</v>
      </c>
      <c r="BF398" s="185" t="str">
        <f t="shared" ca="1" si="317"/>
        <v>Elitebook 840 G9</v>
      </c>
      <c r="BG398" s="185">
        <f t="shared" ca="1" si="317"/>
        <v>11900</v>
      </c>
      <c r="BH398" s="192">
        <f t="shared" ca="1" si="317"/>
        <v>123</v>
      </c>
      <c r="BI398" s="192">
        <f t="shared" ca="1" si="317"/>
        <v>425</v>
      </c>
      <c r="BJ398" s="192">
        <f t="shared" ca="1" si="317"/>
        <v>149</v>
      </c>
      <c r="BK398" s="192">
        <f t="shared" ca="1" si="317"/>
        <v>1185</v>
      </c>
      <c r="BL398" s="192">
        <f t="shared" ca="1" si="318"/>
        <v>450</v>
      </c>
      <c r="BM398" s="192">
        <f t="shared" ca="1" si="318"/>
        <v>133</v>
      </c>
      <c r="BN398" s="192">
        <f t="shared" ca="1" si="318"/>
        <v>20</v>
      </c>
      <c r="BO398" s="192">
        <f t="shared" ca="1" si="318"/>
        <v>20</v>
      </c>
      <c r="BP398" s="192" t="str">
        <f t="shared" ca="1" si="318"/>
        <v>Cirafon</v>
      </c>
      <c r="BQ398" s="192" t="str">
        <f t="shared" ca="1" si="318"/>
        <v>Cirafon</v>
      </c>
      <c r="BR398" s="192" t="str">
        <f t="shared" ca="1" si="318"/>
        <v>HP</v>
      </c>
      <c r="BS398" s="192" t="str">
        <f t="shared" ca="1" si="318"/>
        <v>HP</v>
      </c>
      <c r="BT398" s="192" t="str">
        <f t="shared" ca="1" si="318"/>
        <v>LSN8696R2-14.1</v>
      </c>
      <c r="BU398" s="192" t="str">
        <f t="shared" ca="1" si="318"/>
        <v>DPF14-9</v>
      </c>
      <c r="BV398" s="192" t="str">
        <f t="shared" ca="1" si="318"/>
        <v xml:space="preserve">1MZ01AA </v>
      </c>
      <c r="BW398" s="192" t="str">
        <f t="shared" ca="1" si="318"/>
        <v>72C71AA</v>
      </c>
      <c r="BX398" s="192"/>
      <c r="BY398" s="192" t="str">
        <f t="shared" ca="1" si="319"/>
        <v>Dustin Sverige AB</v>
      </c>
      <c r="BZ398" s="192" t="str">
        <f t="shared" ca="1" si="319"/>
        <v>HP</v>
      </c>
      <c r="CA398" s="185"/>
      <c r="CB398" s="185" t="s">
        <v>571</v>
      </c>
      <c r="CC398" s="185"/>
      <c r="CD398" s="185"/>
      <c r="CE398" s="185"/>
      <c r="CF398" s="185"/>
      <c r="CG398" s="185"/>
      <c r="CH398" s="185"/>
      <c r="CI398" s="185"/>
      <c r="CJ398" s="185"/>
      <c r="CK398" s="185"/>
      <c r="CL398" s="185"/>
      <c r="CM398" s="185"/>
      <c r="CN398" s="185"/>
    </row>
    <row r="399" spans="2:92" ht="22.5" customHeight="1" outlineLevel="1" x14ac:dyDescent="0.35">
      <c r="C399" s="61" t="s">
        <v>103</v>
      </c>
      <c r="D399" s="64"/>
      <c r="F399" s="80" t="str">
        <f t="shared" si="320"/>
        <v/>
      </c>
      <c r="G399" s="81" t="str">
        <f t="shared" ca="1" si="321"/>
        <v>802.11a/b/g/n/ac/ax</v>
      </c>
      <c r="H399" s="81" t="str">
        <f t="shared" ca="1" si="321"/>
        <v>802.11a/b/g/n/ac/ax</v>
      </c>
      <c r="I399" s="120" t="str">
        <f t="shared" ca="1" si="321"/>
        <v>802.11a/b/g/n/ac/ax</v>
      </c>
      <c r="J399" s="62"/>
      <c r="Q399" s="185">
        <f t="shared" si="298"/>
        <v>0</v>
      </c>
      <c r="R399" s="185">
        <f t="shared" si="299"/>
        <v>0</v>
      </c>
      <c r="S399" s="185">
        <f t="shared" si="300"/>
        <v>0</v>
      </c>
      <c r="T399" s="185">
        <f t="shared" si="301"/>
        <v>0</v>
      </c>
      <c r="U399" s="185">
        <f t="shared" si="302"/>
        <v>0</v>
      </c>
      <c r="V399" s="185">
        <f t="shared" si="303"/>
        <v>0</v>
      </c>
      <c r="W399" s="185">
        <f t="shared" si="304"/>
        <v>0</v>
      </c>
      <c r="X399" s="185">
        <f t="shared" si="305"/>
        <v>0</v>
      </c>
      <c r="Y399" s="185">
        <f t="shared" si="306"/>
        <v>0</v>
      </c>
      <c r="Z399" s="196">
        <f t="shared" ca="1" si="307"/>
        <v>10490</v>
      </c>
      <c r="AA399" s="185" t="str">
        <f t="shared" ca="1" si="308"/>
        <v>Offererad produktnr. 03Dustin Sverige AB</v>
      </c>
      <c r="AB399" s="185"/>
      <c r="AC399" s="185" t="b">
        <f ca="1">IFERROR(IF(D393="",TRUE,
IF(OR(D393=$CB$12,D393=$CB$13),IF(LEFT(AS399,FIND(" ",AS399)-1)=D393,TRUE,FALSE),
IF(OFFSET(Processor!$AB$1,MATCH($AS399,Processor!$AA$2:$AA$23,0),MATCH(LEFT(D393,FIND(" ",D393)-1),Processor!$AC$1:$AG$1,0))&gt;=
OFFSET(Processor!$AB$1,MATCH(D393,Processor!$AA$2:$AA$23,0),MATCH(LEFT(D393,FIND(" ",D393)-1),Processor!$AC$1:$AG$1,0)),TRUE,FALSE))),FALSE)</f>
        <v>1</v>
      </c>
      <c r="AD399" s="185" t="b">
        <f t="shared" si="309"/>
        <v>1</v>
      </c>
      <c r="AE399" s="185" t="b">
        <f t="shared" si="310"/>
        <v>1</v>
      </c>
      <c r="AF399" s="185" t="b">
        <f>IF($D$391="",TRUE,IF(COUNTIF(Processor!$I$2:$I$9,$D$391)&gt;0,AND(AV399&gt;INDEX(Processor!$J$2:$J$9,MATCH($D$391,Processor!$I$2:$I$9,0)),AV399&lt;INDEX(Processor!$K$2:$K$9,MATCH($D$391,Processor!$I$2:$I$9,0))),IF(AV399=$D$391,TRUE,FALSE)))</f>
        <v>1</v>
      </c>
      <c r="AG399" s="185" t="b">
        <f t="shared" si="311"/>
        <v>1</v>
      </c>
      <c r="AH399" s="185" t="b">
        <f t="shared" si="312"/>
        <v>1</v>
      </c>
      <c r="AI399" s="185" t="b">
        <f t="shared" si="313"/>
        <v>1</v>
      </c>
      <c r="AJ399" s="185" t="b">
        <f t="shared" si="314"/>
        <v>1</v>
      </c>
      <c r="AK399" s="185" t="b">
        <f t="shared" si="315"/>
        <v>1</v>
      </c>
      <c r="AL399" s="185" t="b">
        <f>IFERROR(IF($D402="",TRUE,IF(MID(BC399,LEN(BC399)-2,1)*1&gt;=MID($D402,LEN($D402)-2,1)*1,TRUE,FALSE)),FALSE)</f>
        <v>1</v>
      </c>
      <c r="AM399" s="185" t="b">
        <f>IF(D401="",TRUE,IF(BB399&gt;=D401,TRUE,FALSE))</f>
        <v>1</v>
      </c>
      <c r="AN399" s="185"/>
      <c r="AO399" s="185"/>
      <c r="AP399" s="185" t="s">
        <v>176</v>
      </c>
      <c r="AQ399" s="185">
        <v>1</v>
      </c>
      <c r="AR399" s="185" t="str">
        <f t="shared" ref="AR399:BA408" ca="1" si="322">IFERROR(INDEX(INDIRECT(AR$384&amp;"!$A$10:CC100000"),MATCH($AP399,INDIRECT(AR$384&amp;"!BH$10:BH100000"),0),MATCH(AR$386,INDIRECT(AR$384&amp;"!a10:CC10"),0)),"False")</f>
        <v>1920x1080</v>
      </c>
      <c r="AS399" s="185" t="str">
        <f t="shared" ca="1" si="322"/>
        <v>Intel i7 Gen 12</v>
      </c>
      <c r="AT399" s="185">
        <f t="shared" ca="1" si="322"/>
        <v>32</v>
      </c>
      <c r="AU399" s="185">
        <f t="shared" ca="1" si="322"/>
        <v>512</v>
      </c>
      <c r="AV399" s="185">
        <f t="shared" ca="1" si="322"/>
        <v>14</v>
      </c>
      <c r="AW399" s="185">
        <f t="shared" ca="1" si="322"/>
        <v>3</v>
      </c>
      <c r="AX399" s="185">
        <f t="shared" ca="1" si="322"/>
        <v>1</v>
      </c>
      <c r="AY399" s="185" t="str">
        <f t="shared" ca="1" si="322"/>
        <v>Ja, HDMI-port finns</v>
      </c>
      <c r="AZ399" s="185" t="str">
        <f t="shared" ca="1" si="322"/>
        <v>802.11a/b/g/n/ac/ax</v>
      </c>
      <c r="BA399" s="185">
        <f t="shared" ca="1" si="322"/>
        <v>5.3</v>
      </c>
      <c r="BB399" s="185">
        <f t="shared" ref="BB399:BK408" ca="1" si="323">IFERROR(INDEX(INDIRECT(BB$384&amp;"!$A$10:CC100000"),MATCH($AP399,INDIRECT(BB$384&amp;"!BH$10:BH100000"),0),MATCH(BB$386,INDIRECT(BB$384&amp;"!a10:CC10"),0)),"False")</f>
        <v>11</v>
      </c>
      <c r="BC399" s="185" t="str">
        <f t="shared" ca="1" si="323"/>
        <v>Version 8.0</v>
      </c>
      <c r="BD399" s="185" t="str">
        <f t="shared" ca="1" si="323"/>
        <v>Ja</v>
      </c>
      <c r="BE399" s="185" t="str">
        <f t="shared" ca="1" si="323"/>
        <v>Windows 11 Pro</v>
      </c>
      <c r="BF399" s="185" t="str">
        <f t="shared" ca="1" si="323"/>
        <v>ProBook 440 G9</v>
      </c>
      <c r="BG399" s="185">
        <f t="shared" ca="1" si="323"/>
        <v>10490</v>
      </c>
      <c r="BH399" s="192">
        <f t="shared" ca="1" si="323"/>
        <v>123</v>
      </c>
      <c r="BI399" s="192">
        <f t="shared" ca="1" si="323"/>
        <v>425</v>
      </c>
      <c r="BJ399" s="192">
        <f t="shared" ca="1" si="323"/>
        <v>149</v>
      </c>
      <c r="BK399" s="192">
        <f t="shared" ca="1" si="323"/>
        <v>1185</v>
      </c>
      <c r="BL399" s="192">
        <f t="shared" ref="BL399:BW408" ca="1" si="324">IFERROR(INDEX(INDIRECT(BL$384&amp;"!$A$10:CC100000"),MATCH($AP399,INDIRECT(BL$384&amp;"!BH$10:BH100000"),0),MATCH(BL$386,INDIRECT(BL$384&amp;"!a10:CC10"),0)),"False")</f>
        <v>450</v>
      </c>
      <c r="BM399" s="192">
        <f t="shared" ca="1" si="324"/>
        <v>133</v>
      </c>
      <c r="BN399" s="192">
        <f t="shared" ca="1" si="324"/>
        <v>20</v>
      </c>
      <c r="BO399" s="192">
        <f t="shared" ca="1" si="324"/>
        <v>20</v>
      </c>
      <c r="BP399" s="192" t="str">
        <f t="shared" ca="1" si="324"/>
        <v>Cirafon</v>
      </c>
      <c r="BQ399" s="192" t="str">
        <f t="shared" ca="1" si="324"/>
        <v>Cirafon</v>
      </c>
      <c r="BR399" s="192" t="str">
        <f t="shared" ca="1" si="324"/>
        <v>HP</v>
      </c>
      <c r="BS399" s="192" t="str">
        <f t="shared" ca="1" si="324"/>
        <v>HP</v>
      </c>
      <c r="BT399" s="192" t="str">
        <f t="shared" ca="1" si="324"/>
        <v>LSN8696R2-14.1</v>
      </c>
      <c r="BU399" s="192" t="str">
        <f t="shared" ca="1" si="324"/>
        <v>DPF14-9</v>
      </c>
      <c r="BV399" s="192" t="str">
        <f t="shared" ca="1" si="324"/>
        <v xml:space="preserve">1MZ01AA </v>
      </c>
      <c r="BW399" s="192" t="str">
        <f t="shared" ca="1" si="324"/>
        <v>72C71AA</v>
      </c>
      <c r="BX399" s="192"/>
      <c r="BY399" s="192" t="str">
        <f t="shared" ca="1" si="319"/>
        <v>Dustin Sverige AB</v>
      </c>
      <c r="BZ399" s="192" t="str">
        <f t="shared" ca="1" si="319"/>
        <v>HP</v>
      </c>
      <c r="CA399" s="185"/>
      <c r="CB399" s="185" t="s">
        <v>710</v>
      </c>
      <c r="CC399" s="185"/>
      <c r="CD399" s="185"/>
      <c r="CE399" s="185"/>
      <c r="CF399" s="185"/>
      <c r="CG399" s="185"/>
      <c r="CH399" s="185"/>
      <c r="CI399" s="185"/>
      <c r="CJ399" s="185"/>
      <c r="CK399" s="185"/>
      <c r="CL399" s="185"/>
      <c r="CM399" s="185"/>
      <c r="CN399" s="185"/>
    </row>
    <row r="400" spans="2:92" ht="33.75" customHeight="1" outlineLevel="1" x14ac:dyDescent="0.35">
      <c r="C400" s="61" t="s">
        <v>75</v>
      </c>
      <c r="D400" s="110"/>
      <c r="F400" s="80" t="str">
        <f t="shared" si="320"/>
        <v/>
      </c>
      <c r="G400" s="81">
        <f t="shared" ca="1" si="321"/>
        <v>5</v>
      </c>
      <c r="H400" s="81">
        <f t="shared" ca="1" si="321"/>
        <v>5.3</v>
      </c>
      <c r="I400" s="120">
        <f t="shared" ca="1" si="321"/>
        <v>5</v>
      </c>
      <c r="J400" s="62"/>
      <c r="Q400" s="185">
        <f t="shared" si="298"/>
        <v>0</v>
      </c>
      <c r="R400" s="185">
        <f t="shared" si="299"/>
        <v>0</v>
      </c>
      <c r="S400" s="185">
        <f t="shared" si="300"/>
        <v>0</v>
      </c>
      <c r="T400" s="185">
        <f t="shared" si="301"/>
        <v>0</v>
      </c>
      <c r="U400" s="185">
        <f t="shared" si="302"/>
        <v>0</v>
      </c>
      <c r="V400" s="185">
        <f t="shared" si="303"/>
        <v>0</v>
      </c>
      <c r="W400" s="185">
        <f t="shared" si="304"/>
        <v>0</v>
      </c>
      <c r="X400" s="185">
        <f t="shared" si="305"/>
        <v>0</v>
      </c>
      <c r="Y400" s="185">
        <f t="shared" si="306"/>
        <v>0</v>
      </c>
      <c r="Z400" s="196">
        <f t="shared" ca="1" si="307"/>
        <v>13790</v>
      </c>
      <c r="AA400" s="185" t="str">
        <f t="shared" ca="1" si="308"/>
        <v>Offererad produktnr. 04Dustin Sverige AB</v>
      </c>
      <c r="AB400" s="185"/>
      <c r="AC400" s="185" t="b">
        <f ca="1">IFERROR(IF(D393="",TRUE,
IF(OR(D393=$CB$12,D393=$CB$13),IF(LEFT(AS400,FIND(" ",AS400)-1)=D393,TRUE,FALSE),
IF(OFFSET(Processor!$AB$1,MATCH($AS400,Processor!$AA$2:$AA$23,0),MATCH(LEFT(D393,FIND(" ",D393)-1),Processor!$AC$1:$AG$1,0))&gt;=
OFFSET(Processor!$AB$1,MATCH(D393,Processor!$AA$2:$AA$23,0),MATCH(LEFT(D393,FIND(" ",D393)-1),Processor!$AC$1:$AG$1,0)),TRUE,FALSE))),FALSE)</f>
        <v>1</v>
      </c>
      <c r="AD400" s="185" t="b">
        <f t="shared" si="309"/>
        <v>1</v>
      </c>
      <c r="AE400" s="185" t="b">
        <f t="shared" si="310"/>
        <v>1</v>
      </c>
      <c r="AF400" s="185" t="b">
        <f>IF($D$391="",TRUE,IF(COUNTIF(Processor!$I$2:$I$9,$D$391)&gt;0,AND(AV400&gt;INDEX(Processor!$J$2:$J$9,MATCH($D$391,Processor!$I$2:$I$9,0)),AV400&lt;INDEX(Processor!$K$2:$K$9,MATCH($D$391,Processor!$I$2:$I$9,0))),IF(AV400=$D$391,TRUE,FALSE)))</f>
        <v>1</v>
      </c>
      <c r="AG400" s="185" t="b">
        <f t="shared" si="311"/>
        <v>1</v>
      </c>
      <c r="AH400" s="185" t="b">
        <f t="shared" si="312"/>
        <v>1</v>
      </c>
      <c r="AI400" s="185" t="b">
        <f t="shared" si="313"/>
        <v>1</v>
      </c>
      <c r="AJ400" s="185" t="b">
        <f t="shared" si="314"/>
        <v>1</v>
      </c>
      <c r="AK400" s="185" t="b">
        <f t="shared" si="315"/>
        <v>1</v>
      </c>
      <c r="AL400" s="185" t="b">
        <f>IFERROR(IF($D402="",TRUE,IF(MID(BC400,LEN(BC400)-2,1)*1&gt;=MID($D402,LEN($D402)-2,1)*1,TRUE,FALSE)),FALSE)</f>
        <v>1</v>
      </c>
      <c r="AM400" s="185" t="b">
        <f>IF(D401="",TRUE,IF(BB400&gt;=D401,TRUE,FALSE))</f>
        <v>1</v>
      </c>
      <c r="AN400" s="185"/>
      <c r="AO400" s="185"/>
      <c r="AP400" s="185" t="s">
        <v>177</v>
      </c>
      <c r="AQ400" s="185">
        <v>1</v>
      </c>
      <c r="AR400" s="185" t="str">
        <f t="shared" ca="1" si="322"/>
        <v>1920x1200</v>
      </c>
      <c r="AS400" s="185" t="str">
        <f t="shared" ca="1" si="322"/>
        <v>Intel i7</v>
      </c>
      <c r="AT400" s="185">
        <f t="shared" ca="1" si="322"/>
        <v>16</v>
      </c>
      <c r="AU400" s="185">
        <f t="shared" ca="1" si="322"/>
        <v>512</v>
      </c>
      <c r="AV400" s="185">
        <f t="shared" ca="1" si="322"/>
        <v>14</v>
      </c>
      <c r="AW400" s="185">
        <f t="shared" ca="1" si="322"/>
        <v>2</v>
      </c>
      <c r="AX400" s="185">
        <f t="shared" ca="1" si="322"/>
        <v>2</v>
      </c>
      <c r="AY400" s="185" t="str">
        <f t="shared" ca="1" si="322"/>
        <v>Ja, HDMI-port finns</v>
      </c>
      <c r="AZ400" s="185" t="str">
        <f t="shared" ca="1" si="322"/>
        <v>802.11a/b/g/n/ac/ax</v>
      </c>
      <c r="BA400" s="185">
        <f t="shared" ca="1" si="322"/>
        <v>5.3</v>
      </c>
      <c r="BB400" s="185">
        <f t="shared" ca="1" si="323"/>
        <v>11</v>
      </c>
      <c r="BC400" s="185" t="str">
        <f t="shared" ca="1" si="323"/>
        <v>Version 8.0</v>
      </c>
      <c r="BD400" s="185" t="str">
        <f t="shared" ca="1" si="323"/>
        <v>Ja</v>
      </c>
      <c r="BE400" s="185" t="str">
        <f t="shared" ca="1" si="323"/>
        <v>Windows 11 Pro</v>
      </c>
      <c r="BF400" s="185" t="str">
        <f t="shared" ca="1" si="323"/>
        <v>EliteBook 840 G9</v>
      </c>
      <c r="BG400" s="185">
        <f t="shared" ca="1" si="323"/>
        <v>13790</v>
      </c>
      <c r="BH400" s="192">
        <f t="shared" ca="1" si="323"/>
        <v>123</v>
      </c>
      <c r="BI400" s="192">
        <f t="shared" ca="1" si="323"/>
        <v>425</v>
      </c>
      <c r="BJ400" s="192">
        <f t="shared" ca="1" si="323"/>
        <v>149</v>
      </c>
      <c r="BK400" s="192">
        <f t="shared" ca="1" si="323"/>
        <v>1185</v>
      </c>
      <c r="BL400" s="192">
        <f t="shared" ca="1" si="324"/>
        <v>450</v>
      </c>
      <c r="BM400" s="192">
        <f t="shared" ca="1" si="324"/>
        <v>133</v>
      </c>
      <c r="BN400" s="192">
        <f t="shared" ca="1" si="324"/>
        <v>20</v>
      </c>
      <c r="BO400" s="192">
        <f t="shared" ca="1" si="324"/>
        <v>20</v>
      </c>
      <c r="BP400" s="192" t="str">
        <f t="shared" ca="1" si="324"/>
        <v>Cirafon</v>
      </c>
      <c r="BQ400" s="192" t="str">
        <f t="shared" ca="1" si="324"/>
        <v>Cirafon</v>
      </c>
      <c r="BR400" s="192" t="str">
        <f t="shared" ca="1" si="324"/>
        <v>HP</v>
      </c>
      <c r="BS400" s="192" t="str">
        <f t="shared" ca="1" si="324"/>
        <v>HP</v>
      </c>
      <c r="BT400" s="192" t="str">
        <f t="shared" ca="1" si="324"/>
        <v>LSN8696R2-14.1</v>
      </c>
      <c r="BU400" s="192" t="str">
        <f t="shared" ca="1" si="324"/>
        <v>DPF14-9</v>
      </c>
      <c r="BV400" s="192" t="str">
        <f t="shared" ca="1" si="324"/>
        <v xml:space="preserve">1MZ01AA </v>
      </c>
      <c r="BW400" s="192" t="str">
        <f t="shared" ca="1" si="324"/>
        <v>72C71AA</v>
      </c>
      <c r="BX400" s="192"/>
      <c r="BY400" s="192" t="str">
        <f t="shared" ca="1" si="319"/>
        <v>Dustin Sverige AB</v>
      </c>
      <c r="BZ400" s="192" t="str">
        <f t="shared" ca="1" si="319"/>
        <v>HP</v>
      </c>
      <c r="CA400" s="185"/>
      <c r="CB400" s="185"/>
      <c r="CC400" s="185"/>
      <c r="CD400" s="185"/>
      <c r="CE400" s="185"/>
      <c r="CF400" s="185"/>
      <c r="CG400" s="185"/>
      <c r="CH400" s="185"/>
      <c r="CI400" s="185"/>
      <c r="CJ400" s="185"/>
      <c r="CK400" s="185"/>
      <c r="CL400" s="185"/>
      <c r="CM400" s="185"/>
      <c r="CN400" s="185"/>
    </row>
    <row r="401" spans="2:92" ht="32.25" customHeight="1" outlineLevel="1" x14ac:dyDescent="0.35">
      <c r="C401" s="61" t="s">
        <v>120</v>
      </c>
      <c r="D401" s="65"/>
      <c r="F401" s="80" t="str">
        <f t="shared" si="320"/>
        <v/>
      </c>
      <c r="G401" s="81">
        <f t="shared" ca="1" si="321"/>
        <v>11</v>
      </c>
      <c r="H401" s="81">
        <f t="shared" ca="1" si="321"/>
        <v>11</v>
      </c>
      <c r="I401" s="121">
        <f t="shared" ca="1" si="321"/>
        <v>11</v>
      </c>
      <c r="J401" s="62"/>
      <c r="Q401" s="185">
        <f t="shared" si="298"/>
        <v>0</v>
      </c>
      <c r="R401" s="185">
        <f t="shared" si="299"/>
        <v>0</v>
      </c>
      <c r="S401" s="185">
        <f t="shared" si="300"/>
        <v>0</v>
      </c>
      <c r="T401" s="185">
        <f t="shared" si="301"/>
        <v>0</v>
      </c>
      <c r="U401" s="185">
        <f t="shared" si="302"/>
        <v>0</v>
      </c>
      <c r="V401" s="185">
        <f t="shared" si="303"/>
        <v>0</v>
      </c>
      <c r="W401" s="185">
        <f t="shared" si="304"/>
        <v>0</v>
      </c>
      <c r="X401" s="185">
        <f t="shared" si="305"/>
        <v>0</v>
      </c>
      <c r="Y401" s="185">
        <f t="shared" si="306"/>
        <v>0</v>
      </c>
      <c r="Z401" s="196">
        <f t="shared" ca="1" si="307"/>
        <v>8848</v>
      </c>
      <c r="AA401" s="185" t="str">
        <f t="shared" ca="1" si="308"/>
        <v>Offererad produktnr. 01Foxway Education AB</v>
      </c>
      <c r="AB401" s="185"/>
      <c r="AC401" s="185" t="b">
        <f ca="1">IFERROR(IF(D393="",TRUE,
IF(OR(D393=$CB$12,D393=$CB$13),IF(LEFT(AS401,FIND(" ",AS401)-1)=D393,TRUE,FALSE),
IF(OFFSET(Processor!$AB$1,MATCH($AS401,Processor!$AA$2:$AA$23,0),MATCH(LEFT(D393,FIND(" ",D393)-1),Processor!$AC$1:$AG$1,0))&gt;=
OFFSET(Processor!$AB$1,MATCH(D393,Processor!$AA$2:$AA$23,0),MATCH(LEFT(D393,FIND(" ",D393)-1),Processor!$AC$1:$AG$1,0)),TRUE,FALSE))),FALSE)</f>
        <v>1</v>
      </c>
      <c r="AD401" s="185" t="b">
        <f t="shared" si="309"/>
        <v>1</v>
      </c>
      <c r="AE401" s="185" t="b">
        <f t="shared" si="310"/>
        <v>1</v>
      </c>
      <c r="AF401" s="185" t="b">
        <f>IF($D$391="",TRUE,IF(COUNTIF(Processor!$I$2:$I$9,$D$391)&gt;0,AND(AV401&gt;INDEX(Processor!$J$2:$J$9,MATCH($D$391,Processor!$I$2:$I$9,0)),AV401&lt;INDEX(Processor!$K$2:$K$9,MATCH($D$391,Processor!$I$2:$I$9,0))),IF(AV401=$D$391,TRUE,FALSE)))</f>
        <v>1</v>
      </c>
      <c r="AG401" s="185" t="b">
        <f t="shared" si="311"/>
        <v>1</v>
      </c>
      <c r="AH401" s="185" t="b">
        <f t="shared" si="312"/>
        <v>1</v>
      </c>
      <c r="AI401" s="185" t="b">
        <f t="shared" si="313"/>
        <v>1</v>
      </c>
      <c r="AJ401" s="185" t="b">
        <f t="shared" si="314"/>
        <v>1</v>
      </c>
      <c r="AK401" s="185" t="b">
        <f t="shared" si="315"/>
        <v>1</v>
      </c>
      <c r="AL401" s="185" t="b">
        <f>IFERROR(IF($D402="",TRUE,IF(MID(BC401,LEN(BC401)-2,1)*1&gt;=MID($D402,LEN($D402)-2,1)*1,TRUE,FALSE)),FALSE)</f>
        <v>1</v>
      </c>
      <c r="AM401" s="185" t="b">
        <f>IF(D401="",TRUE,IF(BB401&gt;=D401,TRUE,FALSE))</f>
        <v>1</v>
      </c>
      <c r="AN401" s="185"/>
      <c r="AO401" s="185"/>
      <c r="AP401" s="185" t="s">
        <v>210</v>
      </c>
      <c r="AQ401" s="185">
        <v>1</v>
      </c>
      <c r="AR401" s="185" t="str">
        <f t="shared" ca="1" si="322"/>
        <v>1920x1080</v>
      </c>
      <c r="AS401" s="185" t="str">
        <f t="shared" ca="1" si="322"/>
        <v>AMD Ryzen 5</v>
      </c>
      <c r="AT401" s="185">
        <f t="shared" ca="1" si="322"/>
        <v>8</v>
      </c>
      <c r="AU401" s="185">
        <f t="shared" ca="1" si="322"/>
        <v>256</v>
      </c>
      <c r="AV401" s="185">
        <f t="shared" ca="1" si="322"/>
        <v>14</v>
      </c>
      <c r="AW401" s="185">
        <f t="shared" ca="1" si="322"/>
        <v>4</v>
      </c>
      <c r="AX401" s="185">
        <f t="shared" ca="1" si="322"/>
        <v>1</v>
      </c>
      <c r="AY401" s="185" t="str">
        <f t="shared" ca="1" si="322"/>
        <v>Ja, HDMI-port finns</v>
      </c>
      <c r="AZ401" s="185" t="str">
        <f t="shared" ca="1" si="322"/>
        <v>802.11a/b/g/n/ac/ax</v>
      </c>
      <c r="BA401" s="185">
        <f t="shared" ca="1" si="322"/>
        <v>5.3</v>
      </c>
      <c r="BB401" s="185">
        <f t="shared" ca="1" si="323"/>
        <v>11</v>
      </c>
      <c r="BC401" s="185" t="str">
        <f t="shared" ca="1" si="323"/>
        <v>Version 8.0</v>
      </c>
      <c r="BD401" s="185" t="str">
        <f t="shared" ca="1" si="323"/>
        <v>Ja</v>
      </c>
      <c r="BE401" s="185" t="str">
        <f t="shared" ca="1" si="323"/>
        <v>Windows 11 Pro</v>
      </c>
      <c r="BF401" s="185" t="str">
        <f t="shared" ca="1" si="323"/>
        <v>ProBook 445 G10</v>
      </c>
      <c r="BG401" s="185">
        <f t="shared" ca="1" si="323"/>
        <v>8848</v>
      </c>
      <c r="BH401" s="192">
        <f t="shared" ca="1" si="323"/>
        <v>78</v>
      </c>
      <c r="BI401" s="192">
        <f t="shared" ca="1" si="323"/>
        <v>252</v>
      </c>
      <c r="BJ401" s="192">
        <f t="shared" ca="1" si="323"/>
        <v>138</v>
      </c>
      <c r="BK401" s="192">
        <f t="shared" ca="1" si="323"/>
        <v>1150</v>
      </c>
      <c r="BL401" s="192">
        <f t="shared" ca="1" si="324"/>
        <v>160</v>
      </c>
      <c r="BM401" s="192">
        <f t="shared" ca="1" si="324"/>
        <v>185</v>
      </c>
      <c r="BN401" s="192">
        <f t="shared" ca="1" si="324"/>
        <v>60</v>
      </c>
      <c r="BO401" s="192">
        <f t="shared" ca="1" si="324"/>
        <v>50</v>
      </c>
      <c r="BP401" s="192" t="str">
        <f t="shared" ca="1" si="324"/>
        <v>V7</v>
      </c>
      <c r="BQ401" s="192" t="str">
        <f t="shared" ca="1" si="324"/>
        <v>Targus</v>
      </c>
      <c r="BR401" s="192" t="str">
        <f t="shared" ca="1" si="324"/>
        <v>HP</v>
      </c>
      <c r="BS401" s="192" t="str">
        <f t="shared" ca="1" si="324"/>
        <v>HP</v>
      </c>
      <c r="BT401" s="192" t="str">
        <f t="shared" ca="1" si="324"/>
        <v>V7 Elite Sleeve 14"</v>
      </c>
      <c r="BU401" s="192" t="str">
        <f t="shared" ca="1" si="324"/>
        <v>Targus Privacy Screen 14"</v>
      </c>
      <c r="BV401" s="192" t="str">
        <f t="shared" ca="1" si="324"/>
        <v>HP 45W Smart AC Adapter</v>
      </c>
      <c r="BW401" s="192" t="str">
        <f t="shared" ca="1" si="324"/>
        <v>HP USB-C Dock G5</v>
      </c>
      <c r="BX401" s="192"/>
      <c r="BY401" s="192" t="str">
        <f t="shared" ca="1" si="319"/>
        <v>Foxway Education AB</v>
      </c>
      <c r="BZ401" s="192" t="str">
        <f t="shared" ca="1" si="319"/>
        <v>HP</v>
      </c>
      <c r="CA401" s="185"/>
      <c r="CB401" s="185"/>
      <c r="CC401" s="185"/>
      <c r="CD401" s="185"/>
      <c r="CE401" s="185"/>
      <c r="CF401" s="185"/>
      <c r="CG401" s="185"/>
      <c r="CH401" s="185"/>
      <c r="CI401" s="185"/>
      <c r="CJ401" s="185"/>
      <c r="CK401" s="185"/>
      <c r="CL401" s="185"/>
      <c r="CM401" s="185"/>
      <c r="CN401" s="185"/>
    </row>
    <row r="402" spans="2:92" ht="24" customHeight="1" outlineLevel="1" x14ac:dyDescent="0.35">
      <c r="C402" s="61" t="s">
        <v>38</v>
      </c>
      <c r="D402" s="64"/>
      <c r="F402" s="80" t="str">
        <f t="shared" si="320"/>
        <v/>
      </c>
      <c r="G402" s="81" t="str">
        <f t="shared" ca="1" si="321"/>
        <v>Version 8.0</v>
      </c>
      <c r="H402" s="81" t="str">
        <f t="shared" ca="1" si="321"/>
        <v>Version 8.0</v>
      </c>
      <c r="I402" s="120" t="str">
        <f t="shared" ca="1" si="321"/>
        <v>Version 8.0</v>
      </c>
      <c r="J402" s="62"/>
      <c r="Q402" s="185">
        <f t="shared" si="298"/>
        <v>0</v>
      </c>
      <c r="R402" s="185">
        <f t="shared" si="299"/>
        <v>0</v>
      </c>
      <c r="S402" s="185">
        <f t="shared" si="300"/>
        <v>0</v>
      </c>
      <c r="T402" s="185">
        <f t="shared" si="301"/>
        <v>0</v>
      </c>
      <c r="U402" s="185">
        <f t="shared" si="302"/>
        <v>0</v>
      </c>
      <c r="V402" s="185">
        <f t="shared" si="303"/>
        <v>0</v>
      </c>
      <c r="W402" s="185">
        <f t="shared" si="304"/>
        <v>0</v>
      </c>
      <c r="X402" s="185">
        <f t="shared" si="305"/>
        <v>0</v>
      </c>
      <c r="Y402" s="185">
        <f t="shared" si="306"/>
        <v>0</v>
      </c>
      <c r="Z402" s="196">
        <f t="shared" ca="1" si="307"/>
        <v>9288</v>
      </c>
      <c r="AA402" s="185" t="str">
        <f t="shared" ca="1" si="308"/>
        <v>Offererad produktnr. 02Foxway Education AB</v>
      </c>
      <c r="AB402" s="185"/>
      <c r="AC402" s="185" t="b">
        <f ca="1">IFERROR(IF(D393="",TRUE,
IF(OR(D393=$CB$12,D393=$CB$13),IF(LEFT(AS402,FIND(" ",AS402)-1)=D393,TRUE,FALSE),
IF(OFFSET(Processor!$AB$1,MATCH($AS402,Processor!$AA$2:$AA$23,0),MATCH(LEFT(D393,FIND(" ",D393)-1),Processor!$AC$1:$AG$1,0))&gt;=
OFFSET(Processor!$AB$1,MATCH(D393,Processor!$AA$2:$AA$23,0),MATCH(LEFT(D393,FIND(" ",D393)-1),Processor!$AC$1:$AG$1,0)),TRUE,FALSE))),FALSE)</f>
        <v>1</v>
      </c>
      <c r="AD402" s="185" t="b">
        <f t="shared" si="309"/>
        <v>1</v>
      </c>
      <c r="AE402" s="185" t="b">
        <f t="shared" si="310"/>
        <v>1</v>
      </c>
      <c r="AF402" s="185" t="b">
        <f>IF($D$391="",TRUE,IF(COUNTIF(Processor!$I$2:$I$9,$D$391)&gt;0,AND(AV402&gt;INDEX(Processor!$J$2:$J$9,MATCH($D$391,Processor!$I$2:$I$9,0)),AV402&lt;INDEX(Processor!$K$2:$K$9,MATCH($D$391,Processor!$I$2:$I$9,0))),IF(AV402=$D$391,TRUE,FALSE)))</f>
        <v>1</v>
      </c>
      <c r="AG402" s="185" t="b">
        <f t="shared" si="311"/>
        <v>1</v>
      </c>
      <c r="AH402" s="185" t="b">
        <f t="shared" si="312"/>
        <v>1</v>
      </c>
      <c r="AI402" s="185" t="b">
        <f t="shared" si="313"/>
        <v>1</v>
      </c>
      <c r="AJ402" s="185" t="b">
        <f t="shared" si="314"/>
        <v>1</v>
      </c>
      <c r="AK402" s="185" t="b">
        <f t="shared" si="315"/>
        <v>1</v>
      </c>
      <c r="AL402" s="185" t="b">
        <f>IFERROR(IF($D402="",TRUE,IF(MID(BC402,LEN(BC402)-2,1)*1&gt;=MID($D402,LEN($D402)-2,1)*1,TRUE,FALSE)),FALSE)</f>
        <v>1</v>
      </c>
      <c r="AM402" s="185" t="b">
        <f>IF(D401="",TRUE,IF(BB402&gt;=D401,TRUE,FALSE))</f>
        <v>1</v>
      </c>
      <c r="AN402" s="185"/>
      <c r="AO402" s="185"/>
      <c r="AP402" s="185" t="s">
        <v>211</v>
      </c>
      <c r="AQ402" s="185">
        <v>1</v>
      </c>
      <c r="AR402" s="185" t="str">
        <f t="shared" ca="1" si="322"/>
        <v>1920x1080</v>
      </c>
      <c r="AS402" s="185" t="str">
        <f t="shared" ca="1" si="322"/>
        <v>AMD Ryzen 5</v>
      </c>
      <c r="AT402" s="185">
        <f t="shared" ca="1" si="322"/>
        <v>8</v>
      </c>
      <c r="AU402" s="185">
        <f t="shared" ca="1" si="322"/>
        <v>256</v>
      </c>
      <c r="AV402" s="185">
        <f t="shared" ca="1" si="322"/>
        <v>14</v>
      </c>
      <c r="AW402" s="185">
        <f t="shared" ca="1" si="322"/>
        <v>3</v>
      </c>
      <c r="AX402" s="185">
        <f t="shared" ca="1" si="322"/>
        <v>1</v>
      </c>
      <c r="AY402" s="185" t="str">
        <f t="shared" ca="1" si="322"/>
        <v>Ja, HDMI-port finns</v>
      </c>
      <c r="AZ402" s="185" t="str">
        <f t="shared" ca="1" si="322"/>
        <v>802.11a/b/g/n/ac</v>
      </c>
      <c r="BA402" s="185">
        <f t="shared" ca="1" si="322"/>
        <v>5</v>
      </c>
      <c r="BB402" s="185">
        <f t="shared" ca="1" si="323"/>
        <v>11</v>
      </c>
      <c r="BC402" s="185" t="str">
        <f t="shared" ca="1" si="323"/>
        <v>Version 8.0</v>
      </c>
      <c r="BD402" s="185" t="str">
        <f t="shared" ca="1" si="323"/>
        <v>Ja</v>
      </c>
      <c r="BE402" s="185" t="str">
        <f t="shared" ca="1" si="323"/>
        <v>Windows 11 Pro</v>
      </c>
      <c r="BF402" s="185" t="str">
        <f t="shared" ca="1" si="323"/>
        <v>E14 G5 AMD</v>
      </c>
      <c r="BG402" s="185">
        <f t="shared" ca="1" si="323"/>
        <v>9288</v>
      </c>
      <c r="BH402" s="192">
        <f t="shared" ca="1" si="323"/>
        <v>78</v>
      </c>
      <c r="BI402" s="192">
        <f t="shared" ca="1" si="323"/>
        <v>252</v>
      </c>
      <c r="BJ402" s="192">
        <f t="shared" ca="1" si="323"/>
        <v>210</v>
      </c>
      <c r="BK402" s="192">
        <f t="shared" ca="1" si="323"/>
        <v>1824</v>
      </c>
      <c r="BL402" s="192">
        <f t="shared" ca="1" si="324"/>
        <v>290</v>
      </c>
      <c r="BM402" s="192">
        <f t="shared" ca="1" si="324"/>
        <v>185</v>
      </c>
      <c r="BN402" s="192">
        <f t="shared" ca="1" si="324"/>
        <v>60</v>
      </c>
      <c r="BO402" s="192">
        <f t="shared" ca="1" si="324"/>
        <v>50</v>
      </c>
      <c r="BP402" s="192" t="str">
        <f t="shared" ca="1" si="324"/>
        <v>V7</v>
      </c>
      <c r="BQ402" s="192" t="str">
        <f t="shared" ca="1" si="324"/>
        <v>Targus</v>
      </c>
      <c r="BR402" s="192" t="str">
        <f t="shared" ca="1" si="324"/>
        <v>Lenovo</v>
      </c>
      <c r="BS402" s="192" t="str">
        <f t="shared" ca="1" si="324"/>
        <v>Lenovo</v>
      </c>
      <c r="BT402" s="192" t="str">
        <f t="shared" ca="1" si="324"/>
        <v>V7 Elite Sleeve 14"</v>
      </c>
      <c r="BU402" s="192" t="str">
        <f t="shared" ca="1" si="324"/>
        <v>Targus Privacy Screen 14"</v>
      </c>
      <c r="BV402" s="192" t="str">
        <f t="shared" ca="1" si="324"/>
        <v>Power adapter USB-C 45w</v>
      </c>
      <c r="BW402" s="192" t="str">
        <f t="shared" ca="1" si="324"/>
        <v>ThinkPad USB-C Dock gen2</v>
      </c>
      <c r="BX402" s="192"/>
      <c r="BY402" s="192" t="str">
        <f t="shared" ca="1" si="319"/>
        <v>Foxway Education AB</v>
      </c>
      <c r="BZ402" s="192" t="str">
        <f t="shared" ca="1" si="319"/>
        <v>Lenovo</v>
      </c>
      <c r="CA402" s="185"/>
      <c r="CB402" s="185"/>
      <c r="CC402" s="185"/>
      <c r="CD402" s="185"/>
      <c r="CE402" s="185"/>
      <c r="CF402" s="185"/>
      <c r="CG402" s="185"/>
      <c r="CH402" s="185"/>
      <c r="CI402" s="185"/>
      <c r="CJ402" s="185"/>
      <c r="CK402" s="185"/>
      <c r="CL402" s="185"/>
      <c r="CM402" s="185"/>
      <c r="CN402" s="185"/>
    </row>
    <row r="403" spans="2:92" ht="24" customHeight="1" outlineLevel="1" x14ac:dyDescent="0.35">
      <c r="C403" s="61" t="s">
        <v>37</v>
      </c>
      <c r="D403" s="64"/>
      <c r="F403" s="80" t="str">
        <f t="shared" si="320"/>
        <v/>
      </c>
      <c r="G403" s="81" t="str">
        <f t="shared" ca="1" si="321"/>
        <v>Ja</v>
      </c>
      <c r="H403" s="81" t="str">
        <f t="shared" ca="1" si="321"/>
        <v>Ja</v>
      </c>
      <c r="I403" s="120" t="str">
        <f t="shared" ca="1" si="321"/>
        <v>Ja</v>
      </c>
      <c r="J403" s="62"/>
      <c r="Q403" s="185">
        <f t="shared" si="298"/>
        <v>0</v>
      </c>
      <c r="R403" s="185">
        <f t="shared" si="299"/>
        <v>0</v>
      </c>
      <c r="S403" s="185">
        <f t="shared" si="300"/>
        <v>0</v>
      </c>
      <c r="T403" s="185">
        <f t="shared" si="301"/>
        <v>0</v>
      </c>
      <c r="U403" s="185">
        <f t="shared" si="302"/>
        <v>0</v>
      </c>
      <c r="V403" s="185">
        <f t="shared" si="303"/>
        <v>0</v>
      </c>
      <c r="W403" s="185">
        <f t="shared" si="304"/>
        <v>0</v>
      </c>
      <c r="X403" s="185">
        <f t="shared" si="305"/>
        <v>0</v>
      </c>
      <c r="Y403" s="185">
        <f t="shared" si="306"/>
        <v>0</v>
      </c>
      <c r="Z403" s="196">
        <f t="shared" ca="1" si="307"/>
        <v>11210</v>
      </c>
      <c r="AA403" s="185" t="str">
        <f t="shared" ca="1" si="308"/>
        <v>Offererad produktnr. 03Foxway Education AB</v>
      </c>
      <c r="AB403" s="185"/>
      <c r="AC403" s="185" t="b">
        <f ca="1">IFERROR(IF(D393="",TRUE,
IF(OR(D393=$CB$12,D393=$CB$13),IF(LEFT(AS403,FIND(" ",AS403)-1)=D393,TRUE,FALSE),
IF(OFFSET(Processor!$AB$1,MATCH($AS403,Processor!$AA$2:$AA$23,0),MATCH(LEFT(D393,FIND(" ",D393)-1),Processor!$AC$1:$AG$1,0))&gt;=
OFFSET(Processor!$AB$1,MATCH(D393,Processor!$AA$2:$AA$23,0),MATCH(LEFT(D393,FIND(" ",D393)-1),Processor!$AC$1:$AG$1,0)),TRUE,FALSE))),FALSE)</f>
        <v>1</v>
      </c>
      <c r="AD403" s="185" t="b">
        <f t="shared" si="309"/>
        <v>1</v>
      </c>
      <c r="AE403" s="185" t="b">
        <f t="shared" si="310"/>
        <v>1</v>
      </c>
      <c r="AF403" s="185" t="b">
        <f>IF($D$391="",TRUE,IF(COUNTIF(Processor!$I$2:$I$9,$D$391)&gt;0,AND(AV403&gt;INDEX(Processor!$J$2:$J$9,MATCH($D$391,Processor!$I$2:$I$9,0)),AV403&lt;INDEX(Processor!$K$2:$K$9,MATCH($D$391,Processor!$I$2:$I$9,0))),IF(AV403=$D$391,TRUE,FALSE)))</f>
        <v>1</v>
      </c>
      <c r="AG403" s="185" t="b">
        <f t="shared" si="311"/>
        <v>1</v>
      </c>
      <c r="AH403" s="185" t="b">
        <f t="shared" si="312"/>
        <v>1</v>
      </c>
      <c r="AI403" s="185" t="b">
        <f t="shared" si="313"/>
        <v>1</v>
      </c>
      <c r="AJ403" s="185" t="b">
        <f t="shared" si="314"/>
        <v>1</v>
      </c>
      <c r="AK403" s="185" t="b">
        <f t="shared" si="315"/>
        <v>1</v>
      </c>
      <c r="AL403" s="185" t="b">
        <f>IFERROR(IF($D402="",TRUE,IF(MID(BC403,LEN(BC403)-2,1)*1&gt;=MID($D402,LEN($D402)-2,1)*1,TRUE,FALSE)),FALSE)</f>
        <v>1</v>
      </c>
      <c r="AM403" s="185" t="b">
        <f>IF(D401="",TRUE,IF(BB403&gt;=D401,TRUE,FALSE))</f>
        <v>1</v>
      </c>
      <c r="AN403" s="185"/>
      <c r="AO403" s="185"/>
      <c r="AP403" s="185" t="s">
        <v>212</v>
      </c>
      <c r="AQ403" s="185">
        <v>1</v>
      </c>
      <c r="AR403" s="185" t="str">
        <f t="shared" ca="1" si="322"/>
        <v>1920x1080</v>
      </c>
      <c r="AS403" s="185" t="str">
        <f t="shared" ca="1" si="322"/>
        <v>AMD Ryzen 7</v>
      </c>
      <c r="AT403" s="185">
        <f t="shared" ca="1" si="322"/>
        <v>16</v>
      </c>
      <c r="AU403" s="185">
        <f t="shared" ca="1" si="322"/>
        <v>512</v>
      </c>
      <c r="AV403" s="185">
        <f t="shared" ca="1" si="322"/>
        <v>14</v>
      </c>
      <c r="AW403" s="185">
        <f t="shared" ca="1" si="322"/>
        <v>4</v>
      </c>
      <c r="AX403" s="185">
        <f t="shared" ca="1" si="322"/>
        <v>2</v>
      </c>
      <c r="AY403" s="185" t="str">
        <f t="shared" ca="1" si="322"/>
        <v>Ja, HDMI-port finns</v>
      </c>
      <c r="AZ403" s="185" t="str">
        <f t="shared" ca="1" si="322"/>
        <v>802.11a/b/g/n/ac/ax</v>
      </c>
      <c r="BA403" s="185">
        <f t="shared" ca="1" si="322"/>
        <v>5.2</v>
      </c>
      <c r="BB403" s="185">
        <f t="shared" ca="1" si="323"/>
        <v>11</v>
      </c>
      <c r="BC403" s="185" t="str">
        <f t="shared" ca="1" si="323"/>
        <v>Version 8.0</v>
      </c>
      <c r="BD403" s="185" t="str">
        <f t="shared" ca="1" si="323"/>
        <v>Ja</v>
      </c>
      <c r="BE403" s="185" t="str">
        <f t="shared" ca="1" si="323"/>
        <v>Windows 11 Pro</v>
      </c>
      <c r="BF403" s="185" t="str">
        <f t="shared" ca="1" si="323"/>
        <v>L14 G4 AMD</v>
      </c>
      <c r="BG403" s="185">
        <f t="shared" ca="1" si="323"/>
        <v>11210</v>
      </c>
      <c r="BH403" s="192">
        <f t="shared" ca="1" si="323"/>
        <v>78</v>
      </c>
      <c r="BI403" s="192">
        <f t="shared" ca="1" si="323"/>
        <v>252</v>
      </c>
      <c r="BJ403" s="192">
        <f t="shared" ca="1" si="323"/>
        <v>210</v>
      </c>
      <c r="BK403" s="192">
        <f t="shared" ca="1" si="323"/>
        <v>1824</v>
      </c>
      <c r="BL403" s="192">
        <f t="shared" ca="1" si="324"/>
        <v>290</v>
      </c>
      <c r="BM403" s="192">
        <f t="shared" ca="1" si="324"/>
        <v>185</v>
      </c>
      <c r="BN403" s="192">
        <f t="shared" ca="1" si="324"/>
        <v>60</v>
      </c>
      <c r="BO403" s="192">
        <f t="shared" ca="1" si="324"/>
        <v>50</v>
      </c>
      <c r="BP403" s="192" t="str">
        <f t="shared" ca="1" si="324"/>
        <v>V7</v>
      </c>
      <c r="BQ403" s="192" t="str">
        <f t="shared" ca="1" si="324"/>
        <v>Targus</v>
      </c>
      <c r="BR403" s="192" t="str">
        <f t="shared" ca="1" si="324"/>
        <v>Lenovo</v>
      </c>
      <c r="BS403" s="192" t="str">
        <f t="shared" ca="1" si="324"/>
        <v>Lenovo</v>
      </c>
      <c r="BT403" s="192" t="str">
        <f t="shared" ca="1" si="324"/>
        <v>V7 Elite Sleeve 14"</v>
      </c>
      <c r="BU403" s="192" t="str">
        <f t="shared" ca="1" si="324"/>
        <v>Targus Privacy Screen 14"</v>
      </c>
      <c r="BV403" s="192" t="str">
        <f t="shared" ca="1" si="324"/>
        <v>Power adapter USB-C 45w</v>
      </c>
      <c r="BW403" s="192" t="str">
        <f t="shared" ca="1" si="324"/>
        <v>ThinkPad USB-C Dock gen2</v>
      </c>
      <c r="BX403" s="192"/>
      <c r="BY403" s="192" t="str">
        <f t="shared" ca="1" si="319"/>
        <v>Foxway Education AB</v>
      </c>
      <c r="BZ403" s="192" t="str">
        <f t="shared" ca="1" si="319"/>
        <v>Lenovo</v>
      </c>
      <c r="CA403" s="185"/>
      <c r="CB403" s="185"/>
      <c r="CC403" s="185"/>
      <c r="CD403" s="185"/>
      <c r="CE403" s="185"/>
      <c r="CF403" s="185"/>
      <c r="CG403" s="185"/>
      <c r="CH403" s="185"/>
      <c r="CI403" s="185"/>
      <c r="CJ403" s="185"/>
      <c r="CK403" s="185"/>
      <c r="CL403" s="185"/>
      <c r="CM403" s="185"/>
      <c r="CN403" s="185"/>
    </row>
    <row r="404" spans="2:92" ht="24" customHeight="1" outlineLevel="1" x14ac:dyDescent="0.35">
      <c r="C404" s="66"/>
      <c r="D404" s="67"/>
      <c r="F404" s="62"/>
      <c r="G404" s="62"/>
      <c r="H404" s="62"/>
      <c r="I404" s="62"/>
      <c r="J404" s="62"/>
      <c r="Q404" s="185">
        <f t="shared" si="298"/>
        <v>0</v>
      </c>
      <c r="R404" s="185">
        <f t="shared" si="299"/>
        <v>0</v>
      </c>
      <c r="S404" s="185">
        <f t="shared" si="300"/>
        <v>0</v>
      </c>
      <c r="T404" s="185">
        <f t="shared" si="301"/>
        <v>0</v>
      </c>
      <c r="U404" s="185">
        <f t="shared" si="302"/>
        <v>0</v>
      </c>
      <c r="V404" s="185">
        <f t="shared" si="303"/>
        <v>0</v>
      </c>
      <c r="W404" s="185">
        <f t="shared" si="304"/>
        <v>0</v>
      </c>
      <c r="X404" s="185">
        <f t="shared" si="305"/>
        <v>0</v>
      </c>
      <c r="Y404" s="185">
        <f t="shared" si="306"/>
        <v>0</v>
      </c>
      <c r="Z404" s="196">
        <f t="shared" ca="1" si="307"/>
        <v>10577</v>
      </c>
      <c r="AA404" s="185" t="str">
        <f t="shared" ca="1" si="308"/>
        <v>Offererad produktnr. 04Foxway Education AB</v>
      </c>
      <c r="AB404" s="185"/>
      <c r="AC404" s="185" t="b">
        <f ca="1">IFERROR(IF(D393="",TRUE,
IF(OR(D393=$CB$12,D393=$CB$13),IF(LEFT(AS404,FIND(" ",AS404)-1)=D393,TRUE,FALSE),
IF(OFFSET(Processor!$AB$1,MATCH($AS404,Processor!$AA$2:$AA$23,0),MATCH(LEFT(D393,FIND(" ",D393)-1),Processor!$AC$1:$AG$1,0))&gt;=
OFFSET(Processor!$AB$1,MATCH(D393,Processor!$AA$2:$AA$23,0),MATCH(LEFT(D393,FIND(" ",D393)-1),Processor!$AC$1:$AG$1,0)),TRUE,FALSE))),FALSE)</f>
        <v>1</v>
      </c>
      <c r="AD404" s="185" t="b">
        <f t="shared" si="309"/>
        <v>1</v>
      </c>
      <c r="AE404" s="185" t="b">
        <f t="shared" si="310"/>
        <v>1</v>
      </c>
      <c r="AF404" s="185" t="b">
        <f>IF($D$391="",TRUE,IF(COUNTIF(Processor!$I$2:$I$9,$D$391)&gt;0,AND(AV404&gt;INDEX(Processor!$J$2:$J$9,MATCH($D$391,Processor!$I$2:$I$9,0)),AV404&lt;INDEX(Processor!$K$2:$K$9,MATCH($D$391,Processor!$I$2:$I$9,0))),IF(AV404=$D$391,TRUE,FALSE)))</f>
        <v>1</v>
      </c>
      <c r="AG404" s="185" t="b">
        <f t="shared" si="311"/>
        <v>1</v>
      </c>
      <c r="AH404" s="185" t="b">
        <f t="shared" si="312"/>
        <v>1</v>
      </c>
      <c r="AI404" s="185" t="b">
        <f t="shared" si="313"/>
        <v>1</v>
      </c>
      <c r="AJ404" s="185" t="b">
        <f t="shared" si="314"/>
        <v>1</v>
      </c>
      <c r="AK404" s="185" t="b">
        <f t="shared" si="315"/>
        <v>1</v>
      </c>
      <c r="AL404" s="185" t="b">
        <f>IFERROR(IF($D402="",TRUE,IF(MID(BC404,LEN(BC404)-2,1)*1&gt;=MID($D402,LEN($D402)-2,1)*1,TRUE,FALSE)),FALSE)</f>
        <v>1</v>
      </c>
      <c r="AM404" s="185" t="b">
        <f>IF(D401="",TRUE,IF(BB404&gt;=D401,TRUE,FALSE))</f>
        <v>1</v>
      </c>
      <c r="AN404" s="185"/>
      <c r="AO404" s="185"/>
      <c r="AP404" s="185" t="s">
        <v>213</v>
      </c>
      <c r="AQ404" s="185">
        <v>1</v>
      </c>
      <c r="AR404" s="185" t="str">
        <f t="shared" ca="1" si="322"/>
        <v>1920x1080</v>
      </c>
      <c r="AS404" s="185" t="str">
        <f t="shared" ca="1" si="322"/>
        <v>Intel i7</v>
      </c>
      <c r="AT404" s="185">
        <f t="shared" ca="1" si="322"/>
        <v>16</v>
      </c>
      <c r="AU404" s="185">
        <f t="shared" ca="1" si="322"/>
        <v>512</v>
      </c>
      <c r="AV404" s="185">
        <f t="shared" ca="1" si="322"/>
        <v>14</v>
      </c>
      <c r="AW404" s="185">
        <f t="shared" ca="1" si="322"/>
        <v>4</v>
      </c>
      <c r="AX404" s="185">
        <f t="shared" ca="1" si="322"/>
        <v>2</v>
      </c>
      <c r="AY404" s="185" t="str">
        <f t="shared" ca="1" si="322"/>
        <v>Ja, HDMI-port finns</v>
      </c>
      <c r="AZ404" s="185" t="str">
        <f t="shared" ca="1" si="322"/>
        <v>802.11a/b/g/n/ac/ax</v>
      </c>
      <c r="BA404" s="185">
        <f t="shared" ca="1" si="322"/>
        <v>5.3</v>
      </c>
      <c r="BB404" s="185">
        <f t="shared" ca="1" si="323"/>
        <v>11</v>
      </c>
      <c r="BC404" s="185" t="str">
        <f t="shared" ca="1" si="323"/>
        <v>Version 8.0</v>
      </c>
      <c r="BD404" s="185" t="str">
        <f t="shared" ca="1" si="323"/>
        <v>Ja</v>
      </c>
      <c r="BE404" s="185" t="str">
        <f t="shared" ca="1" si="323"/>
        <v>Windows 11 Pro</v>
      </c>
      <c r="BF404" s="185" t="str">
        <f t="shared" ca="1" si="323"/>
        <v>Probook 445 G10</v>
      </c>
      <c r="BG404" s="185">
        <f t="shared" ca="1" si="323"/>
        <v>10577</v>
      </c>
      <c r="BH404" s="192">
        <f t="shared" ca="1" si="323"/>
        <v>93</v>
      </c>
      <c r="BI404" s="192">
        <f t="shared" ca="1" si="323"/>
        <v>252</v>
      </c>
      <c r="BJ404" s="192">
        <f t="shared" ca="1" si="323"/>
        <v>138</v>
      </c>
      <c r="BK404" s="192">
        <f t="shared" ca="1" si="323"/>
        <v>1150</v>
      </c>
      <c r="BL404" s="192">
        <f t="shared" ca="1" si="324"/>
        <v>192</v>
      </c>
      <c r="BM404" s="192">
        <f t="shared" ca="1" si="324"/>
        <v>185</v>
      </c>
      <c r="BN404" s="192">
        <f t="shared" ca="1" si="324"/>
        <v>60</v>
      </c>
      <c r="BO404" s="192">
        <f t="shared" ca="1" si="324"/>
        <v>50</v>
      </c>
      <c r="BP404" s="192" t="str">
        <f t="shared" ca="1" si="324"/>
        <v>V7</v>
      </c>
      <c r="BQ404" s="192" t="str">
        <f t="shared" ca="1" si="324"/>
        <v>Targus</v>
      </c>
      <c r="BR404" s="192" t="str">
        <f t="shared" ca="1" si="324"/>
        <v>HP</v>
      </c>
      <c r="BS404" s="192" t="str">
        <f t="shared" ca="1" si="324"/>
        <v>HP</v>
      </c>
      <c r="BT404" s="192" t="str">
        <f t="shared" ca="1" si="324"/>
        <v>V7 Elite Sleeve 14"</v>
      </c>
      <c r="BU404" s="192" t="str">
        <f t="shared" ca="1" si="324"/>
        <v>Targus Privacy Screen 14"</v>
      </c>
      <c r="BV404" s="192" t="str">
        <f t="shared" ca="1" si="324"/>
        <v>HP 45W Smart AC Adapter</v>
      </c>
      <c r="BW404" s="192" t="str">
        <f t="shared" ca="1" si="324"/>
        <v>HP USB-C Dock G5</v>
      </c>
      <c r="BX404" s="192"/>
      <c r="BY404" s="192" t="str">
        <f t="shared" ca="1" si="319"/>
        <v>Foxway Education AB</v>
      </c>
      <c r="BZ404" s="192" t="str">
        <f t="shared" ca="1" si="319"/>
        <v>HP</v>
      </c>
      <c r="CA404" s="185"/>
      <c r="CB404" s="185"/>
      <c r="CC404" s="185"/>
      <c r="CD404" s="185"/>
      <c r="CE404" s="185"/>
      <c r="CF404" s="185"/>
      <c r="CG404" s="185"/>
      <c r="CH404" s="185"/>
      <c r="CI404" s="185"/>
      <c r="CJ404" s="185"/>
      <c r="CK404" s="185"/>
      <c r="CL404" s="185"/>
      <c r="CM404" s="185"/>
      <c r="CN404" s="185"/>
    </row>
    <row r="405" spans="2:92" ht="26.25" customHeight="1" outlineLevel="1" x14ac:dyDescent="0.35">
      <c r="C405" s="212" t="s">
        <v>366</v>
      </c>
      <c r="D405" s="213"/>
      <c r="E405" s="213"/>
      <c r="F405" s="213"/>
      <c r="G405" s="213"/>
      <c r="H405" s="213"/>
      <c r="I405" s="214"/>
      <c r="J405" s="68"/>
      <c r="Q405" s="185">
        <f t="shared" si="298"/>
        <v>0</v>
      </c>
      <c r="R405" s="185">
        <f t="shared" si="299"/>
        <v>0</v>
      </c>
      <c r="S405" s="185">
        <f t="shared" si="300"/>
        <v>0</v>
      </c>
      <c r="T405" s="185">
        <f t="shared" si="301"/>
        <v>0</v>
      </c>
      <c r="U405" s="185">
        <f t="shared" si="302"/>
        <v>0</v>
      </c>
      <c r="V405" s="185">
        <f t="shared" si="303"/>
        <v>0</v>
      </c>
      <c r="W405" s="185">
        <f t="shared" si="304"/>
        <v>0</v>
      </c>
      <c r="X405" s="185">
        <f t="shared" si="305"/>
        <v>0</v>
      </c>
      <c r="Y405" s="185">
        <f t="shared" si="306"/>
        <v>0</v>
      </c>
      <c r="Z405" s="196">
        <f t="shared" ca="1" si="307"/>
        <v>6420</v>
      </c>
      <c r="AA405" s="185" t="str">
        <f t="shared" ca="1" si="308"/>
        <v>Offererad produktnr. 01Qlosr Göteborg AB</v>
      </c>
      <c r="AB405" s="185"/>
      <c r="AC405" s="185" t="b">
        <f ca="1">IFERROR(IF(D393="",TRUE,
IF(OR(D393=$CB$12,D393=$CB$13),IF(LEFT(AS405,FIND(" ",AS405)-1)=D393,TRUE,FALSE),
IF(OFFSET(Processor!$AB$1,MATCH($AS405,Processor!$AA$2:$AA$23,0),MATCH(LEFT(D393,FIND(" ",D393)-1),Processor!$AC$1:$AG$1,0))&gt;=
OFFSET(Processor!$AB$1,MATCH(D393,Processor!$AA$2:$AA$23,0),MATCH(LEFT(D393,FIND(" ",D393)-1),Processor!$AC$1:$AG$1,0)),TRUE,FALSE))),FALSE)</f>
        <v>1</v>
      </c>
      <c r="AD405" s="185" t="b">
        <f t="shared" si="309"/>
        <v>1</v>
      </c>
      <c r="AE405" s="185" t="b">
        <f t="shared" si="310"/>
        <v>1</v>
      </c>
      <c r="AF405" s="185" t="b">
        <f>IF($D$391="",TRUE,IF(COUNTIF(Processor!$I$2:$I$9,$D$391)&gt;0,AND(AV405&gt;INDEX(Processor!$J$2:$J$9,MATCH($D$391,Processor!$I$2:$I$9,0)),AV405&lt;INDEX(Processor!$K$2:$K$9,MATCH($D$391,Processor!$I$2:$I$9,0))),IF(AV405=$D$391,TRUE,FALSE)))</f>
        <v>1</v>
      </c>
      <c r="AG405" s="185" t="b">
        <f t="shared" si="311"/>
        <v>1</v>
      </c>
      <c r="AH405" s="185" t="b">
        <f t="shared" si="312"/>
        <v>1</v>
      </c>
      <c r="AI405" s="185" t="b">
        <f t="shared" si="313"/>
        <v>1</v>
      </c>
      <c r="AJ405" s="185" t="b">
        <f t="shared" si="314"/>
        <v>1</v>
      </c>
      <c r="AK405" s="185" t="b">
        <f t="shared" si="315"/>
        <v>1</v>
      </c>
      <c r="AL405" s="185" t="b">
        <f>IFERROR(IF($D402="",TRUE,IF(MID(BC405,LEN(BC405)-2,1)*1&gt;=MID($D402,LEN($D402)-2,1)*1,TRUE,FALSE)),FALSE)</f>
        <v>1</v>
      </c>
      <c r="AM405" s="185" t="b">
        <f>IF(D401="",TRUE,IF(BB405&gt;=D401,TRUE,FALSE))</f>
        <v>1</v>
      </c>
      <c r="AN405" s="185"/>
      <c r="AO405" s="185"/>
      <c r="AP405" s="185" t="s">
        <v>552</v>
      </c>
      <c r="AQ405" s="185">
        <v>1</v>
      </c>
      <c r="AR405" s="185" t="str">
        <f t="shared" ca="1" si="322"/>
        <v>1920x1080</v>
      </c>
      <c r="AS405" s="185" t="str">
        <f t="shared" ca="1" si="322"/>
        <v>AMD Ryzen 5</v>
      </c>
      <c r="AT405" s="185">
        <f t="shared" ca="1" si="322"/>
        <v>8</v>
      </c>
      <c r="AU405" s="185">
        <f t="shared" ca="1" si="322"/>
        <v>256</v>
      </c>
      <c r="AV405" s="185">
        <f t="shared" ca="1" si="322"/>
        <v>14</v>
      </c>
      <c r="AW405" s="185">
        <f t="shared" ca="1" si="322"/>
        <v>4</v>
      </c>
      <c r="AX405" s="185">
        <f t="shared" ca="1" si="322"/>
        <v>1</v>
      </c>
      <c r="AY405" s="185" t="str">
        <f t="shared" ca="1" si="322"/>
        <v>Ja, HDMI-port finns</v>
      </c>
      <c r="AZ405" s="185" t="str">
        <f t="shared" ca="1" si="322"/>
        <v>802.11a/b/g/n/ac/ax</v>
      </c>
      <c r="BA405" s="185">
        <f t="shared" ca="1" si="322"/>
        <v>5</v>
      </c>
      <c r="BB405" s="185">
        <f t="shared" ca="1" si="323"/>
        <v>11</v>
      </c>
      <c r="BC405" s="185" t="str">
        <f t="shared" ca="1" si="323"/>
        <v>Version 8.0</v>
      </c>
      <c r="BD405" s="185" t="str">
        <f t="shared" ca="1" si="323"/>
        <v>Ja</v>
      </c>
      <c r="BE405" s="185" t="str">
        <f t="shared" ca="1" si="323"/>
        <v>Windows 10 Pro</v>
      </c>
      <c r="BF405" s="185" t="str">
        <f t="shared" ca="1" si="323"/>
        <v>ProBook 445 G8</v>
      </c>
      <c r="BG405" s="185">
        <f t="shared" ca="1" si="323"/>
        <v>6420</v>
      </c>
      <c r="BH405" s="192">
        <f t="shared" ca="1" si="323"/>
        <v>79</v>
      </c>
      <c r="BI405" s="192">
        <f t="shared" ca="1" si="323"/>
        <v>199</v>
      </c>
      <c r="BJ405" s="192">
        <f t="shared" ca="1" si="323"/>
        <v>106</v>
      </c>
      <c r="BK405" s="192">
        <f t="shared" ca="1" si="323"/>
        <v>949</v>
      </c>
      <c r="BL405" s="192">
        <f t="shared" ca="1" si="324"/>
        <v>151</v>
      </c>
      <c r="BM405" s="192">
        <f t="shared" ca="1" si="324"/>
        <v>70</v>
      </c>
      <c r="BN405" s="192">
        <f t="shared" ca="1" si="324"/>
        <v>25</v>
      </c>
      <c r="BO405" s="192">
        <f t="shared" ca="1" si="324"/>
        <v>25</v>
      </c>
      <c r="BP405" s="192" t="str">
        <f t="shared" ca="1" si="324"/>
        <v>HP</v>
      </c>
      <c r="BQ405" s="192" t="str">
        <f t="shared" ca="1" si="324"/>
        <v>HP</v>
      </c>
      <c r="BR405" s="192" t="str">
        <f t="shared" ca="1" si="324"/>
        <v>HP</v>
      </c>
      <c r="BS405" s="192" t="str">
        <f t="shared" ca="1" si="324"/>
        <v>HP</v>
      </c>
      <c r="BT405" s="192" t="str">
        <f t="shared" ca="1" si="324"/>
        <v>GBX2UW01AA</v>
      </c>
      <c r="BU405" s="192" t="str">
        <f t="shared" ca="1" si="324"/>
        <v>GBXJ6E65AA</v>
      </c>
      <c r="BV405" s="192" t="str">
        <f t="shared" ca="1" si="324"/>
        <v>GBXH6Y88AA</v>
      </c>
      <c r="BW405" s="192" t="str">
        <f t="shared" ca="1" si="324"/>
        <v>GBX5TW10AA</v>
      </c>
      <c r="BX405" s="192"/>
      <c r="BY405" s="192" t="str">
        <f t="shared" ca="1" si="319"/>
        <v>Qlosr Göteborg AB</v>
      </c>
      <c r="BZ405" s="192" t="str">
        <f t="shared" ca="1" si="319"/>
        <v>HP</v>
      </c>
      <c r="CA405" s="185"/>
      <c r="CB405" s="185"/>
      <c r="CC405" s="185"/>
      <c r="CD405" s="185"/>
      <c r="CE405" s="185"/>
      <c r="CF405" s="185"/>
      <c r="CG405" s="185"/>
      <c r="CH405" s="185"/>
      <c r="CI405" s="185"/>
      <c r="CJ405" s="185"/>
      <c r="CK405" s="185"/>
      <c r="CL405" s="185"/>
      <c r="CM405" s="185"/>
      <c r="CN405" s="185"/>
    </row>
    <row r="406" spans="2:92" ht="26.25" customHeight="1" outlineLevel="1" x14ac:dyDescent="0.35">
      <c r="B406" s="69" t="s">
        <v>53</v>
      </c>
      <c r="C406" s="115" t="s">
        <v>363</v>
      </c>
      <c r="D406" s="70"/>
      <c r="F406" s="161" t="str">
        <f t="shared" ref="F406:F417" si="325">IF(F$387="Inget antal angivet","",IFERROR(INDEX($AR$388:$BZ$415,MATCH(F$384,$AP$388:$AP$415,0),MATCH($B406,$AR$388:$BZ$388,0)),""))</f>
        <v/>
      </c>
      <c r="G406" s="162">
        <f t="shared" ref="G406:I417" ca="1" si="326">IFERROR(INDEX($AR$388:$BZ$415,MATCH(G$384,$AP$388:$AP$415,0),MATCH($B406,$AR$388:$BZ$388,0)),"")</f>
        <v>79</v>
      </c>
      <c r="H406" s="162">
        <f t="shared" ca="1" si="326"/>
        <v>123</v>
      </c>
      <c r="I406" s="162">
        <f t="shared" ca="1" si="326"/>
        <v>79</v>
      </c>
      <c r="J406" s="62"/>
      <c r="Q406" s="185">
        <f t="shared" si="298"/>
        <v>0</v>
      </c>
      <c r="R406" s="185">
        <f t="shared" si="299"/>
        <v>0</v>
      </c>
      <c r="S406" s="185">
        <f t="shared" si="300"/>
        <v>0</v>
      </c>
      <c r="T406" s="185">
        <f t="shared" si="301"/>
        <v>0</v>
      </c>
      <c r="U406" s="185">
        <f t="shared" si="302"/>
        <v>0</v>
      </c>
      <c r="V406" s="185">
        <f t="shared" si="303"/>
        <v>0</v>
      </c>
      <c r="W406" s="185">
        <f t="shared" si="304"/>
        <v>0</v>
      </c>
      <c r="X406" s="185">
        <f t="shared" si="305"/>
        <v>0</v>
      </c>
      <c r="Y406" s="185">
        <f t="shared" si="306"/>
        <v>0</v>
      </c>
      <c r="Z406" s="196">
        <f t="shared" ca="1" si="307"/>
        <v>9600</v>
      </c>
      <c r="AA406" s="185" t="str">
        <f t="shared" ca="1" si="308"/>
        <v>Offererad produktnr. 02Qlosr Göteborg AB</v>
      </c>
      <c r="AB406" s="185"/>
      <c r="AC406" s="185" t="b">
        <f ca="1">IFERROR(IF(D393="",TRUE,
IF(OR(D393=$CB$12,D393=$CB$13),IF(LEFT(AS406,FIND(" ",AS406)-1)=D393,TRUE,FALSE),
IF(OFFSET(Processor!$AB$1,MATCH($AS406,Processor!$AA$2:$AA$23,0),MATCH(LEFT(D393,FIND(" ",D393)-1),Processor!$AC$1:$AG$1,0))&gt;=
OFFSET(Processor!$AB$1,MATCH(D393,Processor!$AA$2:$AA$23,0),MATCH(LEFT(D393,FIND(" ",D393)-1),Processor!$AC$1:$AG$1,0)),TRUE,FALSE))),FALSE)</f>
        <v>1</v>
      </c>
      <c r="AD406" s="185" t="b">
        <f t="shared" si="309"/>
        <v>1</v>
      </c>
      <c r="AE406" s="185" t="b">
        <f t="shared" si="310"/>
        <v>1</v>
      </c>
      <c r="AF406" s="185" t="b">
        <f>IF($D$391="",TRUE,IF(COUNTIF(Processor!$I$2:$I$9,$D$391)&gt;0,AND(AV406&gt;INDEX(Processor!$J$2:$J$9,MATCH($D$391,Processor!$I$2:$I$9,0)),AV406&lt;INDEX(Processor!$K$2:$K$9,MATCH($D$391,Processor!$I$2:$I$9,0))),IF(AV406=$D$391,TRUE,FALSE)))</f>
        <v>1</v>
      </c>
      <c r="AG406" s="185" t="b">
        <f t="shared" si="311"/>
        <v>1</v>
      </c>
      <c r="AH406" s="185" t="b">
        <f t="shared" si="312"/>
        <v>1</v>
      </c>
      <c r="AI406" s="185" t="b">
        <f t="shared" si="313"/>
        <v>1</v>
      </c>
      <c r="AJ406" s="185" t="b">
        <f t="shared" si="314"/>
        <v>1</v>
      </c>
      <c r="AK406" s="185" t="b">
        <f t="shared" si="315"/>
        <v>1</v>
      </c>
      <c r="AL406" s="185" t="b">
        <f>IFERROR(IF($D402="",TRUE,IF(MID(BC406,LEN(BC406)-2,1)*1&gt;=MID($D402,LEN($D402)-2,1)*1,TRUE,FALSE)),FALSE)</f>
        <v>1</v>
      </c>
      <c r="AM406" s="185" t="b">
        <f>IF(D401="",TRUE,IF(BB406&gt;=D401,TRUE,FALSE))</f>
        <v>1</v>
      </c>
      <c r="AN406" s="185"/>
      <c r="AO406" s="185"/>
      <c r="AP406" s="185" t="s">
        <v>553</v>
      </c>
      <c r="AQ406" s="185">
        <v>1</v>
      </c>
      <c r="AR406" s="185" t="str">
        <f t="shared" ca="1" si="322"/>
        <v>1920x1080</v>
      </c>
      <c r="AS406" s="185" t="str">
        <f t="shared" ca="1" si="322"/>
        <v>Intel i5</v>
      </c>
      <c r="AT406" s="185">
        <f t="shared" ca="1" si="322"/>
        <v>8</v>
      </c>
      <c r="AU406" s="185">
        <f t="shared" ca="1" si="322"/>
        <v>256</v>
      </c>
      <c r="AV406" s="185">
        <f t="shared" ca="1" si="322"/>
        <v>14</v>
      </c>
      <c r="AW406" s="185">
        <f t="shared" ca="1" si="322"/>
        <v>2</v>
      </c>
      <c r="AX406" s="185">
        <f t="shared" ca="1" si="322"/>
        <v>2</v>
      </c>
      <c r="AY406" s="185" t="str">
        <f t="shared" ca="1" si="322"/>
        <v>Ja, HDMI-port finns</v>
      </c>
      <c r="AZ406" s="185" t="str">
        <f t="shared" ca="1" si="322"/>
        <v>802.11a/b/g/n/ac/ax</v>
      </c>
      <c r="BA406" s="185">
        <f t="shared" ca="1" si="322"/>
        <v>5.3</v>
      </c>
      <c r="BB406" s="185">
        <f t="shared" ca="1" si="323"/>
        <v>11</v>
      </c>
      <c r="BC406" s="185" t="str">
        <f t="shared" ca="1" si="323"/>
        <v>Version 8.0</v>
      </c>
      <c r="BD406" s="185" t="str">
        <f t="shared" ca="1" si="323"/>
        <v>Ja</v>
      </c>
      <c r="BE406" s="185" t="str">
        <f t="shared" ca="1" si="323"/>
        <v>Windows 11 Pro</v>
      </c>
      <c r="BF406" s="185" t="str">
        <f t="shared" ca="1" si="323"/>
        <v>Dell Latitude 5440</v>
      </c>
      <c r="BG406" s="185">
        <f t="shared" ca="1" si="323"/>
        <v>9600</v>
      </c>
      <c r="BH406" s="192">
        <f t="shared" ca="1" si="323"/>
        <v>79</v>
      </c>
      <c r="BI406" s="192">
        <f t="shared" ca="1" si="323"/>
        <v>199</v>
      </c>
      <c r="BJ406" s="192">
        <f t="shared" ca="1" si="323"/>
        <v>182</v>
      </c>
      <c r="BK406" s="192">
        <f t="shared" ca="1" si="323"/>
        <v>1138</v>
      </c>
      <c r="BL406" s="192">
        <f t="shared" ca="1" si="324"/>
        <v>151</v>
      </c>
      <c r="BM406" s="192">
        <f t="shared" ca="1" si="324"/>
        <v>70</v>
      </c>
      <c r="BN406" s="192">
        <f t="shared" ca="1" si="324"/>
        <v>25</v>
      </c>
      <c r="BO406" s="192">
        <f t="shared" ca="1" si="324"/>
        <v>25</v>
      </c>
      <c r="BP406" s="192" t="str">
        <f t="shared" ca="1" si="324"/>
        <v>HP</v>
      </c>
      <c r="BQ406" s="192" t="str">
        <f t="shared" ca="1" si="324"/>
        <v>HP</v>
      </c>
      <c r="BR406" s="192" t="str">
        <f t="shared" ca="1" si="324"/>
        <v>Dell</v>
      </c>
      <c r="BS406" s="192" t="str">
        <f t="shared" ca="1" si="324"/>
        <v>HP</v>
      </c>
      <c r="BT406" s="192" t="str">
        <f t="shared" ca="1" si="324"/>
        <v>GBX3E2U7AA</v>
      </c>
      <c r="BU406" s="192" t="str">
        <f t="shared" ca="1" si="324"/>
        <v>GBXJ6E65AA</v>
      </c>
      <c r="BV406" s="192" t="str">
        <f t="shared" ca="1" si="324"/>
        <v>GBXUSBC65W-2</v>
      </c>
      <c r="BW406" s="192" t="str">
        <f t="shared" ca="1" si="324"/>
        <v>GBX5TW10AA</v>
      </c>
      <c r="BX406" s="192"/>
      <c r="BY406" s="192" t="str">
        <f t="shared" ca="1" si="319"/>
        <v>Qlosr Göteborg AB</v>
      </c>
      <c r="BZ406" s="192" t="str">
        <f t="shared" ca="1" si="319"/>
        <v>Dell</v>
      </c>
      <c r="CA406" s="185"/>
      <c r="CB406" s="185"/>
      <c r="CC406" s="185"/>
      <c r="CD406" s="185"/>
      <c r="CE406" s="185"/>
      <c r="CF406" s="185"/>
      <c r="CG406" s="185"/>
      <c r="CH406" s="185"/>
      <c r="CI406" s="185"/>
      <c r="CJ406" s="185"/>
      <c r="CK406" s="185"/>
      <c r="CL406" s="185"/>
      <c r="CM406" s="185"/>
      <c r="CN406" s="185"/>
    </row>
    <row r="407" spans="2:92" ht="26.25" customHeight="1" outlineLevel="1" x14ac:dyDescent="0.35">
      <c r="B407" s="69" t="s">
        <v>340</v>
      </c>
      <c r="C407" s="96" t="s">
        <v>51</v>
      </c>
      <c r="D407" s="131" t="str">
        <f>IF("Ska Ingå"=D406,"Ska Ingå","")</f>
        <v/>
      </c>
      <c r="F407" s="84" t="str">
        <f t="shared" si="325"/>
        <v/>
      </c>
      <c r="G407" s="85" t="str">
        <f t="shared" ca="1" si="326"/>
        <v>HP</v>
      </c>
      <c r="H407" s="85" t="str">
        <f t="shared" ca="1" si="326"/>
        <v>Cirafon</v>
      </c>
      <c r="I407" s="85" t="str">
        <f t="shared" ca="1" si="326"/>
        <v>HP</v>
      </c>
      <c r="J407" s="62"/>
      <c r="Q407" s="185">
        <f t="shared" si="298"/>
        <v>0</v>
      </c>
      <c r="R407" s="185">
        <f t="shared" si="299"/>
        <v>0</v>
      </c>
      <c r="S407" s="185">
        <f t="shared" si="300"/>
        <v>0</v>
      </c>
      <c r="T407" s="185">
        <f t="shared" si="301"/>
        <v>0</v>
      </c>
      <c r="U407" s="185">
        <f t="shared" si="302"/>
        <v>0</v>
      </c>
      <c r="V407" s="185">
        <f t="shared" si="303"/>
        <v>0</v>
      </c>
      <c r="W407" s="185">
        <f t="shared" si="304"/>
        <v>0</v>
      </c>
      <c r="X407" s="185">
        <f t="shared" si="305"/>
        <v>0</v>
      </c>
      <c r="Y407" s="185">
        <f t="shared" si="306"/>
        <v>0</v>
      </c>
      <c r="Z407" s="196">
        <f t="shared" ca="1" si="307"/>
        <v>7640</v>
      </c>
      <c r="AA407" s="185" t="str">
        <f t="shared" ca="1" si="308"/>
        <v>Offererad produktnr. 03Qlosr Göteborg AB</v>
      </c>
      <c r="AB407" s="185"/>
      <c r="AC407" s="185" t="b">
        <f ca="1">IFERROR(IF(D393="",TRUE,
IF(OR(D393=$CB$12,D393=$CB$13),IF(LEFT(AS407,FIND(" ",AS407)-1)=D393,TRUE,FALSE),
IF(OFFSET(Processor!$AB$1,MATCH($AS407,Processor!$AA$2:$AA$23,0),MATCH(LEFT(D393,FIND(" ",D393)-1),Processor!$AC$1:$AG$1,0))&gt;=
OFFSET(Processor!$AB$1,MATCH(D393,Processor!$AA$2:$AA$23,0),MATCH(LEFT(D393,FIND(" ",D393)-1),Processor!$AC$1:$AG$1,0)),TRUE,FALSE))),FALSE)</f>
        <v>1</v>
      </c>
      <c r="AD407" s="185" t="b">
        <f t="shared" si="309"/>
        <v>1</v>
      </c>
      <c r="AE407" s="185" t="b">
        <f t="shared" si="310"/>
        <v>1</v>
      </c>
      <c r="AF407" s="185" t="b">
        <f>IF($D$391="",TRUE,IF(COUNTIF(Processor!$I$2:$I$9,$D$391)&gt;0,AND(AV407&gt;INDEX(Processor!$J$2:$J$9,MATCH($D$391,Processor!$I$2:$I$9,0)),AV407&lt;INDEX(Processor!$K$2:$K$9,MATCH($D$391,Processor!$I$2:$I$9,0))),IF(AV407=$D$391,TRUE,FALSE)))</f>
        <v>1</v>
      </c>
      <c r="AG407" s="185" t="b">
        <f t="shared" si="311"/>
        <v>1</v>
      </c>
      <c r="AH407" s="185" t="b">
        <f t="shared" si="312"/>
        <v>1</v>
      </c>
      <c r="AI407" s="185" t="b">
        <f t="shared" si="313"/>
        <v>1</v>
      </c>
      <c r="AJ407" s="185" t="b">
        <f t="shared" si="314"/>
        <v>1</v>
      </c>
      <c r="AK407" s="185" t="b">
        <f t="shared" si="315"/>
        <v>1</v>
      </c>
      <c r="AL407" s="185" t="b">
        <f>IFERROR(IF($D402="",TRUE,IF(MID(BC407,LEN(BC407)-2,1)*1&gt;=MID($D402,LEN($D402)-2,1)*1,TRUE,FALSE)),FALSE)</f>
        <v>1</v>
      </c>
      <c r="AM407" s="185" t="b">
        <f>IF(D401="",TRUE,IF(BB407&gt;=D401,TRUE,FALSE))</f>
        <v>1</v>
      </c>
      <c r="AN407" s="185"/>
      <c r="AO407" s="185"/>
      <c r="AP407" s="185" t="s">
        <v>554</v>
      </c>
      <c r="AQ407" s="185">
        <v>1</v>
      </c>
      <c r="AR407" s="185" t="str">
        <f t="shared" ca="1" si="322"/>
        <v>1920x1080</v>
      </c>
      <c r="AS407" s="185" t="str">
        <f t="shared" ca="1" si="322"/>
        <v>AMD Ryzen 7</v>
      </c>
      <c r="AT407" s="185">
        <f t="shared" ca="1" si="322"/>
        <v>16</v>
      </c>
      <c r="AU407" s="185">
        <f t="shared" ca="1" si="322"/>
        <v>512</v>
      </c>
      <c r="AV407" s="185">
        <f t="shared" ca="1" si="322"/>
        <v>14</v>
      </c>
      <c r="AW407" s="185">
        <f t="shared" ca="1" si="322"/>
        <v>4</v>
      </c>
      <c r="AX407" s="185">
        <f t="shared" ca="1" si="322"/>
        <v>1</v>
      </c>
      <c r="AY407" s="185" t="str">
        <f t="shared" ca="1" si="322"/>
        <v>Ja, HDMI-port finns</v>
      </c>
      <c r="AZ407" s="185" t="str">
        <f t="shared" ca="1" si="322"/>
        <v>802.11a/b/g/n/ac/ax</v>
      </c>
      <c r="BA407" s="185">
        <f t="shared" ca="1" si="322"/>
        <v>5</v>
      </c>
      <c r="BB407" s="185">
        <f t="shared" ca="1" si="323"/>
        <v>11</v>
      </c>
      <c r="BC407" s="185" t="str">
        <f t="shared" ca="1" si="323"/>
        <v>Version 8.0</v>
      </c>
      <c r="BD407" s="185" t="str">
        <f t="shared" ca="1" si="323"/>
        <v>Ja</v>
      </c>
      <c r="BE407" s="185" t="str">
        <f t="shared" ca="1" si="323"/>
        <v>Windows 10 Pro</v>
      </c>
      <c r="BF407" s="185" t="str">
        <f t="shared" ca="1" si="323"/>
        <v>ProBook 445 G8</v>
      </c>
      <c r="BG407" s="185">
        <f t="shared" ca="1" si="323"/>
        <v>7640</v>
      </c>
      <c r="BH407" s="192">
        <f t="shared" ca="1" si="323"/>
        <v>79</v>
      </c>
      <c r="BI407" s="192">
        <f t="shared" ca="1" si="323"/>
        <v>199</v>
      </c>
      <c r="BJ407" s="192">
        <f t="shared" ca="1" si="323"/>
        <v>106</v>
      </c>
      <c r="BK407" s="192">
        <f t="shared" ca="1" si="323"/>
        <v>949</v>
      </c>
      <c r="BL407" s="192">
        <f t="shared" ca="1" si="324"/>
        <v>151</v>
      </c>
      <c r="BM407" s="192">
        <f t="shared" ca="1" si="324"/>
        <v>70</v>
      </c>
      <c r="BN407" s="192">
        <f t="shared" ca="1" si="324"/>
        <v>25</v>
      </c>
      <c r="BO407" s="192">
        <f t="shared" ca="1" si="324"/>
        <v>25</v>
      </c>
      <c r="BP407" s="192" t="str">
        <f t="shared" ca="1" si="324"/>
        <v>HP</v>
      </c>
      <c r="BQ407" s="192" t="str">
        <f t="shared" ca="1" si="324"/>
        <v>HP</v>
      </c>
      <c r="BR407" s="192" t="str">
        <f t="shared" ca="1" si="324"/>
        <v>HP</v>
      </c>
      <c r="BS407" s="192" t="str">
        <f t="shared" ca="1" si="324"/>
        <v>HP</v>
      </c>
      <c r="BT407" s="192" t="str">
        <f t="shared" ca="1" si="324"/>
        <v>GBX2UW01AA</v>
      </c>
      <c r="BU407" s="192" t="str">
        <f t="shared" ca="1" si="324"/>
        <v>GBXJ6E65AA</v>
      </c>
      <c r="BV407" s="192" t="str">
        <f t="shared" ca="1" si="324"/>
        <v>GBXH6Y88AA</v>
      </c>
      <c r="BW407" s="192" t="str">
        <f t="shared" ca="1" si="324"/>
        <v>GBX5TW10AA</v>
      </c>
      <c r="BX407" s="192"/>
      <c r="BY407" s="192" t="str">
        <f t="shared" ca="1" si="319"/>
        <v>Qlosr Göteborg AB</v>
      </c>
      <c r="BZ407" s="192" t="str">
        <f t="shared" ca="1" si="319"/>
        <v>HP</v>
      </c>
      <c r="CA407" s="185"/>
      <c r="CB407" s="185"/>
      <c r="CC407" s="185"/>
      <c r="CD407" s="185"/>
      <c r="CE407" s="185"/>
      <c r="CF407" s="185"/>
      <c r="CG407" s="185"/>
      <c r="CH407" s="185"/>
      <c r="CI407" s="185"/>
      <c r="CJ407" s="185"/>
      <c r="CK407" s="185"/>
      <c r="CL407" s="185"/>
      <c r="CM407" s="185"/>
      <c r="CN407" s="185"/>
    </row>
    <row r="408" spans="2:92" ht="67.5" customHeight="1" outlineLevel="1" x14ac:dyDescent="0.35">
      <c r="B408" s="69" t="s">
        <v>345</v>
      </c>
      <c r="C408" s="97" t="s">
        <v>52</v>
      </c>
      <c r="D408" s="132" t="str">
        <f>IF("Ska Ingå"=D406,"Ska Ingå","")</f>
        <v/>
      </c>
      <c r="F408" s="86" t="str">
        <f t="shared" si="325"/>
        <v/>
      </c>
      <c r="G408" s="87" t="str">
        <f t="shared" ca="1" si="326"/>
        <v>GBX2UW01AA</v>
      </c>
      <c r="H408" s="87" t="str">
        <f t="shared" ca="1" si="326"/>
        <v>LSN8696R2-14.1</v>
      </c>
      <c r="I408" s="87" t="str">
        <f t="shared" ca="1" si="326"/>
        <v>GBX2UW01AA</v>
      </c>
      <c r="J408" s="62"/>
      <c r="Q408" s="185">
        <f t="shared" si="298"/>
        <v>0</v>
      </c>
      <c r="R408" s="185">
        <f t="shared" si="299"/>
        <v>0</v>
      </c>
      <c r="S408" s="185">
        <f t="shared" si="300"/>
        <v>0</v>
      </c>
      <c r="T408" s="185">
        <f t="shared" si="301"/>
        <v>0</v>
      </c>
      <c r="U408" s="185">
        <f t="shared" si="302"/>
        <v>0</v>
      </c>
      <c r="V408" s="185">
        <f t="shared" si="303"/>
        <v>0</v>
      </c>
      <c r="W408" s="185">
        <f t="shared" si="304"/>
        <v>0</v>
      </c>
      <c r="X408" s="185">
        <f t="shared" si="305"/>
        <v>0</v>
      </c>
      <c r="Y408" s="185">
        <f t="shared" si="306"/>
        <v>0</v>
      </c>
      <c r="Z408" s="196">
        <f t="shared" ca="1" si="307"/>
        <v>8299</v>
      </c>
      <c r="AA408" s="185" t="str">
        <f t="shared" ca="1" si="308"/>
        <v>Offererad produktnr. 04Qlosr Göteborg AB</v>
      </c>
      <c r="AB408" s="185"/>
      <c r="AC408" s="185" t="b">
        <f ca="1">IFERROR(IF(D393="",TRUE,
IF(OR(D393=$CB$12,D393=$CB$13),IF(LEFT(AS408,FIND(" ",AS408)-1)=D393,TRUE,FALSE),
IF(OFFSET(Processor!$AB$1,MATCH($AS408,Processor!$AA$2:$AA$23,0),MATCH(LEFT(D393,FIND(" ",D393)-1),Processor!$AC$1:$AG$1,0))&gt;=
OFFSET(Processor!$AB$1,MATCH(D393,Processor!$AA$2:$AA$23,0),MATCH(LEFT(D393,FIND(" ",D393)-1),Processor!$AC$1:$AG$1,0)),TRUE,FALSE))),FALSE)</f>
        <v>1</v>
      </c>
      <c r="AD408" s="185" t="b">
        <f t="shared" si="309"/>
        <v>1</v>
      </c>
      <c r="AE408" s="185" t="b">
        <f t="shared" si="310"/>
        <v>1</v>
      </c>
      <c r="AF408" s="185" t="b">
        <f>IF($D$391="",TRUE,IF(COUNTIF(Processor!$I$2:$I$9,$D$391)&gt;0,AND(AV408&gt;INDEX(Processor!$J$2:$J$9,MATCH($D$391,Processor!$I$2:$I$9,0)),AV408&lt;INDEX(Processor!$K$2:$K$9,MATCH($D$391,Processor!$I$2:$I$9,0))),IF(AV408=$D$391,TRUE,FALSE)))</f>
        <v>1</v>
      </c>
      <c r="AG408" s="185" t="b">
        <f t="shared" si="311"/>
        <v>1</v>
      </c>
      <c r="AH408" s="185" t="b">
        <f t="shared" si="312"/>
        <v>1</v>
      </c>
      <c r="AI408" s="185" t="b">
        <f t="shared" si="313"/>
        <v>1</v>
      </c>
      <c r="AJ408" s="185" t="b">
        <f t="shared" si="314"/>
        <v>1</v>
      </c>
      <c r="AK408" s="185" t="b">
        <f t="shared" si="315"/>
        <v>1</v>
      </c>
      <c r="AL408" s="185" t="b">
        <f>IFERROR(IF($D402="",TRUE,IF(MID(BC408,LEN(BC408)-2,1)*1&gt;=MID($D402,LEN($D402)-2,1)*1,TRUE,FALSE)),FALSE)</f>
        <v>1</v>
      </c>
      <c r="AM408" s="185" t="b">
        <f>IF(D401="",TRUE,IF(BB408&gt;=D401,TRUE,FALSE))</f>
        <v>1</v>
      </c>
      <c r="AN408" s="185"/>
      <c r="AO408" s="185"/>
      <c r="AP408" s="185" t="s">
        <v>555</v>
      </c>
      <c r="AQ408" s="185">
        <v>1</v>
      </c>
      <c r="AR408" s="185" t="str">
        <f t="shared" ca="1" si="322"/>
        <v>1920x1080</v>
      </c>
      <c r="AS408" s="185" t="str">
        <f t="shared" ca="1" si="322"/>
        <v>Intel i7</v>
      </c>
      <c r="AT408" s="185">
        <f t="shared" ca="1" si="322"/>
        <v>16</v>
      </c>
      <c r="AU408" s="185">
        <f t="shared" ca="1" si="322"/>
        <v>512</v>
      </c>
      <c r="AV408" s="185">
        <f t="shared" ca="1" si="322"/>
        <v>14</v>
      </c>
      <c r="AW408" s="185">
        <f t="shared" ca="1" si="322"/>
        <v>4</v>
      </c>
      <c r="AX408" s="185">
        <f t="shared" ca="1" si="322"/>
        <v>1</v>
      </c>
      <c r="AY408" s="185" t="str">
        <f t="shared" ca="1" si="322"/>
        <v>Ja, HDMI-port finns</v>
      </c>
      <c r="AZ408" s="185" t="str">
        <f t="shared" ca="1" si="322"/>
        <v>802.11a/b/g/n/ac/ax</v>
      </c>
      <c r="BA408" s="185">
        <f t="shared" ca="1" si="322"/>
        <v>5</v>
      </c>
      <c r="BB408" s="185">
        <f t="shared" ca="1" si="323"/>
        <v>11</v>
      </c>
      <c r="BC408" s="185" t="str">
        <f t="shared" ca="1" si="323"/>
        <v>Version 8.0</v>
      </c>
      <c r="BD408" s="185" t="str">
        <f t="shared" ca="1" si="323"/>
        <v>Ja</v>
      </c>
      <c r="BE408" s="185" t="str">
        <f t="shared" ca="1" si="323"/>
        <v>Windows 10 Pro</v>
      </c>
      <c r="BF408" s="185" t="str">
        <f t="shared" ca="1" si="323"/>
        <v>ProBook 440 G8</v>
      </c>
      <c r="BG408" s="185">
        <f t="shared" ca="1" si="323"/>
        <v>8299</v>
      </c>
      <c r="BH408" s="192">
        <f t="shared" ca="1" si="323"/>
        <v>79</v>
      </c>
      <c r="BI408" s="192">
        <f t="shared" ca="1" si="323"/>
        <v>199</v>
      </c>
      <c r="BJ408" s="192">
        <f t="shared" ca="1" si="323"/>
        <v>106</v>
      </c>
      <c r="BK408" s="192">
        <f t="shared" ca="1" si="323"/>
        <v>949</v>
      </c>
      <c r="BL408" s="192">
        <f t="shared" ca="1" si="324"/>
        <v>151</v>
      </c>
      <c r="BM408" s="192">
        <f t="shared" ca="1" si="324"/>
        <v>70</v>
      </c>
      <c r="BN408" s="192">
        <f t="shared" ca="1" si="324"/>
        <v>25</v>
      </c>
      <c r="BO408" s="192">
        <f t="shared" ca="1" si="324"/>
        <v>25</v>
      </c>
      <c r="BP408" s="192" t="str">
        <f t="shared" ca="1" si="324"/>
        <v>HP</v>
      </c>
      <c r="BQ408" s="192" t="str">
        <f t="shared" ca="1" si="324"/>
        <v>HP</v>
      </c>
      <c r="BR408" s="192" t="str">
        <f t="shared" ca="1" si="324"/>
        <v>HP</v>
      </c>
      <c r="BS408" s="192" t="str">
        <f t="shared" ca="1" si="324"/>
        <v>HP</v>
      </c>
      <c r="BT408" s="192" t="str">
        <f t="shared" ca="1" si="324"/>
        <v>GBX2UW01AA</v>
      </c>
      <c r="BU408" s="192" t="str">
        <f t="shared" ca="1" si="324"/>
        <v>GBXJ6E65AA</v>
      </c>
      <c r="BV408" s="192" t="str">
        <f t="shared" ca="1" si="324"/>
        <v>GBXH6Y88AA</v>
      </c>
      <c r="BW408" s="192" t="str">
        <f t="shared" ca="1" si="324"/>
        <v>GBX5TW10AA</v>
      </c>
      <c r="BX408" s="192"/>
      <c r="BY408" s="192" t="str">
        <f t="shared" ca="1" si="319"/>
        <v>Qlosr Göteborg AB</v>
      </c>
      <c r="BZ408" s="192" t="str">
        <f t="shared" ca="1" si="319"/>
        <v>HP</v>
      </c>
      <c r="CA408" s="185"/>
      <c r="CB408" s="185"/>
      <c r="CC408" s="185"/>
      <c r="CD408" s="185"/>
      <c r="CE408" s="185"/>
      <c r="CF408" s="185"/>
      <c r="CG408" s="185"/>
      <c r="CH408" s="185"/>
      <c r="CI408" s="185"/>
      <c r="CJ408" s="185"/>
      <c r="CK408" s="185"/>
      <c r="CL408" s="185"/>
      <c r="CM408" s="185"/>
      <c r="CN408" s="185"/>
    </row>
    <row r="409" spans="2:92" ht="26.25" customHeight="1" outlineLevel="1" x14ac:dyDescent="0.35">
      <c r="B409" s="69" t="s">
        <v>54</v>
      </c>
      <c r="C409" s="98" t="s">
        <v>77</v>
      </c>
      <c r="D409" s="70"/>
      <c r="F409" s="157" t="str">
        <f t="shared" si="325"/>
        <v/>
      </c>
      <c r="G409" s="158">
        <f t="shared" ca="1" si="326"/>
        <v>199</v>
      </c>
      <c r="H409" s="158">
        <f t="shared" ca="1" si="326"/>
        <v>425</v>
      </c>
      <c r="I409" s="158">
        <f t="shared" ca="1" si="326"/>
        <v>199</v>
      </c>
      <c r="J409" s="62"/>
      <c r="BH409" s="63"/>
      <c r="BI409" s="63"/>
      <c r="BJ409" s="63"/>
      <c r="BK409" s="63"/>
      <c r="BL409" s="63"/>
      <c r="BM409" s="63"/>
      <c r="BN409" s="63"/>
      <c r="BO409" s="63"/>
      <c r="BP409" s="63"/>
      <c r="BQ409" s="63"/>
      <c r="BR409" s="63"/>
      <c r="BS409" s="63"/>
      <c r="BT409" s="63"/>
      <c r="BU409" s="63"/>
      <c r="BV409" s="63"/>
      <c r="BW409" s="63"/>
      <c r="BX409" s="63"/>
      <c r="BY409" s="63"/>
      <c r="BZ409" s="63"/>
      <c r="CA409" s="185"/>
      <c r="CB409" s="185"/>
      <c r="CC409" s="185"/>
      <c r="CD409" s="185"/>
      <c r="CE409" s="185"/>
      <c r="CF409" s="185"/>
      <c r="CG409" s="185"/>
      <c r="CH409" s="185"/>
      <c r="CI409" s="185"/>
      <c r="CJ409" s="185"/>
      <c r="CK409" s="185"/>
      <c r="CL409" s="185"/>
      <c r="CM409" s="185"/>
      <c r="CN409" s="185"/>
    </row>
    <row r="410" spans="2:92" ht="26.25" customHeight="1" outlineLevel="1" x14ac:dyDescent="0.35">
      <c r="B410" s="69" t="s">
        <v>341</v>
      </c>
      <c r="C410" s="61" t="s">
        <v>51</v>
      </c>
      <c r="D410" s="131" t="str">
        <f>IF("Ska Ingå"=D409,"Ska Ingå","")</f>
        <v/>
      </c>
      <c r="F410" s="88" t="str">
        <f t="shared" si="325"/>
        <v/>
      </c>
      <c r="G410" s="89" t="str">
        <f t="shared" ca="1" si="326"/>
        <v>HP</v>
      </c>
      <c r="H410" s="89" t="str">
        <f t="shared" ca="1" si="326"/>
        <v>Cirafon</v>
      </c>
      <c r="I410" s="89" t="str">
        <f t="shared" ca="1" si="326"/>
        <v>HP</v>
      </c>
      <c r="J410" s="62"/>
      <c r="BH410" s="63"/>
      <c r="BI410" s="63"/>
      <c r="BJ410" s="63"/>
      <c r="BK410" s="63"/>
      <c r="BL410" s="63"/>
      <c r="BM410" s="63"/>
      <c r="BN410" s="63"/>
      <c r="BO410" s="63"/>
      <c r="BP410" s="63"/>
      <c r="BQ410" s="63"/>
      <c r="BR410" s="63"/>
      <c r="BS410" s="63"/>
      <c r="BT410" s="63"/>
      <c r="BU410" s="63"/>
      <c r="BV410" s="63"/>
      <c r="BW410" s="63"/>
      <c r="BX410" s="63"/>
      <c r="BY410" s="63"/>
      <c r="BZ410" s="63"/>
      <c r="CA410" s="185"/>
      <c r="CB410" s="185"/>
      <c r="CC410" s="185"/>
      <c r="CD410" s="185"/>
      <c r="CE410" s="185"/>
      <c r="CF410" s="185"/>
      <c r="CG410" s="185"/>
      <c r="CH410" s="185"/>
      <c r="CI410" s="185"/>
      <c r="CJ410" s="185"/>
      <c r="CK410" s="185"/>
      <c r="CL410" s="185"/>
      <c r="CM410" s="185"/>
      <c r="CN410" s="185"/>
    </row>
    <row r="411" spans="2:92" ht="68.25" customHeight="1" outlineLevel="1" x14ac:dyDescent="0.35">
      <c r="B411" s="69" t="s">
        <v>346</v>
      </c>
      <c r="C411" s="99" t="s">
        <v>52</v>
      </c>
      <c r="D411" s="132" t="str">
        <f>IF("Ska Ingå"=D409,"Ska Ingå","")</f>
        <v/>
      </c>
      <c r="F411" s="90" t="str">
        <f t="shared" si="325"/>
        <v/>
      </c>
      <c r="G411" s="91" t="str">
        <f t="shared" ca="1" si="326"/>
        <v>GBXJ6E65AA</v>
      </c>
      <c r="H411" s="91" t="str">
        <f t="shared" ca="1" si="326"/>
        <v>DPF14-9</v>
      </c>
      <c r="I411" s="91" t="str">
        <f t="shared" ca="1" si="326"/>
        <v>GBXJ6E65AA</v>
      </c>
      <c r="J411" s="62"/>
      <c r="BH411" s="63"/>
      <c r="BI411" s="63"/>
      <c r="BJ411" s="63"/>
      <c r="BK411" s="63"/>
      <c r="BL411" s="63"/>
      <c r="BM411" s="63"/>
      <c r="BN411" s="63"/>
      <c r="BO411" s="63"/>
      <c r="BP411" s="63"/>
      <c r="BQ411" s="63"/>
      <c r="BR411" s="63"/>
      <c r="BS411" s="63"/>
      <c r="BT411" s="63"/>
      <c r="BU411" s="63"/>
      <c r="BV411" s="63"/>
      <c r="BW411" s="63"/>
      <c r="BX411" s="63"/>
      <c r="BY411" s="63"/>
      <c r="BZ411" s="63"/>
      <c r="CA411" s="185"/>
      <c r="CB411" s="185"/>
      <c r="CC411" s="185"/>
      <c r="CD411" s="185"/>
      <c r="CE411" s="185"/>
      <c r="CF411" s="185"/>
      <c r="CG411" s="185"/>
      <c r="CH411" s="185"/>
      <c r="CI411" s="185"/>
      <c r="CJ411" s="185"/>
      <c r="CK411" s="185"/>
      <c r="CL411" s="185"/>
      <c r="CM411" s="185"/>
      <c r="CN411" s="185"/>
    </row>
    <row r="412" spans="2:92" ht="31.5" customHeight="1" outlineLevel="1" x14ac:dyDescent="0.35">
      <c r="B412" s="69" t="s">
        <v>55</v>
      </c>
      <c r="C412" s="95" t="s">
        <v>371</v>
      </c>
      <c r="D412" s="70"/>
      <c r="F412" s="159" t="str">
        <f t="shared" si="325"/>
        <v/>
      </c>
      <c r="G412" s="160">
        <f t="shared" ca="1" si="326"/>
        <v>106</v>
      </c>
      <c r="H412" s="160">
        <f t="shared" ca="1" si="326"/>
        <v>149</v>
      </c>
      <c r="I412" s="160">
        <f t="shared" ca="1" si="326"/>
        <v>106</v>
      </c>
      <c r="J412" s="62"/>
      <c r="BH412" s="63"/>
      <c r="BI412" s="63"/>
      <c r="BJ412" s="63"/>
      <c r="BK412" s="63"/>
      <c r="BL412" s="63"/>
      <c r="BM412" s="63"/>
      <c r="BN412" s="63"/>
      <c r="BO412" s="63"/>
      <c r="BP412" s="63"/>
      <c r="BQ412" s="63"/>
      <c r="BR412" s="63"/>
      <c r="BS412" s="63"/>
      <c r="BT412" s="63"/>
      <c r="BU412" s="63"/>
      <c r="BV412" s="63"/>
      <c r="BW412" s="63"/>
      <c r="BX412" s="63"/>
      <c r="BY412" s="63"/>
      <c r="BZ412" s="63"/>
      <c r="CA412" s="185"/>
      <c r="CB412" s="185"/>
      <c r="CC412" s="185"/>
      <c r="CD412" s="185"/>
      <c r="CE412" s="185"/>
      <c r="CF412" s="185"/>
      <c r="CG412" s="185"/>
      <c r="CH412" s="185"/>
      <c r="CI412" s="185"/>
      <c r="CJ412" s="185"/>
      <c r="CK412" s="185"/>
      <c r="CL412" s="185"/>
      <c r="CM412" s="185"/>
      <c r="CN412" s="185"/>
    </row>
    <row r="413" spans="2:92" ht="26.25" customHeight="1" outlineLevel="1" x14ac:dyDescent="0.35">
      <c r="B413" s="69" t="s">
        <v>342</v>
      </c>
      <c r="C413" s="96" t="s">
        <v>51</v>
      </c>
      <c r="D413" s="131" t="str">
        <f>IF("Ska Ingå"=D412,"Ska Ingå","")</f>
        <v/>
      </c>
      <c r="F413" s="84" t="str">
        <f t="shared" si="325"/>
        <v/>
      </c>
      <c r="G413" s="85" t="str">
        <f t="shared" ca="1" si="326"/>
        <v>HP</v>
      </c>
      <c r="H413" s="85" t="str">
        <f t="shared" ca="1" si="326"/>
        <v>HP</v>
      </c>
      <c r="I413" s="85" t="str">
        <f t="shared" ca="1" si="326"/>
        <v>HP</v>
      </c>
      <c r="J413" s="62"/>
    </row>
    <row r="414" spans="2:92" ht="67.5" customHeight="1" outlineLevel="1" x14ac:dyDescent="0.35">
      <c r="B414" s="69" t="s">
        <v>347</v>
      </c>
      <c r="C414" s="97" t="s">
        <v>52</v>
      </c>
      <c r="D414" s="132" t="str">
        <f>IF("Ska Ingå"=D412,"Ska Ingå","")</f>
        <v/>
      </c>
      <c r="F414" s="86" t="str">
        <f t="shared" si="325"/>
        <v/>
      </c>
      <c r="G414" s="87" t="str">
        <f t="shared" ca="1" si="326"/>
        <v>GBXH6Y88AA</v>
      </c>
      <c r="H414" s="87" t="str">
        <f t="shared" ca="1" si="326"/>
        <v xml:space="preserve">1MZ01AA </v>
      </c>
      <c r="I414" s="87" t="str">
        <f t="shared" ca="1" si="326"/>
        <v>GBXH6Y88AA</v>
      </c>
      <c r="J414" s="62"/>
    </row>
    <row r="415" spans="2:92" ht="26.25" customHeight="1" outlineLevel="1" x14ac:dyDescent="0.35">
      <c r="B415" s="69" t="s">
        <v>59</v>
      </c>
      <c r="C415" s="98" t="s">
        <v>364</v>
      </c>
      <c r="D415" s="70"/>
      <c r="F415" s="157" t="str">
        <f t="shared" si="325"/>
        <v/>
      </c>
      <c r="G415" s="158">
        <f t="shared" ca="1" si="326"/>
        <v>949</v>
      </c>
      <c r="H415" s="158">
        <f t="shared" ca="1" si="326"/>
        <v>1185</v>
      </c>
      <c r="I415" s="158">
        <f t="shared" ca="1" si="326"/>
        <v>949</v>
      </c>
      <c r="J415" s="62"/>
      <c r="BH415" s="63"/>
      <c r="BI415" s="63"/>
      <c r="BJ415" s="63"/>
      <c r="BK415" s="63"/>
      <c r="BL415" s="63"/>
      <c r="BM415" s="63"/>
      <c r="BN415" s="63"/>
      <c r="BO415" s="63"/>
      <c r="BP415" s="63"/>
      <c r="BQ415" s="63"/>
      <c r="BR415" s="63"/>
      <c r="BS415" s="63"/>
      <c r="BT415" s="63"/>
      <c r="BU415" s="63"/>
      <c r="BV415" s="63"/>
      <c r="BW415" s="63"/>
      <c r="BX415" s="63"/>
      <c r="BY415" s="63"/>
      <c r="BZ415" s="63"/>
    </row>
    <row r="416" spans="2:92" ht="26.25" customHeight="1" outlineLevel="1" x14ac:dyDescent="0.35">
      <c r="B416" s="69" t="s">
        <v>343</v>
      </c>
      <c r="C416" s="61" t="s">
        <v>51</v>
      </c>
      <c r="D416" s="131" t="str">
        <f>IF("Ska Ingå"=D415,"Ska Ingå","")</f>
        <v/>
      </c>
      <c r="F416" s="88" t="str">
        <f t="shared" si="325"/>
        <v/>
      </c>
      <c r="G416" s="89" t="str">
        <f t="shared" ca="1" si="326"/>
        <v>HP</v>
      </c>
      <c r="H416" s="89" t="str">
        <f t="shared" ca="1" si="326"/>
        <v>HP</v>
      </c>
      <c r="I416" s="89" t="str">
        <f t="shared" ca="1" si="326"/>
        <v>HP</v>
      </c>
      <c r="J416" s="62"/>
    </row>
    <row r="417" spans="2:92" ht="67.5" customHeight="1" outlineLevel="1" x14ac:dyDescent="0.35">
      <c r="B417" s="69" t="s">
        <v>348</v>
      </c>
      <c r="C417" s="99" t="s">
        <v>52</v>
      </c>
      <c r="D417" s="132" t="str">
        <f>IF("Ska Ingå"=D415,"Ska Ingå","")</f>
        <v/>
      </c>
      <c r="F417" s="90" t="str">
        <f t="shared" si="325"/>
        <v/>
      </c>
      <c r="G417" s="91" t="str">
        <f t="shared" ca="1" si="326"/>
        <v>GBX5TW10AA</v>
      </c>
      <c r="H417" s="91" t="str">
        <f t="shared" ca="1" si="326"/>
        <v>72C71AA</v>
      </c>
      <c r="I417" s="91" t="str">
        <f t="shared" ca="1" si="326"/>
        <v>GBX5TW10AA</v>
      </c>
      <c r="J417" s="62"/>
      <c r="BH417" s="63"/>
      <c r="BI417" s="63"/>
      <c r="BJ417" s="63"/>
      <c r="BK417" s="63"/>
      <c r="BL417" s="63"/>
      <c r="BM417" s="63"/>
      <c r="BN417" s="63"/>
      <c r="BO417" s="63"/>
      <c r="BP417" s="63"/>
      <c r="BQ417" s="63"/>
      <c r="BR417" s="63"/>
      <c r="BS417" s="63"/>
      <c r="BT417" s="63"/>
      <c r="BU417" s="63"/>
      <c r="BV417" s="63"/>
      <c r="BW417" s="63"/>
      <c r="BX417" s="63"/>
      <c r="BY417" s="63"/>
      <c r="BZ417" s="63"/>
    </row>
    <row r="418" spans="2:92" ht="26.25" customHeight="1" outlineLevel="1" x14ac:dyDescent="0.35">
      <c r="B418" s="69"/>
      <c r="C418" s="212" t="s">
        <v>365</v>
      </c>
      <c r="D418" s="215"/>
      <c r="E418" s="213"/>
      <c r="F418" s="213"/>
      <c r="G418" s="213"/>
      <c r="H418" s="213"/>
      <c r="I418" s="214"/>
      <c r="J418" s="62"/>
      <c r="BH418" s="63"/>
      <c r="BI418" s="63"/>
      <c r="BJ418" s="63"/>
      <c r="BK418" s="63"/>
      <c r="BL418" s="63"/>
      <c r="BM418" s="63"/>
      <c r="BN418" s="63"/>
      <c r="BO418" s="63"/>
      <c r="BP418" s="63"/>
      <c r="BQ418" s="63"/>
      <c r="BR418" s="63"/>
      <c r="BS418" s="63"/>
      <c r="BT418" s="63"/>
      <c r="BU418" s="63"/>
      <c r="BV418" s="63"/>
      <c r="BW418" s="63"/>
      <c r="BX418" s="63"/>
      <c r="BY418" s="63"/>
      <c r="BZ418" s="63"/>
    </row>
    <row r="419" spans="2:92" ht="26.25" customHeight="1" outlineLevel="1" x14ac:dyDescent="0.35">
      <c r="B419" s="71" t="s">
        <v>228</v>
      </c>
      <c r="C419" s="115" t="s">
        <v>367</v>
      </c>
      <c r="D419" s="70"/>
      <c r="F419" s="151" t="str">
        <f>IF(F$387="Inget antal angivet","",IFERROR(INDEX($AR$388:$BZ$415,MATCH(F$384,$AP$388:$AP$415,0),MATCH($B419,$AR$388:$BZ$388,0)),""))</f>
        <v/>
      </c>
      <c r="G419" s="152">
        <f t="shared" ref="G419:I422" ca="1" si="327">IFERROR(INDEX($AR$388:$BZ$415,MATCH(G$384,$AP$388:$AP$415,0),MATCH($B419,$AR$388:$BZ$388,0)),"")</f>
        <v>151</v>
      </c>
      <c r="H419" s="152">
        <f t="shared" ca="1" si="327"/>
        <v>450</v>
      </c>
      <c r="I419" s="152">
        <f t="shared" ca="1" si="327"/>
        <v>151</v>
      </c>
      <c r="J419" s="62"/>
    </row>
    <row r="420" spans="2:92" ht="26.25" customHeight="1" outlineLevel="1" x14ac:dyDescent="0.35">
      <c r="B420" s="71" t="s">
        <v>229</v>
      </c>
      <c r="C420" s="61" t="s">
        <v>368</v>
      </c>
      <c r="D420" s="70"/>
      <c r="F420" s="153" t="str">
        <f>IF(F$387="Inget antal angivet","",IFERROR(INDEX($AR$388:$BZ$415,MATCH(F$384,$AP$388:$AP$415,0),MATCH($B420,$AR$388:$BZ$388,0)),""))</f>
        <v/>
      </c>
      <c r="G420" s="154">
        <f t="shared" ca="1" si="327"/>
        <v>70</v>
      </c>
      <c r="H420" s="154">
        <f t="shared" ca="1" si="327"/>
        <v>133</v>
      </c>
      <c r="I420" s="154">
        <f t="shared" ca="1" si="327"/>
        <v>70</v>
      </c>
      <c r="J420" s="62"/>
    </row>
    <row r="421" spans="2:92" ht="26.25" customHeight="1" outlineLevel="1" x14ac:dyDescent="0.35">
      <c r="B421" s="71" t="s">
        <v>230</v>
      </c>
      <c r="C421" s="96" t="s">
        <v>369</v>
      </c>
      <c r="D421" s="70"/>
      <c r="F421" s="155" t="str">
        <f>IF(F$387="Inget antal angivet","",IFERROR(INDEX($AR$388:$BZ$415,MATCH(F$384,$AP$388:$AP$415,0),MATCH($B421,$AR$388:$BZ$388,0)),""))</f>
        <v/>
      </c>
      <c r="G421" s="156">
        <f t="shared" ca="1" si="327"/>
        <v>25</v>
      </c>
      <c r="H421" s="156">
        <f t="shared" ca="1" si="327"/>
        <v>20</v>
      </c>
      <c r="I421" s="156">
        <f t="shared" ca="1" si="327"/>
        <v>25</v>
      </c>
      <c r="J421" s="62"/>
    </row>
    <row r="422" spans="2:92" ht="26.25" customHeight="1" outlineLevel="1" x14ac:dyDescent="0.35">
      <c r="B422" s="71" t="s">
        <v>231</v>
      </c>
      <c r="C422" s="61" t="s">
        <v>370</v>
      </c>
      <c r="D422" s="70"/>
      <c r="F422" s="153" t="str">
        <f>IF(F$387="Inget antal angivet","",IFERROR(INDEX($AR$388:$BZ$415,MATCH(F$384,$AP$388:$AP$415,0),MATCH($B422,$AR$388:$BZ$388,0)),""))</f>
        <v/>
      </c>
      <c r="G422" s="154">
        <f t="shared" ca="1" si="327"/>
        <v>25</v>
      </c>
      <c r="H422" s="154">
        <f t="shared" ca="1" si="327"/>
        <v>20</v>
      </c>
      <c r="I422" s="154">
        <f t="shared" ca="1" si="327"/>
        <v>25</v>
      </c>
      <c r="J422" s="62"/>
    </row>
    <row r="423" spans="2:92" ht="24" customHeight="1" outlineLevel="1" x14ac:dyDescent="0.35"/>
    <row r="424" spans="2:92" ht="24" customHeight="1" x14ac:dyDescent="0.35"/>
    <row r="425" spans="2:92" ht="24" customHeight="1" x14ac:dyDescent="0.35">
      <c r="D425" s="72" t="s">
        <v>233</v>
      </c>
      <c r="F425" s="216" t="s">
        <v>362</v>
      </c>
      <c r="G425" s="216"/>
      <c r="H425" s="216"/>
      <c r="I425" s="217"/>
      <c r="J425" s="73"/>
    </row>
    <row r="426" spans="2:92" ht="24" customHeight="1" x14ac:dyDescent="0.35">
      <c r="D426" s="74"/>
      <c r="F426" s="202" t="str">
        <f ca="1">IFERROR(INDEX($Z$389:$Z$415,MATCH(F384,$AA$389:$AA$415,0)) *D426,"")</f>
        <v/>
      </c>
      <c r="G426" s="202">
        <f ca="1">IFERROR(P389 *D426,"")</f>
        <v>0</v>
      </c>
      <c r="H426" s="202">
        <f ca="1">IFERROR(P390 *D426,"")</f>
        <v>0</v>
      </c>
      <c r="I426" s="202">
        <f ca="1">IFERROR(P391 * D426,"")</f>
        <v>0</v>
      </c>
      <c r="J426" s="54"/>
    </row>
    <row r="428" spans="2:92" ht="15" thickBot="1" x14ac:dyDescent="0.4">
      <c r="C428" s="174"/>
      <c r="D428" s="174"/>
      <c r="E428" s="174"/>
      <c r="F428" s="174"/>
      <c r="G428" s="174"/>
      <c r="H428" s="174"/>
      <c r="I428" s="174"/>
    </row>
    <row r="429" spans="2:92" ht="15" thickTop="1" x14ac:dyDescent="0.35"/>
    <row r="431" spans="2:92" ht="18" customHeight="1" collapsed="1" x14ac:dyDescent="0.35">
      <c r="C431" s="53"/>
      <c r="D431" s="53"/>
      <c r="F431" s="169" t="e">
        <f ca="1">N435</f>
        <v>#N/A</v>
      </c>
      <c r="G431" s="169" t="str">
        <f ca="1">INDEX(AA436:AA462,MATCH(P436,Z436:Z462,0))</f>
        <v>Offererad produktnr. 01Qlosr Göteborg AB</v>
      </c>
      <c r="H431" s="169" t="str">
        <f ca="1">INDEX(AA436:AA462,MATCH(P437,Z436:Z462,0))</f>
        <v>Offererad produktnr. 01Dustin Sverige AB</v>
      </c>
      <c r="I431" s="169" t="str">
        <f ca="1">INDEX(AA436:AA462,MATCH(P438,Z436:Z462,0))</f>
        <v>Offererad produktnr. 03Qlosr Göteborg AB</v>
      </c>
      <c r="J431" s="54"/>
      <c r="AR431" s="12" t="s">
        <v>124</v>
      </c>
      <c r="AS431" s="12" t="s">
        <v>124</v>
      </c>
      <c r="AT431" s="12" t="s">
        <v>124</v>
      </c>
      <c r="AU431" s="12" t="s">
        <v>124</v>
      </c>
      <c r="AV431" s="12" t="s">
        <v>124</v>
      </c>
      <c r="AW431" s="12" t="s">
        <v>124</v>
      </c>
      <c r="AX431" s="12" t="s">
        <v>124</v>
      </c>
      <c r="AY431" s="12" t="s">
        <v>124</v>
      </c>
      <c r="AZ431" s="12" t="s">
        <v>124</v>
      </c>
      <c r="BA431" s="12" t="s">
        <v>124</v>
      </c>
      <c r="BB431" s="12" t="s">
        <v>124</v>
      </c>
      <c r="BC431" s="12" t="s">
        <v>124</v>
      </c>
      <c r="BD431" s="12" t="s">
        <v>124</v>
      </c>
      <c r="BE431" s="12" t="s">
        <v>124</v>
      </c>
      <c r="BF431" s="12" t="s">
        <v>124</v>
      </c>
      <c r="BG431" s="12" t="s">
        <v>124</v>
      </c>
      <c r="BH431" s="12" t="s">
        <v>124</v>
      </c>
      <c r="BI431" s="12" t="s">
        <v>124</v>
      </c>
      <c r="BJ431" s="12" t="s">
        <v>124</v>
      </c>
      <c r="BK431" s="12" t="s">
        <v>124</v>
      </c>
      <c r="BL431" s="12" t="s">
        <v>124</v>
      </c>
      <c r="BM431" s="12" t="s">
        <v>124</v>
      </c>
      <c r="BN431" s="12" t="s">
        <v>124</v>
      </c>
      <c r="BO431" s="12" t="s">
        <v>124</v>
      </c>
      <c r="BP431" s="12" t="s">
        <v>124</v>
      </c>
      <c r="BQ431" s="12" t="s">
        <v>124</v>
      </c>
      <c r="BR431" s="12" t="s">
        <v>124</v>
      </c>
      <c r="BS431" s="12" t="s">
        <v>124</v>
      </c>
      <c r="BT431" s="12" t="s">
        <v>124</v>
      </c>
      <c r="BU431" s="12" t="s">
        <v>124</v>
      </c>
      <c r="BV431" s="12" t="s">
        <v>124</v>
      </c>
      <c r="BW431" s="12" t="s">
        <v>124</v>
      </c>
      <c r="BX431" s="12"/>
      <c r="BY431" s="12" t="s">
        <v>124</v>
      </c>
      <c r="BZ431" s="12" t="s">
        <v>124</v>
      </c>
      <c r="CA431" s="12"/>
      <c r="CB431" s="12"/>
      <c r="CC431" s="12"/>
      <c r="CD431" s="12"/>
      <c r="CE431" s="12"/>
      <c r="CF431" s="12"/>
      <c r="CG431" s="12"/>
      <c r="CH431" s="12"/>
      <c r="CI431" s="12"/>
      <c r="CJ431" s="12"/>
      <c r="CK431" s="12"/>
      <c r="CL431" s="12"/>
      <c r="CM431" s="12"/>
      <c r="CN431" s="12"/>
    </row>
    <row r="432" spans="2:92" ht="33" customHeight="1" thickBot="1" x14ac:dyDescent="0.4">
      <c r="C432" s="53"/>
      <c r="D432" s="53"/>
      <c r="F432" s="140" t="s">
        <v>446</v>
      </c>
      <c r="G432" s="205" t="s">
        <v>447</v>
      </c>
      <c r="H432" s="205"/>
      <c r="I432" s="205"/>
      <c r="J432" s="54"/>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row>
    <row r="433" spans="2:92" ht="22.5" customHeight="1" thickBot="1" x14ac:dyDescent="0.4">
      <c r="B433" t="str">
        <f ca="1" xml:space="preserve"> "Produkt "  &amp; B434</f>
        <v>Produkt 10</v>
      </c>
      <c r="C433" s="206" t="str">
        <f>IF(F434="Ingen produkt motsvarar","Felmeddelande",IF(COUNTIF($P$1:$P$6,TRUE)&gt;0,"","Felmeddelande"))</f>
        <v/>
      </c>
      <c r="D433" s="207"/>
      <c r="F433" s="208" t="s">
        <v>271</v>
      </c>
      <c r="G433" s="209"/>
      <c r="H433" s="209"/>
      <c r="I433" s="209"/>
      <c r="J433" s="55"/>
      <c r="O433">
        <v>1</v>
      </c>
      <c r="AR433" s="13" t="str">
        <f t="shared" ref="AR433:BF433" si="328">AR435</f>
        <v>Upplösning</v>
      </c>
      <c r="AS433" s="13" t="str">
        <f t="shared" si="328"/>
        <v>Processor</v>
      </c>
      <c r="AT433" s="13" t="str">
        <f t="shared" si="328"/>
        <v>Internminne (GB)</v>
      </c>
      <c r="AU433" s="13" t="str">
        <f t="shared" si="328"/>
        <v>Hårddisk</v>
      </c>
      <c r="AV433" s="13" t="str">
        <f t="shared" si="328"/>
        <v>Skärmstorlek (tum)</v>
      </c>
      <c r="AW433" s="13" t="str">
        <f t="shared" si="328"/>
        <v>Portar USB</v>
      </c>
      <c r="AX433" s="13" t="str">
        <f t="shared" si="328"/>
        <v>Portar USB C</v>
      </c>
      <c r="AY433" s="13" t="str">
        <f t="shared" si="328"/>
        <v>Portar HDMI/Display</v>
      </c>
      <c r="AZ433" s="13" t="str">
        <f t="shared" si="328"/>
        <v>Kommunikation WLAN</v>
      </c>
      <c r="BA433" s="13" t="str">
        <f t="shared" si="328"/>
        <v>Kommunikation Bluetooth</v>
      </c>
      <c r="BB433" s="13" t="str">
        <f t="shared" si="328"/>
        <v>Batteritid (tim)</v>
      </c>
      <c r="BC433" s="13" t="str">
        <f t="shared" si="328"/>
        <v>Energiprestanda</v>
      </c>
      <c r="BD433" s="13" t="str">
        <f t="shared" si="328"/>
        <v>Låsskydd</v>
      </c>
      <c r="BE433" s="13" t="str">
        <f t="shared" si="328"/>
        <v>Operativsystem</v>
      </c>
      <c r="BF433" s="13" t="str">
        <f t="shared" si="328"/>
        <v>Modellbenämning</v>
      </c>
      <c r="BG433" t="s">
        <v>224</v>
      </c>
      <c r="BH433" s="56" t="s">
        <v>53</v>
      </c>
      <c r="BI433" s="56" t="s">
        <v>54</v>
      </c>
      <c r="BJ433" s="56" t="s">
        <v>55</v>
      </c>
      <c r="BK433" s="56" t="s">
        <v>59</v>
      </c>
      <c r="BL433" s="57" t="s">
        <v>228</v>
      </c>
      <c r="BM433" s="57" t="s">
        <v>229</v>
      </c>
      <c r="BN433" s="57" t="s">
        <v>230</v>
      </c>
      <c r="BO433" s="57" t="s">
        <v>231</v>
      </c>
      <c r="BP433" s="57" t="s">
        <v>340</v>
      </c>
      <c r="BQ433" s="57" t="s">
        <v>341</v>
      </c>
      <c r="BR433" s="57" t="s">
        <v>342</v>
      </c>
      <c r="BS433" s="57" t="s">
        <v>343</v>
      </c>
      <c r="BT433" s="57" t="s">
        <v>345</v>
      </c>
      <c r="BU433" s="57" t="s">
        <v>346</v>
      </c>
      <c r="BV433" s="57" t="s">
        <v>347</v>
      </c>
      <c r="BW433" s="57" t="s">
        <v>348</v>
      </c>
      <c r="BX433" s="57"/>
      <c r="BY433" s="57" t="s">
        <v>6</v>
      </c>
      <c r="BZ433" s="4" t="s">
        <v>51</v>
      </c>
      <c r="CA433" s="13"/>
      <c r="CB433" s="13"/>
      <c r="CC433" s="13"/>
      <c r="CD433" s="13"/>
      <c r="CE433" s="13"/>
      <c r="CF433" s="13"/>
      <c r="CG433" s="13"/>
      <c r="CH433" s="13"/>
      <c r="CI433" s="13"/>
      <c r="CJ433" s="13"/>
      <c r="CK433" s="13"/>
      <c r="CL433" s="13"/>
      <c r="CM433" s="13"/>
      <c r="CN433" s="13"/>
    </row>
    <row r="434" spans="2:92" ht="22.5" customHeight="1" x14ac:dyDescent="0.35">
      <c r="B434">
        <f ca="1">COUNTIF($F$6:F437,"Produkt I varukorg*")</f>
        <v>10</v>
      </c>
      <c r="C434" t="s">
        <v>474</v>
      </c>
      <c r="F434" s="187" t="str" cm="1">
        <f t="array" ref="F434">IF(D473&lt;1,"Inget antal angivet",IFERROR(INDEX($Z436:$Z462,MATCH(F431,$AA436:$AA462,0),0),"Ingen produkt motsvarar"))</f>
        <v>Inget antal angivet</v>
      </c>
      <c r="G434" s="188">
        <f ca="1">IFERROR(P436,"Ingen produkt motsvarar")</f>
        <v>6420</v>
      </c>
      <c r="H434" s="188">
        <f ca="1">IFERROR(P437,"")</f>
        <v>7599</v>
      </c>
      <c r="I434" s="188">
        <f ca="1">IFERROR(P438,"")</f>
        <v>7640</v>
      </c>
      <c r="J434" s="54"/>
      <c r="AA434" t="str">
        <f>IF(COUNTIF(AB434:AK434,FALSE)&gt;0,AP434,"")</f>
        <v/>
      </c>
      <c r="AB434" t="b">
        <f>IF($D$439="",TRUE,IF(AR434=$D$439,TRUE,FALSE))</f>
        <v>1</v>
      </c>
      <c r="AC434" t="b">
        <f>IF(D436="",TRUE,IF(AS434=$D$440,TRUE,FALSE))</f>
        <v>1</v>
      </c>
      <c r="AD434" t="b">
        <f>IF(D439="",TRUE,IF(AT434=D439,TRUE,FALSE))</f>
        <v>1</v>
      </c>
      <c r="AE434" t="b">
        <f>IF(D440="",TRUE,IF(AU434=D440,TRUE,FALSE))</f>
        <v>1</v>
      </c>
      <c r="AF434" t="b">
        <f>IF(D441="",TRUE,IF(AV434=D441,TRUE,FALSE))</f>
        <v>1</v>
      </c>
      <c r="AG434" t="b">
        <f>IF(D442="",TRUE,IF(AW434=D442,TRUE,FALSE))</f>
        <v>1</v>
      </c>
      <c r="AH434" t="b">
        <f>IF(D438="",TRUE,IF(AX434=D438,TRUE,FALSE))</f>
        <v>1</v>
      </c>
      <c r="AI434" t="b">
        <f>IF(D443="",TRUE,IF(AY434=D443,TRUE,FALSE))</f>
        <v>1</v>
      </c>
      <c r="AJ434" t="b">
        <f>IF(D444="",TRUE,IF(AZ434=D444,TRUE,FALSE))</f>
        <v>1</v>
      </c>
      <c r="AK434" t="b">
        <f>IF(D445="",TRUE,IF(BA434=D445,TRUE,FALSE))</f>
        <v>1</v>
      </c>
      <c r="AP434" t="s">
        <v>126</v>
      </c>
      <c r="AR434" s="58" t="str">
        <f t="shared" ref="AR434:BW434" ca="1" si="329">IFERROR(INDEX(INDIRECT(AR$431&amp;"!$A$10:CC100000"),MATCH($AP434,INDIRECT(AR$431&amp;"!BH$10:BH100000"),0),MATCH(AR$433,INDIRECT(AR$431&amp;"!a10:CC10"),0)),"False")</f>
        <v>False</v>
      </c>
      <c r="AS434" s="58" t="str">
        <f t="shared" ca="1" si="329"/>
        <v>False</v>
      </c>
      <c r="AT434" s="58" t="str">
        <f t="shared" ca="1" si="329"/>
        <v>False</v>
      </c>
      <c r="AU434" s="58" t="str">
        <f t="shared" ca="1" si="329"/>
        <v>False</v>
      </c>
      <c r="AV434" s="58" t="str">
        <f t="shared" ca="1" si="329"/>
        <v>False</v>
      </c>
      <c r="AW434" s="58" t="str">
        <f t="shared" ca="1" si="329"/>
        <v>False</v>
      </c>
      <c r="AX434" s="58" t="str">
        <f t="shared" ca="1" si="329"/>
        <v>False</v>
      </c>
      <c r="AY434" s="58" t="str">
        <f t="shared" ca="1" si="329"/>
        <v>False</v>
      </c>
      <c r="AZ434" s="58" t="str">
        <f t="shared" ca="1" si="329"/>
        <v>False</v>
      </c>
      <c r="BA434" s="58" t="str">
        <f t="shared" ca="1" si="329"/>
        <v>False</v>
      </c>
      <c r="BB434" s="58" t="str">
        <f t="shared" ca="1" si="329"/>
        <v>False</v>
      </c>
      <c r="BC434" s="58" t="str">
        <f t="shared" ca="1" si="329"/>
        <v>False</v>
      </c>
      <c r="BD434" s="58" t="str">
        <f t="shared" ca="1" si="329"/>
        <v>False</v>
      </c>
      <c r="BE434" s="58" t="str">
        <f t="shared" ca="1" si="329"/>
        <v>False</v>
      </c>
      <c r="BF434" s="58" t="str">
        <f t="shared" ca="1" si="329"/>
        <v>False</v>
      </c>
      <c r="BG434" s="58" t="str">
        <f t="shared" ca="1" si="329"/>
        <v>False</v>
      </c>
      <c r="BH434" s="58" t="str">
        <f t="shared" ca="1" si="329"/>
        <v>False</v>
      </c>
      <c r="BI434" s="58" t="str">
        <f t="shared" ca="1" si="329"/>
        <v>False</v>
      </c>
      <c r="BJ434" s="58" t="str">
        <f t="shared" ca="1" si="329"/>
        <v>False</v>
      </c>
      <c r="BK434" s="58" t="str">
        <f t="shared" ca="1" si="329"/>
        <v>False</v>
      </c>
      <c r="BL434" s="58" t="str">
        <f t="shared" ca="1" si="329"/>
        <v>False</v>
      </c>
      <c r="BM434" s="58" t="str">
        <f t="shared" ca="1" si="329"/>
        <v>False</v>
      </c>
      <c r="BN434" s="58" t="str">
        <f t="shared" ca="1" si="329"/>
        <v>False</v>
      </c>
      <c r="BO434" s="58" t="str">
        <f t="shared" ca="1" si="329"/>
        <v>False</v>
      </c>
      <c r="BP434" s="58" t="str">
        <f t="shared" ca="1" si="329"/>
        <v>False</v>
      </c>
      <c r="BQ434" s="58" t="str">
        <f t="shared" ca="1" si="329"/>
        <v>False</v>
      </c>
      <c r="BR434" s="58" t="str">
        <f t="shared" ca="1" si="329"/>
        <v>False</v>
      </c>
      <c r="BS434" s="58" t="str">
        <f t="shared" ca="1" si="329"/>
        <v>False</v>
      </c>
      <c r="BT434" s="58" t="str">
        <f t="shared" ca="1" si="329"/>
        <v>False</v>
      </c>
      <c r="BU434" s="58" t="str">
        <f t="shared" ca="1" si="329"/>
        <v>False</v>
      </c>
      <c r="BV434" s="58" t="str">
        <f t="shared" ca="1" si="329"/>
        <v>False</v>
      </c>
      <c r="BW434" s="58" t="str">
        <f t="shared" ca="1" si="329"/>
        <v>False</v>
      </c>
      <c r="BX434" s="58"/>
      <c r="BY434" s="58" t="str">
        <f ca="1">IFERROR(INDEX(INDIRECT(BY$431&amp;"!$A$10:CC100000"),MATCH($AP434,INDIRECT(BY$431&amp;"!BH$10:BH100000"),0),MATCH(BY$433,INDIRECT(BY$431&amp;"!a10:CC10"),0)),"False")</f>
        <v>False</v>
      </c>
      <c r="BZ434" s="58" t="str">
        <f ca="1">IFERROR(INDEX(INDIRECT(BZ$431&amp;"!$A$10:CC100000"),MATCH($AP434,INDIRECT(BZ$431&amp;"!BH$10:BH100000"),0),MATCH(BZ$433,INDIRECT(BZ$431&amp;"!a10:CC10"),0)),"False")</f>
        <v>False</v>
      </c>
      <c r="CA434" s="58"/>
      <c r="CB434" s="58"/>
      <c r="CC434" s="58"/>
      <c r="CD434" s="58"/>
      <c r="CE434" s="58"/>
      <c r="CF434" s="58"/>
      <c r="CG434" s="58"/>
      <c r="CH434" s="58"/>
      <c r="CI434" s="58"/>
      <c r="CJ434" s="58"/>
      <c r="CK434" s="58"/>
      <c r="CL434" s="58"/>
      <c r="CM434" s="58"/>
      <c r="CN434" s="58"/>
    </row>
    <row r="435" spans="2:92" ht="22.5" customHeight="1" x14ac:dyDescent="0.35">
      <c r="C435" s="210" t="str">
        <f ca="1" xml:space="preserve"> "Bärbar dator (A) "  &amp; RIGHT("00" &amp; B434,2)</f>
        <v>Bärbar dator (A) 10</v>
      </c>
      <c r="D435" s="211"/>
      <c r="F435" s="59" t="str">
        <f>IF(F$434="Inget antal angivet","",IFERROR(INDEX($AR$435:$BZ$462,MATCH(F$431,$AP$435:$AP$462,0),MATCH("Modellbenämning",$AR$435:$BZ$435,0)),""))</f>
        <v/>
      </c>
      <c r="G435" s="59" t="str">
        <f ca="1">IFERROR(INDEX($AR$435:$BZ$462,MATCH(G$431,$AP$435:$AP$462,0),MATCH("Modellbenämning",$AR$435:$BZ$435,0)),"")</f>
        <v>ProBook 445 G8</v>
      </c>
      <c r="H435" s="59" t="str">
        <f ca="1">IFERROR(INDEX($AR$435:$BZ$462,MATCH(H$431,$AP$435:$AP$462,0),MATCH("Modellbenämning",$AR$435:$BZ$435,0)),"")</f>
        <v>ProBook 445 G10</v>
      </c>
      <c r="I435" s="59" t="str">
        <f ca="1">IFERROR(INDEX($AR$435:$BZ$462,MATCH(I$431,$AP$435:$AP$462,0),MATCH("Modellbenämning",$AR$435:$BZ$435,0)),"")</f>
        <v>ProBook 445 G8</v>
      </c>
      <c r="J435" s="60"/>
      <c r="K435" s="195"/>
      <c r="L435" s="195"/>
      <c r="M435" s="195"/>
      <c r="N435" s="195" t="e">
        <f ca="1">INDEX($N$436:$N$441,MATCH(Överblick!$L$2,$M$436:$M$441,0))</f>
        <v>#N/A</v>
      </c>
      <c r="O435" s="195"/>
      <c r="P435" s="195"/>
      <c r="Q435" s="195"/>
      <c r="R435" s="195">
        <v>1</v>
      </c>
      <c r="S435" s="195">
        <v>2</v>
      </c>
      <c r="T435" s="195">
        <v>3</v>
      </c>
      <c r="U435" s="195">
        <v>4</v>
      </c>
      <c r="V435" s="195">
        <v>5</v>
      </c>
      <c r="W435" s="195">
        <v>6</v>
      </c>
      <c r="X435" s="195">
        <v>7</v>
      </c>
      <c r="Y435" s="195">
        <v>8</v>
      </c>
      <c r="Z435" s="195"/>
      <c r="AA435" s="195" t="s">
        <v>122</v>
      </c>
      <c r="AB435" s="195" t="s">
        <v>2</v>
      </c>
      <c r="AC435" s="195" t="s">
        <v>4</v>
      </c>
      <c r="AD435" s="195" t="s">
        <v>119</v>
      </c>
      <c r="AE435" s="195" t="s">
        <v>16</v>
      </c>
      <c r="AF435" s="195" t="s">
        <v>7</v>
      </c>
      <c r="AG435" s="195" t="s">
        <v>67</v>
      </c>
      <c r="AH435" s="195" t="s">
        <v>74</v>
      </c>
      <c r="AI435" s="195" t="s">
        <v>97</v>
      </c>
      <c r="AJ435" s="195" t="s">
        <v>103</v>
      </c>
      <c r="AK435" s="195" t="s">
        <v>75</v>
      </c>
      <c r="AL435" s="195" t="s">
        <v>38</v>
      </c>
      <c r="AM435" s="195" t="s">
        <v>120</v>
      </c>
      <c r="AN435" s="195"/>
      <c r="AO435" s="195"/>
      <c r="AP435" s="195" t="s">
        <v>222</v>
      </c>
      <c r="AQ435" s="195">
        <v>1</v>
      </c>
      <c r="AR435" s="195" t="s">
        <v>2</v>
      </c>
      <c r="AS435" s="195" t="s">
        <v>4</v>
      </c>
      <c r="AT435" s="195" t="s">
        <v>119</v>
      </c>
      <c r="AU435" s="195" t="s">
        <v>16</v>
      </c>
      <c r="AV435" s="195" t="s">
        <v>7</v>
      </c>
      <c r="AW435" s="195" t="s">
        <v>67</v>
      </c>
      <c r="AX435" s="195" t="s">
        <v>74</v>
      </c>
      <c r="AY435" s="195" t="s">
        <v>97</v>
      </c>
      <c r="AZ435" s="195" t="s">
        <v>103</v>
      </c>
      <c r="BA435" s="195" t="s">
        <v>75</v>
      </c>
      <c r="BB435" s="195" t="s">
        <v>120</v>
      </c>
      <c r="BC435" s="195" t="s">
        <v>38</v>
      </c>
      <c r="BD435" s="195" t="s">
        <v>37</v>
      </c>
      <c r="BE435" s="195" t="s">
        <v>3</v>
      </c>
      <c r="BF435" s="195" t="s">
        <v>52</v>
      </c>
      <c r="BG435" s="195" t="s">
        <v>25</v>
      </c>
      <c r="BH435" s="195" t="s">
        <v>53</v>
      </c>
      <c r="BI435" s="195" t="s">
        <v>54</v>
      </c>
      <c r="BJ435" s="195" t="s">
        <v>55</v>
      </c>
      <c r="BK435" s="195" t="s">
        <v>59</v>
      </c>
      <c r="BL435" s="195" t="s">
        <v>228</v>
      </c>
      <c r="BM435" s="195" t="s">
        <v>229</v>
      </c>
      <c r="BN435" s="195" t="s">
        <v>230</v>
      </c>
      <c r="BO435" s="195" t="s">
        <v>231</v>
      </c>
      <c r="BP435" s="195" t="s">
        <v>340</v>
      </c>
      <c r="BQ435" s="195" t="s">
        <v>341</v>
      </c>
      <c r="BR435" s="195" t="s">
        <v>342</v>
      </c>
      <c r="BS435" s="195" t="s">
        <v>343</v>
      </c>
      <c r="BT435" s="195" t="s">
        <v>345</v>
      </c>
      <c r="BU435" s="195" t="s">
        <v>346</v>
      </c>
      <c r="BV435" s="195" t="s">
        <v>347</v>
      </c>
      <c r="BW435" s="195" t="s">
        <v>348</v>
      </c>
      <c r="BX435" s="195"/>
      <c r="BY435" s="195" t="s">
        <v>6</v>
      </c>
      <c r="BZ435" s="195" t="s">
        <v>51</v>
      </c>
      <c r="CA435" s="184" t="s">
        <v>2</v>
      </c>
      <c r="CB435" s="184" t="s">
        <v>4</v>
      </c>
      <c r="CC435" s="184" t="s">
        <v>119</v>
      </c>
      <c r="CD435" s="184" t="s">
        <v>16</v>
      </c>
      <c r="CE435" s="184" t="s">
        <v>7</v>
      </c>
      <c r="CF435" s="184" t="s">
        <v>67</v>
      </c>
      <c r="CG435" s="184" t="s">
        <v>74</v>
      </c>
      <c r="CH435" s="184" t="s">
        <v>97</v>
      </c>
      <c r="CI435" s="184" t="s">
        <v>103</v>
      </c>
      <c r="CJ435" s="184" t="s">
        <v>75</v>
      </c>
      <c r="CK435" s="184" t="s">
        <v>120</v>
      </c>
      <c r="CL435" s="184" t="s">
        <v>38</v>
      </c>
      <c r="CM435" s="184" t="s">
        <v>37</v>
      </c>
      <c r="CN435" s="184" t="s">
        <v>3</v>
      </c>
    </row>
    <row r="436" spans="2:92" ht="22.5" customHeight="1" outlineLevel="1" x14ac:dyDescent="0.35">
      <c r="C436" s="210" t="s">
        <v>261</v>
      </c>
      <c r="D436" s="211"/>
      <c r="F436" s="82" t="str">
        <f>IF(F$434="Inget antal angivet","",IFERROR(INDEX($AR$435:$BZ$462,MATCH(F$431,$AP$435:$AP$462,0),MATCH("Varumärke",$AR$435:$BZ$435,0)),""))</f>
        <v/>
      </c>
      <c r="G436" s="83" t="str">
        <f ca="1">IFERROR(INDEX($AR$435:$BZ$462,MATCH(G$431,$AP$435:$AP$462,0),MATCH("Varumärke",$AR$435:$BZ$435,0)),"")</f>
        <v>HP</v>
      </c>
      <c r="H436" s="83" t="str">
        <f ca="1">IFERROR(INDEX($AR$435:$BZ$462,MATCH(H$431,$AP$435:$AP$462,0),MATCH("Varumärke",$AR$435:$BZ$435,0)),"")</f>
        <v>HP</v>
      </c>
      <c r="I436" s="119" t="str">
        <f ca="1">IFERROR(INDEX($AR$435:$BZ$462,MATCH(I$431,$AP$435:$AP$462,0),MATCH("Varumärke",$AR$435:$BZ$435,0)),"")</f>
        <v>HP</v>
      </c>
      <c r="J436" s="62"/>
      <c r="K436" s="196">
        <f ca="1">O436*$D$473</f>
        <v>0</v>
      </c>
      <c r="L436" s="185" t="b">
        <f t="shared" ref="L436:L441" si="330">IF($D$473=0,TRUE,IF(K436=0,FALSE,TRUE))</f>
        <v>1</v>
      </c>
      <c r="M436" s="185" t="s">
        <v>162</v>
      </c>
      <c r="N436" s="185" t="str">
        <f t="shared" ref="N436:N441" ca="1" si="331">INDEX($AA$436:$AA$462,MATCH(O436,$Z$436:$Z$462,0))</f>
        <v>Offererad produktnr. 01Advania Sverige AB</v>
      </c>
      <c r="O436" s="196" cm="1">
        <f t="array" aca="1" ref="O436" ca="1">MIN(IF(($BY$436:$BY$459=M436)*($AQ$436:$AQ$459=$O$433),$Z$436:$Z$459))</f>
        <v>8880</v>
      </c>
      <c r="P436" s="197">
        <f ca="1">SMALL($Z$436:$Z$462,1)</f>
        <v>6420</v>
      </c>
      <c r="Q436" s="185">
        <f t="shared" ref="Q436:Q455" si="332">SUM(R436:Y436)</f>
        <v>0</v>
      </c>
      <c r="R436" s="185">
        <f t="shared" ref="R436:R455" si="333">IF($D$453="",0,BH436)</f>
        <v>0</v>
      </c>
      <c r="S436" s="185">
        <f t="shared" ref="S436:S455" si="334">IF($D$456="",0,BI436)</f>
        <v>0</v>
      </c>
      <c r="T436" s="185">
        <f t="shared" ref="T436:T455" si="335">IF($D$459="",0,BJ436)</f>
        <v>0</v>
      </c>
      <c r="U436" s="185">
        <f t="shared" ref="U436:U455" si="336">IF($D$462="",0,BK436)</f>
        <v>0</v>
      </c>
      <c r="V436" s="185">
        <f t="shared" ref="V436:V455" si="337">IF($D$466="",0,BL436)</f>
        <v>0</v>
      </c>
      <c r="W436" s="185">
        <f t="shared" ref="W436:W455" si="338">IF($D$467="",0,BM436)</f>
        <v>0</v>
      </c>
      <c r="X436" s="185">
        <f t="shared" ref="X436:X455" si="339">IF($D$468="",0,BN436)</f>
        <v>0</v>
      </c>
      <c r="Y436" s="185">
        <f t="shared" ref="Y436:Y455" si="340">IF($D$469="",0,BO436)</f>
        <v>0</v>
      </c>
      <c r="Z436" s="196">
        <f t="shared" ref="Z436:Z455" ca="1" si="341">IF(AA436="","",SUM(BG436,R436:Y436))</f>
        <v>8880</v>
      </c>
      <c r="AA436" s="185" t="str">
        <f t="shared" ref="AA436:AA455" ca="1" si="342">IF(COUNTIF(AB436:AO436,FALSE)&gt;0,"",AP436)</f>
        <v>Offererad produktnr. 01Advania Sverige AB</v>
      </c>
      <c r="AB436" s="185"/>
      <c r="AC436" s="185" t="b">
        <f ca="1">IFERROR(IF(D440="",TRUE,
IF(OR(D440=$CB$12,D440=$CB$13),IF(LEFT(AS436,FIND(" ",AS436)-1)=D440,TRUE,FALSE),
IF(OFFSET(Processor!$AB$1,MATCH($AS436,Processor!$AA$2:$AA$23,0),MATCH(LEFT(D440,FIND(" ",D440)-1),Processor!$AC$1:$AG$1,0))&gt;=
OFFSET(Processor!$AB$1,MATCH(D440,Processor!$AA$2:$AA$23,0),MATCH(LEFT(D440,FIND(" ",D440)-1),Processor!$AC$1:$AG$1,0)),TRUE,FALSE))),FALSE)</f>
        <v>1</v>
      </c>
      <c r="AD436" s="185" t="b">
        <f t="shared" ref="AD436:AD455" si="343">IF($D$441="",TRUE,IF(AT436&gt;=$D$441,TRUE,FALSE))</f>
        <v>1</v>
      </c>
      <c r="AE436" s="185" t="b">
        <f t="shared" ref="AE436:AE455" si="344">IF($D$442="",TRUE,IF(AU436&gt;=$D$442,TRUE,FALSE))</f>
        <v>1</v>
      </c>
      <c r="AF436" s="185" t="b">
        <f>IF($D$438="",TRUE,IF(COUNTIF(Processor!$I$2:$I$9,$D$438)&gt;0,AND(AV436&gt;INDEX(Processor!$J$2:$J$9,MATCH($D$438,Processor!$I$2:$I$9,0)),AV436&lt;INDEX(Processor!$K$2:$K$9,MATCH($D$438,Processor!$I$2:$I$9,0))),IF(AV436=$D$438,TRUE,FALSE)))</f>
        <v>1</v>
      </c>
      <c r="AG436" s="185" t="b">
        <f t="shared" ref="AG436:AG455" si="345">IF($D$443="",TRUE,IF(AW436&gt;=$D$443,TRUE,FALSE))</f>
        <v>1</v>
      </c>
      <c r="AH436" s="185" t="b">
        <f t="shared" ref="AH436:AH455" si="346">IF($D$444="",TRUE,IF(AX436&gt;=$D$444,TRUE,FALSE))</f>
        <v>1</v>
      </c>
      <c r="AI436" s="185" t="b">
        <f t="shared" ref="AI436:AI455" si="347">IF($D$445="",TRUE,IF(AY436=$D$445,TRUE,FALSE))</f>
        <v>1</v>
      </c>
      <c r="AJ436" s="185" t="b">
        <f t="shared" ref="AJ436:AJ455" si="348">IF($D$446="",TRUE,IF($D$446="802.11a/b/g/n/ac",TRUE,IF(AZ436&gt;=$D$446,TRUE,FALSE)))</f>
        <v>1</v>
      </c>
      <c r="AK436" s="185" t="b">
        <f t="shared" ref="AK436:AK455" si="349">IF($D$447="",TRUE,IF(BA436&gt;=$D$447,TRUE,FALSE))</f>
        <v>1</v>
      </c>
      <c r="AL436" s="185" t="b">
        <f>IFERROR(IF($D449="",TRUE,IF(MID(BC436,LEN(BC436)-2,1)*1&gt;=MID($D449,LEN($D449)-2,1)*1,TRUE,FALSE)),FALSE)</f>
        <v>1</v>
      </c>
      <c r="AM436" s="185" t="b">
        <f>IF(D448="",TRUE,IF(BB436&gt;=D448,TRUE,FALSE))</f>
        <v>1</v>
      </c>
      <c r="AN436" s="185"/>
      <c r="AO436" s="185"/>
      <c r="AP436" s="185" t="s">
        <v>198</v>
      </c>
      <c r="AQ436" s="185">
        <v>1</v>
      </c>
      <c r="AR436" s="185" t="str">
        <f t="shared" ref="AR436:BA445" ca="1" si="350">IFERROR(INDEX(INDIRECT(AR$431&amp;"!$A$10:CC100000"),MATCH($AP436,INDIRECT(AR$431&amp;"!BH$10:BH100000"),0),MATCH(AR$433,INDIRECT(AR$431&amp;"!a10:CC10"),0)),"False")</f>
        <v>1920x1080</v>
      </c>
      <c r="AS436" s="185" t="str">
        <f t="shared" ca="1" si="350"/>
        <v>AMD Ryzen 5</v>
      </c>
      <c r="AT436" s="185">
        <f t="shared" ca="1" si="350"/>
        <v>16</v>
      </c>
      <c r="AU436" s="185">
        <f t="shared" ca="1" si="350"/>
        <v>256</v>
      </c>
      <c r="AV436" s="185">
        <f t="shared" ca="1" si="350"/>
        <v>14</v>
      </c>
      <c r="AW436" s="185">
        <f t="shared" ca="1" si="350"/>
        <v>4</v>
      </c>
      <c r="AX436" s="185">
        <f t="shared" ca="1" si="350"/>
        <v>1</v>
      </c>
      <c r="AY436" s="185" t="str">
        <f t="shared" ca="1" si="350"/>
        <v>Ja, HDMI-port finns</v>
      </c>
      <c r="AZ436" s="185" t="str">
        <f t="shared" ca="1" si="350"/>
        <v>802.11a/b/g/n/ac/ax</v>
      </c>
      <c r="BA436" s="185">
        <f t="shared" ca="1" si="350"/>
        <v>5.3</v>
      </c>
      <c r="BB436" s="185">
        <f t="shared" ref="BB436:BK445" ca="1" si="351">IFERROR(INDEX(INDIRECT(BB$431&amp;"!$A$10:CC100000"),MATCH($AP436,INDIRECT(BB$431&amp;"!BH$10:BH100000"),0),MATCH(BB$433,INDIRECT(BB$431&amp;"!a10:CC10"),0)),"False")</f>
        <v>11</v>
      </c>
      <c r="BC436" s="185" t="str">
        <f t="shared" ca="1" si="351"/>
        <v>Version 8.0</v>
      </c>
      <c r="BD436" s="185" t="str">
        <f t="shared" ca="1" si="351"/>
        <v>Ja</v>
      </c>
      <c r="BE436" s="185" t="str">
        <f t="shared" ca="1" si="351"/>
        <v>Windows 11 Pro</v>
      </c>
      <c r="BF436" s="185" t="str">
        <f t="shared" ca="1" si="351"/>
        <v>ProBook 445 G10</v>
      </c>
      <c r="BG436" s="185">
        <f t="shared" ca="1" si="351"/>
        <v>8880</v>
      </c>
      <c r="BH436" s="192">
        <f t="shared" ca="1" si="351"/>
        <v>60</v>
      </c>
      <c r="BI436" s="192">
        <f t="shared" ca="1" si="351"/>
        <v>218</v>
      </c>
      <c r="BJ436" s="192">
        <f t="shared" ca="1" si="351"/>
        <v>251</v>
      </c>
      <c r="BK436" s="192">
        <f t="shared" ca="1" si="351"/>
        <v>1462</v>
      </c>
      <c r="BL436" s="192">
        <f t="shared" ref="BL436:BW445" ca="1" si="352">IFERROR(INDEX(INDIRECT(BL$431&amp;"!$A$10:CC100000"),MATCH($AP436,INDIRECT(BL$431&amp;"!BH$10:BH100000"),0),MATCH(BL$433,INDIRECT(BL$431&amp;"!a10:CC10"),0)),"False")</f>
        <v>226</v>
      </c>
      <c r="BM436" s="192">
        <f t="shared" ca="1" si="352"/>
        <v>112</v>
      </c>
      <c r="BN436" s="192">
        <f t="shared" ca="1" si="352"/>
        <v>50</v>
      </c>
      <c r="BO436" s="192">
        <f t="shared" ca="1" si="352"/>
        <v>50</v>
      </c>
      <c r="BP436" s="192" t="str">
        <f t="shared" ca="1" si="352"/>
        <v>V7</v>
      </c>
      <c r="BQ436" s="192" t="str">
        <f t="shared" ca="1" si="352"/>
        <v>PORT Designs</v>
      </c>
      <c r="BR436" s="192" t="str">
        <f t="shared" ca="1" si="352"/>
        <v>CoreParts</v>
      </c>
      <c r="BS436" s="192" t="str">
        <f t="shared" ca="1" si="352"/>
        <v>HP</v>
      </c>
      <c r="BT436" s="192" t="str">
        <f t="shared" ca="1" si="352"/>
        <v xml:space="preserve"> CSE14-BLK-3E  -Fodral för bärbar dator - 14" - svart</v>
      </c>
      <c r="BU436" s="192" t="str">
        <f t="shared" ca="1" si="352"/>
        <v>900003 - Professional - filter för personlig integritet - 14"</v>
      </c>
      <c r="BV436" s="192" t="str">
        <f t="shared" ca="1" si="352"/>
        <v>MBXUSBC-AC0005 - USB-C - strömadapter 45 Watt</v>
      </c>
      <c r="BW436" s="192" t="str">
        <f t="shared" ca="1" si="352"/>
        <v>72C71AA#ABB - Essential - dockningsstation</v>
      </c>
      <c r="BX436" s="192"/>
      <c r="BY436" s="192" t="str">
        <f t="shared" ref="BY436:BZ455" ca="1" si="353">IFERROR(INDEX(INDIRECT(BY$431&amp;"!$A$10:CC100000"),MATCH($AP436,INDIRECT(BY$431&amp;"!BH$10:BH100000"),0),MATCH(BY$433,INDIRECT(BY$431&amp;"!a10:CC10"),0)),"False")</f>
        <v>Advania Sverige AB</v>
      </c>
      <c r="BZ436" s="192" t="str">
        <f t="shared" ca="1" si="353"/>
        <v>HP</v>
      </c>
      <c r="CA436" s="185" t="s">
        <v>71</v>
      </c>
      <c r="CB436" s="185" t="s">
        <v>687</v>
      </c>
      <c r="CC436" s="185">
        <v>8</v>
      </c>
      <c r="CD436" s="185">
        <v>256</v>
      </c>
      <c r="CE436" s="185">
        <v>14</v>
      </c>
      <c r="CF436" s="185">
        <v>3</v>
      </c>
      <c r="CG436" s="185">
        <v>1</v>
      </c>
      <c r="CH436" s="185" t="s">
        <v>84</v>
      </c>
      <c r="CI436" s="185" t="s">
        <v>86</v>
      </c>
      <c r="CJ436" s="186">
        <v>5.3</v>
      </c>
      <c r="CK436" s="185">
        <v>11</v>
      </c>
      <c r="CL436" s="185" t="s">
        <v>686</v>
      </c>
      <c r="CM436" s="185" t="s">
        <v>69</v>
      </c>
      <c r="CN436" s="185" t="s">
        <v>567</v>
      </c>
    </row>
    <row r="437" spans="2:92" ht="22.5" customHeight="1" outlineLevel="1" x14ac:dyDescent="0.35">
      <c r="C437" s="61" t="s">
        <v>3</v>
      </c>
      <c r="D437" s="64"/>
      <c r="F437" s="80" t="str">
        <f t="shared" ref="F437:F450" si="354">IF(F$434="Inget antal angivet","",IFERROR(INDEX($AR$435:$BZ$462,MATCH(F$431,$AP$435:$AP$462,0),MATCH($C437,$AR$435:$BZ$435,0)),""))</f>
        <v/>
      </c>
      <c r="G437" s="81" t="str">
        <f t="shared" ref="G437:I450" ca="1" si="355">IFERROR(INDEX($AR$435:$BZ$462,MATCH(G$431,$AP$435:$AP$462,0),MATCH($C437,$AR$435:$BZ$435,0)),"")</f>
        <v>Windows 10 Pro</v>
      </c>
      <c r="H437" s="81" t="str">
        <f t="shared" ca="1" si="355"/>
        <v>Windows 11 Pro</v>
      </c>
      <c r="I437" s="120" t="str">
        <f t="shared" ca="1" si="355"/>
        <v>Windows 10 Pro</v>
      </c>
      <c r="J437" s="62"/>
      <c r="K437" s="196">
        <f t="shared" ref="K437:K441" ca="1" si="356">O437*$D$473</f>
        <v>0</v>
      </c>
      <c r="L437" s="185" t="b">
        <f t="shared" si="330"/>
        <v>1</v>
      </c>
      <c r="M437" s="185" t="s">
        <v>150</v>
      </c>
      <c r="N437" s="185" t="str">
        <f t="shared" ca="1" si="331"/>
        <v>Offererad produktnr. 01Atea Sverige AB</v>
      </c>
      <c r="O437" s="196" cm="1">
        <f t="array" aca="1" ref="O437" ca="1">MIN(IF(($BY$436:$BY$459=M437)*($AQ$436:$AQ$459=$O$433),$Z$436:$Z$459))</f>
        <v>11724</v>
      </c>
      <c r="P437" s="197">
        <f ca="1">SMALL($Z$436:$Z$462,2)</f>
        <v>7599</v>
      </c>
      <c r="Q437" s="185">
        <f t="shared" si="332"/>
        <v>0</v>
      </c>
      <c r="R437" s="185">
        <f t="shared" si="333"/>
        <v>0</v>
      </c>
      <c r="S437" s="185">
        <f t="shared" si="334"/>
        <v>0</v>
      </c>
      <c r="T437" s="185">
        <f t="shared" si="335"/>
        <v>0</v>
      </c>
      <c r="U437" s="185">
        <f t="shared" si="336"/>
        <v>0</v>
      </c>
      <c r="V437" s="185">
        <f t="shared" si="337"/>
        <v>0</v>
      </c>
      <c r="W437" s="185">
        <f t="shared" si="338"/>
        <v>0</v>
      </c>
      <c r="X437" s="185">
        <f t="shared" si="339"/>
        <v>0</v>
      </c>
      <c r="Y437" s="185">
        <f t="shared" si="340"/>
        <v>0</v>
      </c>
      <c r="Z437" s="196">
        <f t="shared" ca="1" si="341"/>
        <v>9324</v>
      </c>
      <c r="AA437" s="185" t="str">
        <f t="shared" ca="1" si="342"/>
        <v>Offererad produktnr. 02Advania Sverige AB</v>
      </c>
      <c r="AB437" s="185"/>
      <c r="AC437" s="185" t="b">
        <f ca="1">IFERROR(IF(D440="",TRUE,
IF(OR(D440=$CB$12,D440=$CB$13),IF(LEFT(AS437,FIND(" ",AS437)-1)=D440,TRUE,FALSE),
IF(OFFSET(Processor!$AB$1,MATCH($AS437,Processor!$AA$2:$AA$23,0),MATCH(LEFT(D440,FIND(" ",D440)-1),Processor!$AC$1:$AG$1,0))&gt;=
OFFSET(Processor!$AB$1,MATCH(D440,Processor!$AA$2:$AA$23,0),MATCH(LEFT(D440,FIND(" ",D440)-1),Processor!$AC$1:$AG$1,0)),TRUE,FALSE))),FALSE)</f>
        <v>1</v>
      </c>
      <c r="AD437" s="185" t="b">
        <f t="shared" si="343"/>
        <v>1</v>
      </c>
      <c r="AE437" s="185" t="b">
        <f t="shared" si="344"/>
        <v>1</v>
      </c>
      <c r="AF437" s="185" t="b">
        <f>IF($D$438="",TRUE,IF(COUNTIF(Processor!$I$2:$I$9,$D$438)&gt;0,AND(AV437&gt;INDEX(Processor!$J$2:$J$9,MATCH($D$438,Processor!$I$2:$I$9,0)),AV437&lt;INDEX(Processor!$K$2:$K$9,MATCH($D$438,Processor!$I$2:$I$9,0))),IF(AV437=$D$438,TRUE,FALSE)))</f>
        <v>1</v>
      </c>
      <c r="AG437" s="185" t="b">
        <f t="shared" si="345"/>
        <v>1</v>
      </c>
      <c r="AH437" s="185" t="b">
        <f t="shared" si="346"/>
        <v>1</v>
      </c>
      <c r="AI437" s="185" t="b">
        <f t="shared" si="347"/>
        <v>1</v>
      </c>
      <c r="AJ437" s="185" t="b">
        <f t="shared" si="348"/>
        <v>1</v>
      </c>
      <c r="AK437" s="185" t="b">
        <f t="shared" si="349"/>
        <v>1</v>
      </c>
      <c r="AL437" s="185" t="b">
        <f>IFERROR(IF($D449="",TRUE,IF(MID(BC437,LEN(BC437)-2,1)*1&gt;=MID($D449,LEN($D449)-2,1)*1,TRUE,FALSE)),FALSE)</f>
        <v>1</v>
      </c>
      <c r="AM437" s="185" t="b">
        <f>IF(D448="",TRUE,IF(BB437&gt;=D448,TRUE,FALSE))</f>
        <v>1</v>
      </c>
      <c r="AN437" s="185"/>
      <c r="AO437" s="185"/>
      <c r="AP437" s="185" t="s">
        <v>199</v>
      </c>
      <c r="AQ437" s="185">
        <v>1</v>
      </c>
      <c r="AR437" s="185" t="str">
        <f t="shared" ca="1" si="350"/>
        <v>1920x1080</v>
      </c>
      <c r="AS437" s="185" t="str">
        <f t="shared" ca="1" si="350"/>
        <v>Intel i5 Gen 12</v>
      </c>
      <c r="AT437" s="185">
        <f t="shared" ca="1" si="350"/>
        <v>16</v>
      </c>
      <c r="AU437" s="185">
        <f t="shared" ca="1" si="350"/>
        <v>256</v>
      </c>
      <c r="AV437" s="185">
        <f t="shared" ca="1" si="350"/>
        <v>14</v>
      </c>
      <c r="AW437" s="185">
        <f t="shared" ca="1" si="350"/>
        <v>4</v>
      </c>
      <c r="AX437" s="185">
        <f t="shared" ca="1" si="350"/>
        <v>1</v>
      </c>
      <c r="AY437" s="185" t="str">
        <f t="shared" ca="1" si="350"/>
        <v>Ja, HDMI-port finns</v>
      </c>
      <c r="AZ437" s="185" t="str">
        <f t="shared" ca="1" si="350"/>
        <v>802.11a/b/g/n/ac</v>
      </c>
      <c r="BA437" s="185">
        <f t="shared" ca="1" si="350"/>
        <v>5.2</v>
      </c>
      <c r="BB437" s="185">
        <f t="shared" ca="1" si="351"/>
        <v>11</v>
      </c>
      <c r="BC437" s="185" t="str">
        <f t="shared" ca="1" si="351"/>
        <v>Version 8.0</v>
      </c>
      <c r="BD437" s="185" t="str">
        <f t="shared" ca="1" si="351"/>
        <v>Ja</v>
      </c>
      <c r="BE437" s="185" t="str">
        <f t="shared" ca="1" si="351"/>
        <v>Windows 11 Pro</v>
      </c>
      <c r="BF437" s="185" t="str">
        <f t="shared" ca="1" si="351"/>
        <v>ProBook 440 G10</v>
      </c>
      <c r="BG437" s="185">
        <f t="shared" ca="1" si="351"/>
        <v>9324</v>
      </c>
      <c r="BH437" s="192">
        <f t="shared" ca="1" si="351"/>
        <v>60</v>
      </c>
      <c r="BI437" s="192">
        <f t="shared" ca="1" si="351"/>
        <v>218</v>
      </c>
      <c r="BJ437" s="192">
        <f t="shared" ca="1" si="351"/>
        <v>251</v>
      </c>
      <c r="BK437" s="192">
        <f t="shared" ca="1" si="351"/>
        <v>1462</v>
      </c>
      <c r="BL437" s="192">
        <f t="shared" ca="1" si="352"/>
        <v>226</v>
      </c>
      <c r="BM437" s="192">
        <f t="shared" ca="1" si="352"/>
        <v>112</v>
      </c>
      <c r="BN437" s="192">
        <f t="shared" ca="1" si="352"/>
        <v>50</v>
      </c>
      <c r="BO437" s="192">
        <f t="shared" ca="1" si="352"/>
        <v>50</v>
      </c>
      <c r="BP437" s="192" t="str">
        <f t="shared" ca="1" si="352"/>
        <v>V7</v>
      </c>
      <c r="BQ437" s="192" t="str">
        <f t="shared" ca="1" si="352"/>
        <v>PORT Designs</v>
      </c>
      <c r="BR437" s="192" t="str">
        <f t="shared" ca="1" si="352"/>
        <v>CoreParts</v>
      </c>
      <c r="BS437" s="192" t="str">
        <f t="shared" ca="1" si="352"/>
        <v>HP</v>
      </c>
      <c r="BT437" s="192" t="str">
        <f t="shared" ca="1" si="352"/>
        <v xml:space="preserve"> CSE14-BLK-3E  -Fodral för bärbar dator - 14" - svart</v>
      </c>
      <c r="BU437" s="192" t="str">
        <f t="shared" ca="1" si="352"/>
        <v>900003 - Professional - filter för personlig integritet - 14"</v>
      </c>
      <c r="BV437" s="192" t="str">
        <f t="shared" ca="1" si="352"/>
        <v>MBXUSBC-AC0005 - USB-C - strömadapter 45 Watt</v>
      </c>
      <c r="BW437" s="192" t="str">
        <f t="shared" ca="1" si="352"/>
        <v>72C71AA#ABB - Essential - dockningsstation</v>
      </c>
      <c r="BX437" s="192"/>
      <c r="BY437" s="192" t="str">
        <f t="shared" ca="1" si="353"/>
        <v>Advania Sverige AB</v>
      </c>
      <c r="BZ437" s="192" t="str">
        <f t="shared" ca="1" si="353"/>
        <v>HP</v>
      </c>
      <c r="CA437" s="185" t="s">
        <v>163</v>
      </c>
      <c r="CB437" s="185" t="s">
        <v>688</v>
      </c>
      <c r="CC437" s="185">
        <v>16</v>
      </c>
      <c r="CD437" s="185">
        <v>512</v>
      </c>
      <c r="CE437" s="185">
        <v>0</v>
      </c>
      <c r="CF437" s="185">
        <v>4</v>
      </c>
      <c r="CG437" s="185">
        <v>2</v>
      </c>
      <c r="CH437" s="185">
        <v>0</v>
      </c>
      <c r="CI437" s="185" t="s">
        <v>79</v>
      </c>
      <c r="CJ437" s="186">
        <v>5.2</v>
      </c>
      <c r="CK437" s="185">
        <v>8</v>
      </c>
      <c r="CL437" s="185" t="s">
        <v>527</v>
      </c>
      <c r="CM437" s="185">
        <v>0</v>
      </c>
      <c r="CN437" s="185" t="s">
        <v>80</v>
      </c>
    </row>
    <row r="438" spans="2:92" ht="22.5" customHeight="1" outlineLevel="1" x14ac:dyDescent="0.35">
      <c r="C438" s="61" t="s">
        <v>7</v>
      </c>
      <c r="D438" s="64"/>
      <c r="F438" s="80" t="str">
        <f t="shared" si="354"/>
        <v/>
      </c>
      <c r="G438" s="81">
        <f t="shared" ca="1" si="355"/>
        <v>14</v>
      </c>
      <c r="H438" s="81">
        <f t="shared" ca="1" si="355"/>
        <v>14</v>
      </c>
      <c r="I438" s="120">
        <f t="shared" ca="1" si="355"/>
        <v>14</v>
      </c>
      <c r="J438" s="62"/>
      <c r="K438" s="196">
        <f t="shared" ca="1" si="356"/>
        <v>0</v>
      </c>
      <c r="L438" s="185" t="b">
        <f t="shared" si="330"/>
        <v>1</v>
      </c>
      <c r="M438" s="185" t="s">
        <v>128</v>
      </c>
      <c r="N438" s="185" t="str">
        <f t="shared" ca="1" si="331"/>
        <v>Offererad produktnr. 01Dustin Sverige AB</v>
      </c>
      <c r="O438" s="196" cm="1">
        <f t="array" aca="1" ref="O438" ca="1">MIN(IF(($BY$436:$BY$459=M438)*($AQ$436:$AQ$459=$O$433),$Z$436:$Z$459))</f>
        <v>7599</v>
      </c>
      <c r="P438" s="197">
        <f ca="1">SMALL($Z$436:$Z$462,3)</f>
        <v>7640</v>
      </c>
      <c r="Q438" s="185">
        <f t="shared" si="332"/>
        <v>0</v>
      </c>
      <c r="R438" s="185">
        <f t="shared" si="333"/>
        <v>0</v>
      </c>
      <c r="S438" s="185">
        <f t="shared" si="334"/>
        <v>0</v>
      </c>
      <c r="T438" s="185">
        <f t="shared" si="335"/>
        <v>0</v>
      </c>
      <c r="U438" s="185">
        <f t="shared" si="336"/>
        <v>0</v>
      </c>
      <c r="V438" s="185">
        <f t="shared" si="337"/>
        <v>0</v>
      </c>
      <c r="W438" s="185">
        <f t="shared" si="338"/>
        <v>0</v>
      </c>
      <c r="X438" s="185">
        <f t="shared" si="339"/>
        <v>0</v>
      </c>
      <c r="Y438" s="185">
        <f t="shared" si="340"/>
        <v>0</v>
      </c>
      <c r="Z438" s="196">
        <f t="shared" ca="1" si="341"/>
        <v>10608</v>
      </c>
      <c r="AA438" s="185" t="str">
        <f t="shared" ca="1" si="342"/>
        <v>Offererad produktnr. 03Advania Sverige AB</v>
      </c>
      <c r="AB438" s="185"/>
      <c r="AC438" s="185" t="b">
        <f ca="1">IFERROR(IF(D440="",TRUE,
IF(OR(D440=$CB$12,D440=$CB$13),IF(LEFT(AS438,FIND(" ",AS438)-1)=D440,TRUE,FALSE),
IF(OFFSET(Processor!$AB$1,MATCH($AS438,Processor!$AA$2:$AA$23,0),MATCH(LEFT(D440,FIND(" ",D440)-1),Processor!$AC$1:$AG$1,0))&gt;=
OFFSET(Processor!$AB$1,MATCH(D440,Processor!$AA$2:$AA$23,0),MATCH(LEFT(D440,FIND(" ",D440)-1),Processor!$AC$1:$AG$1,0)),TRUE,FALSE))),FALSE)</f>
        <v>1</v>
      </c>
      <c r="AD438" s="185" t="b">
        <f t="shared" si="343"/>
        <v>1</v>
      </c>
      <c r="AE438" s="185" t="b">
        <f t="shared" si="344"/>
        <v>1</v>
      </c>
      <c r="AF438" s="185" t="b">
        <f>IF($D$438="",TRUE,IF(COUNTIF(Processor!$I$2:$I$9,$D$438)&gt;0,AND(AV438&gt;INDEX(Processor!$J$2:$J$9,MATCH($D$438,Processor!$I$2:$I$9,0)),AV438&lt;INDEX(Processor!$K$2:$K$9,MATCH($D$438,Processor!$I$2:$I$9,0))),IF(AV438=$D$438,TRUE,FALSE)))</f>
        <v>1</v>
      </c>
      <c r="AG438" s="185" t="b">
        <f t="shared" si="345"/>
        <v>1</v>
      </c>
      <c r="AH438" s="185" t="b">
        <f t="shared" si="346"/>
        <v>1</v>
      </c>
      <c r="AI438" s="185" t="b">
        <f t="shared" si="347"/>
        <v>1</v>
      </c>
      <c r="AJ438" s="185" t="b">
        <f t="shared" si="348"/>
        <v>1</v>
      </c>
      <c r="AK438" s="185" t="b">
        <f t="shared" si="349"/>
        <v>1</v>
      </c>
      <c r="AL438" s="185" t="b">
        <f>IFERROR(IF($D449="",TRUE,IF(MID(BC438,LEN(BC438)-2,1)*1&gt;=MID($D449,LEN($D449)-2,1)*1,TRUE,FALSE)),FALSE)</f>
        <v>1</v>
      </c>
      <c r="AM438" s="185" t="b">
        <f>IF(D448="",TRUE,IF(BB438&gt;=D448,TRUE,FALSE))</f>
        <v>1</v>
      </c>
      <c r="AN438" s="185"/>
      <c r="AO438" s="185"/>
      <c r="AP438" s="185" t="s">
        <v>200</v>
      </c>
      <c r="AQ438" s="185">
        <v>1</v>
      </c>
      <c r="AR438" s="185" t="str">
        <f t="shared" ca="1" si="350"/>
        <v>1920x1080</v>
      </c>
      <c r="AS438" s="185" t="str">
        <f t="shared" ca="1" si="350"/>
        <v>AMD Ryzen 7</v>
      </c>
      <c r="AT438" s="185">
        <f t="shared" ca="1" si="350"/>
        <v>16</v>
      </c>
      <c r="AU438" s="185">
        <f t="shared" ca="1" si="350"/>
        <v>512</v>
      </c>
      <c r="AV438" s="185">
        <f t="shared" ca="1" si="350"/>
        <v>14</v>
      </c>
      <c r="AW438" s="185">
        <f t="shared" ca="1" si="350"/>
        <v>4</v>
      </c>
      <c r="AX438" s="185">
        <f t="shared" ca="1" si="350"/>
        <v>1</v>
      </c>
      <c r="AY438" s="185" t="str">
        <f t="shared" ca="1" si="350"/>
        <v>Ja, HDMI-port finns</v>
      </c>
      <c r="AZ438" s="185" t="str">
        <f t="shared" ca="1" si="350"/>
        <v>802.11a/b/g/n/ac/ax</v>
      </c>
      <c r="BA438" s="185">
        <f t="shared" ca="1" si="350"/>
        <v>5.2</v>
      </c>
      <c r="BB438" s="185">
        <f t="shared" ca="1" si="351"/>
        <v>11</v>
      </c>
      <c r="BC438" s="185" t="str">
        <f t="shared" ca="1" si="351"/>
        <v>Version 8.0</v>
      </c>
      <c r="BD438" s="185" t="str">
        <f t="shared" ca="1" si="351"/>
        <v>Ja</v>
      </c>
      <c r="BE438" s="185" t="str">
        <f t="shared" ca="1" si="351"/>
        <v>Windows 11 Pro</v>
      </c>
      <c r="BF438" s="185" t="str">
        <f t="shared" ca="1" si="351"/>
        <v>HP ProBook 445 G10</v>
      </c>
      <c r="BG438" s="185">
        <f t="shared" ca="1" si="351"/>
        <v>10608</v>
      </c>
      <c r="BH438" s="192">
        <f t="shared" ca="1" si="351"/>
        <v>60</v>
      </c>
      <c r="BI438" s="192">
        <f t="shared" ca="1" si="351"/>
        <v>218</v>
      </c>
      <c r="BJ438" s="192">
        <f t="shared" ca="1" si="351"/>
        <v>251</v>
      </c>
      <c r="BK438" s="192">
        <f t="shared" ca="1" si="351"/>
        <v>1462</v>
      </c>
      <c r="BL438" s="192">
        <f t="shared" ca="1" si="352"/>
        <v>226</v>
      </c>
      <c r="BM438" s="192">
        <f t="shared" ca="1" si="352"/>
        <v>112</v>
      </c>
      <c r="BN438" s="192">
        <f t="shared" ca="1" si="352"/>
        <v>50</v>
      </c>
      <c r="BO438" s="192">
        <f t="shared" ca="1" si="352"/>
        <v>50</v>
      </c>
      <c r="BP438" s="192" t="str">
        <f t="shared" ca="1" si="352"/>
        <v>V7</v>
      </c>
      <c r="BQ438" s="192" t="str">
        <f t="shared" ca="1" si="352"/>
        <v>PORT Designs</v>
      </c>
      <c r="BR438" s="192" t="str">
        <f t="shared" ca="1" si="352"/>
        <v>CoreParts</v>
      </c>
      <c r="BS438" s="192" t="str">
        <f t="shared" ca="1" si="352"/>
        <v>HP</v>
      </c>
      <c r="BT438" s="192" t="str">
        <f t="shared" ca="1" si="352"/>
        <v xml:space="preserve"> CSE14-BLK-3E  -Fodral för bärbar dator - 14" - svart</v>
      </c>
      <c r="BU438" s="192" t="str">
        <f t="shared" ca="1" si="352"/>
        <v>900003 - Professional - filter för personlig integritet - 14"</v>
      </c>
      <c r="BV438" s="192" t="str">
        <f t="shared" ca="1" si="352"/>
        <v>MBXUSBC-AC0005 - USB-C - strömadapter 45 Watt</v>
      </c>
      <c r="BW438" s="192" t="str">
        <f t="shared" ca="1" si="352"/>
        <v>72C71AA#ABB - Essential - dockningsstation</v>
      </c>
      <c r="BX438" s="192"/>
      <c r="BY438" s="192" t="str">
        <f t="shared" ca="1" si="353"/>
        <v>Advania Sverige AB</v>
      </c>
      <c r="BZ438" s="192" t="str">
        <f t="shared" ca="1" si="353"/>
        <v>HP</v>
      </c>
      <c r="CA438" s="185">
        <v>0</v>
      </c>
      <c r="CB438" s="185"/>
      <c r="CC438" s="185">
        <v>32</v>
      </c>
      <c r="CD438" s="185">
        <v>0</v>
      </c>
      <c r="CE438" s="185"/>
      <c r="CF438" s="185">
        <v>2</v>
      </c>
      <c r="CG438" s="185">
        <v>0</v>
      </c>
      <c r="CH438" s="185"/>
      <c r="CI438" s="185">
        <v>0</v>
      </c>
      <c r="CJ438" s="186">
        <v>5</v>
      </c>
      <c r="CK438" s="185">
        <v>0</v>
      </c>
      <c r="CL438" s="185">
        <v>0</v>
      </c>
      <c r="CM438" s="185"/>
      <c r="CN438" s="185">
        <v>0</v>
      </c>
    </row>
    <row r="439" spans="2:92" ht="22.5" customHeight="1" outlineLevel="1" x14ac:dyDescent="0.35">
      <c r="C439" s="61" t="s">
        <v>2</v>
      </c>
      <c r="D439" s="64"/>
      <c r="F439" s="80" t="str">
        <f t="shared" si="354"/>
        <v/>
      </c>
      <c r="G439" s="81" t="str">
        <f t="shared" ca="1" si="355"/>
        <v>1920x1080</v>
      </c>
      <c r="H439" s="81" t="str">
        <f t="shared" ca="1" si="355"/>
        <v>1920x1080</v>
      </c>
      <c r="I439" s="120" t="str">
        <f t="shared" ca="1" si="355"/>
        <v>1920x1080</v>
      </c>
      <c r="J439" s="62"/>
      <c r="K439" s="196">
        <f t="shared" ca="1" si="356"/>
        <v>0</v>
      </c>
      <c r="L439" s="185" t="b">
        <f t="shared" si="330"/>
        <v>1</v>
      </c>
      <c r="M439" s="185" t="s">
        <v>169</v>
      </c>
      <c r="N439" s="185" t="str">
        <f t="shared" ca="1" si="331"/>
        <v>Offererad produktnr. 01Foxway Education AB</v>
      </c>
      <c r="O439" s="196" cm="1">
        <f t="array" aca="1" ref="O439" ca="1">MIN(IF(($BY$436:$BY$459=M439)*($AQ$436:$AQ$459=$O$433),$Z$436:$Z$459))</f>
        <v>8848</v>
      </c>
      <c r="P439" s="197"/>
      <c r="Q439" s="185">
        <f t="shared" si="332"/>
        <v>0</v>
      </c>
      <c r="R439" s="185">
        <f t="shared" si="333"/>
        <v>0</v>
      </c>
      <c r="S439" s="185">
        <f t="shared" si="334"/>
        <v>0</v>
      </c>
      <c r="T439" s="185">
        <f t="shared" si="335"/>
        <v>0</v>
      </c>
      <c r="U439" s="185">
        <f t="shared" si="336"/>
        <v>0</v>
      </c>
      <c r="V439" s="185">
        <f t="shared" si="337"/>
        <v>0</v>
      </c>
      <c r="W439" s="185">
        <f t="shared" si="338"/>
        <v>0</v>
      </c>
      <c r="X439" s="185">
        <f t="shared" si="339"/>
        <v>0</v>
      </c>
      <c r="Y439" s="185">
        <f t="shared" si="340"/>
        <v>0</v>
      </c>
      <c r="Z439" s="196">
        <f t="shared" ca="1" si="341"/>
        <v>11474</v>
      </c>
      <c r="AA439" s="185" t="str">
        <f t="shared" ca="1" si="342"/>
        <v>Offererad produktnr. 04Advania Sverige AB</v>
      </c>
      <c r="AB439" s="185"/>
      <c r="AC439" s="185" t="b">
        <f ca="1">IFERROR(IF(D440="",TRUE,
IF(OR(D440=$CB$12,D440=$CB$13),IF(LEFT(AS439,FIND(" ",AS439)-1)=D440,TRUE,FALSE),
IF(OFFSET(Processor!$AB$1,MATCH($AS439,Processor!$AA$2:$AA$23,0),MATCH(LEFT(D440,FIND(" ",D440)-1),Processor!$AC$1:$AG$1,0))&gt;=
OFFSET(Processor!$AB$1,MATCH(D440,Processor!$AA$2:$AA$23,0),MATCH(LEFT(D440,FIND(" ",D440)-1),Processor!$AC$1:$AG$1,0)),TRUE,FALSE))),FALSE)</f>
        <v>1</v>
      </c>
      <c r="AD439" s="185" t="b">
        <f t="shared" si="343"/>
        <v>1</v>
      </c>
      <c r="AE439" s="185" t="b">
        <f t="shared" si="344"/>
        <v>1</v>
      </c>
      <c r="AF439" s="185" t="b">
        <f>IF($D$438="",TRUE,IF(COUNTIF(Processor!$I$2:$I$9,$D$438)&gt;0,AND(AV439&gt;INDEX(Processor!$J$2:$J$9,MATCH($D$438,Processor!$I$2:$I$9,0)),AV439&lt;INDEX(Processor!$K$2:$K$9,MATCH($D$438,Processor!$I$2:$I$9,0))),IF(AV439=$D$438,TRUE,FALSE)))</f>
        <v>1</v>
      </c>
      <c r="AG439" s="185" t="b">
        <f t="shared" si="345"/>
        <v>1</v>
      </c>
      <c r="AH439" s="185" t="b">
        <f t="shared" si="346"/>
        <v>1</v>
      </c>
      <c r="AI439" s="185" t="b">
        <f t="shared" si="347"/>
        <v>1</v>
      </c>
      <c r="AJ439" s="185" t="b">
        <f t="shared" si="348"/>
        <v>1</v>
      </c>
      <c r="AK439" s="185" t="b">
        <f t="shared" si="349"/>
        <v>1</v>
      </c>
      <c r="AL439" s="185" t="b">
        <f>IFERROR(IF($D449="",TRUE,IF(MID(BC439,LEN(BC439)-2,1)*1&gt;=MID($D449,LEN($D449)-2,1)*1,TRUE,FALSE)),FALSE)</f>
        <v>1</v>
      </c>
      <c r="AM439" s="185" t="b">
        <f>IF(D448="",TRUE,IF(BB439&gt;=D448,TRUE,FALSE))</f>
        <v>1</v>
      </c>
      <c r="AN439" s="185"/>
      <c r="AO439" s="185"/>
      <c r="AP439" s="185" t="s">
        <v>201</v>
      </c>
      <c r="AQ439" s="185">
        <v>1</v>
      </c>
      <c r="AR439" s="185" t="str">
        <f t="shared" ca="1" si="350"/>
        <v>1920x1080</v>
      </c>
      <c r="AS439" s="185" t="str">
        <f t="shared" ca="1" si="350"/>
        <v>Intel i7 Gen 12</v>
      </c>
      <c r="AT439" s="185">
        <f t="shared" ca="1" si="350"/>
        <v>16</v>
      </c>
      <c r="AU439" s="185">
        <f t="shared" ca="1" si="350"/>
        <v>512</v>
      </c>
      <c r="AV439" s="185">
        <f t="shared" ca="1" si="350"/>
        <v>14</v>
      </c>
      <c r="AW439" s="185">
        <f t="shared" ca="1" si="350"/>
        <v>4</v>
      </c>
      <c r="AX439" s="185">
        <f t="shared" ca="1" si="350"/>
        <v>2</v>
      </c>
      <c r="AY439" s="185" t="str">
        <f t="shared" ca="1" si="350"/>
        <v>Ja, HDMI-port finns</v>
      </c>
      <c r="AZ439" s="185" t="str">
        <f t="shared" ca="1" si="350"/>
        <v>802.11a/b/g/n/ac/ax</v>
      </c>
      <c r="BA439" s="185">
        <f t="shared" ca="1" si="350"/>
        <v>5.2</v>
      </c>
      <c r="BB439" s="185">
        <f t="shared" ca="1" si="351"/>
        <v>11</v>
      </c>
      <c r="BC439" s="185" t="str">
        <f t="shared" ca="1" si="351"/>
        <v>Version 8.0</v>
      </c>
      <c r="BD439" s="185" t="str">
        <f t="shared" ca="1" si="351"/>
        <v>Ja</v>
      </c>
      <c r="BE439" s="185" t="str">
        <f t="shared" ca="1" si="351"/>
        <v>Windows 11 Pro</v>
      </c>
      <c r="BF439" s="185" t="str">
        <f t="shared" ca="1" si="351"/>
        <v>ProBook 440 G11</v>
      </c>
      <c r="BG439" s="185">
        <f t="shared" ca="1" si="351"/>
        <v>11474</v>
      </c>
      <c r="BH439" s="192">
        <f t="shared" ca="1" si="351"/>
        <v>60</v>
      </c>
      <c r="BI439" s="192">
        <f t="shared" ca="1" si="351"/>
        <v>218</v>
      </c>
      <c r="BJ439" s="192">
        <f t="shared" ca="1" si="351"/>
        <v>251</v>
      </c>
      <c r="BK439" s="192">
        <f t="shared" ca="1" si="351"/>
        <v>1462</v>
      </c>
      <c r="BL439" s="192">
        <f t="shared" ca="1" si="352"/>
        <v>226</v>
      </c>
      <c r="BM439" s="192">
        <f t="shared" ca="1" si="352"/>
        <v>112</v>
      </c>
      <c r="BN439" s="192">
        <f t="shared" ca="1" si="352"/>
        <v>50</v>
      </c>
      <c r="BO439" s="192">
        <f t="shared" ca="1" si="352"/>
        <v>50</v>
      </c>
      <c r="BP439" s="192" t="str">
        <f t="shared" ca="1" si="352"/>
        <v>V7</v>
      </c>
      <c r="BQ439" s="192" t="str">
        <f t="shared" ca="1" si="352"/>
        <v>DICOTA</v>
      </c>
      <c r="BR439" s="192" t="str">
        <f t="shared" ca="1" si="352"/>
        <v>CoreParts</v>
      </c>
      <c r="BS439" s="192" t="str">
        <f t="shared" ca="1" si="352"/>
        <v>HP</v>
      </c>
      <c r="BT439" s="192" t="str">
        <f t="shared" ca="1" si="352"/>
        <v xml:space="preserve"> CSE14-BLK-3E  -Fodral för bärbar dator - 14" - svart</v>
      </c>
      <c r="BU439" s="192" t="str">
        <f t="shared" ca="1" si="352"/>
        <v>D70513 - Sekretessfilter till bärbar dator - 2-vägs - borttagbar - lim - 14 tum bred - svart</v>
      </c>
      <c r="BV439" s="192" t="str">
        <f t="shared" ca="1" si="352"/>
        <v>MBXUSBC-AC0005 - USB-C - strömadapter 45 Watt</v>
      </c>
      <c r="BW439" s="192" t="str">
        <f t="shared" ca="1" si="352"/>
        <v>72C71AA#ABB - Essential - dockningsstation</v>
      </c>
      <c r="BX439" s="192"/>
      <c r="BY439" s="192" t="str">
        <f t="shared" ca="1" si="353"/>
        <v>Advania Sverige AB</v>
      </c>
      <c r="BZ439" s="192" t="str">
        <f t="shared" ca="1" si="353"/>
        <v>HP</v>
      </c>
      <c r="CA439" s="185"/>
      <c r="CB439" s="185" t="s">
        <v>65</v>
      </c>
      <c r="CC439" s="185">
        <v>0</v>
      </c>
      <c r="CD439" s="185"/>
      <c r="CE439" s="185"/>
      <c r="CF439" s="185">
        <v>0</v>
      </c>
      <c r="CG439" s="185"/>
      <c r="CH439" s="185"/>
      <c r="CI439" s="185"/>
      <c r="CJ439" s="186">
        <v>0</v>
      </c>
      <c r="CK439" s="185"/>
      <c r="CL439" s="185"/>
      <c r="CM439" s="185"/>
      <c r="CN439" s="185"/>
    </row>
    <row r="440" spans="2:92" ht="22.5" customHeight="1" outlineLevel="1" x14ac:dyDescent="0.35">
      <c r="C440" s="61" t="s">
        <v>4</v>
      </c>
      <c r="D440" s="64"/>
      <c r="F440" s="80" t="str">
        <f t="shared" si="354"/>
        <v/>
      </c>
      <c r="G440" s="81" t="str">
        <f t="shared" ca="1" si="355"/>
        <v>AMD Ryzen 5</v>
      </c>
      <c r="H440" s="81" t="str">
        <f t="shared" ca="1" si="355"/>
        <v>AMD Ryzen 5</v>
      </c>
      <c r="I440" s="120" t="str">
        <f t="shared" ca="1" si="355"/>
        <v>AMD Ryzen 7</v>
      </c>
      <c r="J440" s="62"/>
      <c r="K440" s="196">
        <f t="shared" ca="1" si="356"/>
        <v>0</v>
      </c>
      <c r="L440" s="185" t="b">
        <f t="shared" si="330"/>
        <v>1</v>
      </c>
      <c r="M440" s="185" t="s">
        <v>167</v>
      </c>
      <c r="N440" s="185" t="e">
        <f t="shared" ca="1" si="331"/>
        <v>#N/A</v>
      </c>
      <c r="O440" s="196" cm="1">
        <f t="array" aca="1" ref="O440" ca="1">MIN(IF(($BY$436:$BY$459=M440)*($AQ$436:$AQ$459=$O$433),$Z$436:$Z$459))</f>
        <v>0</v>
      </c>
      <c r="P440" s="197"/>
      <c r="Q440" s="185">
        <f t="shared" si="332"/>
        <v>0</v>
      </c>
      <c r="R440" s="185">
        <f t="shared" si="333"/>
        <v>0</v>
      </c>
      <c r="S440" s="185">
        <f t="shared" si="334"/>
        <v>0</v>
      </c>
      <c r="T440" s="185">
        <f t="shared" si="335"/>
        <v>0</v>
      </c>
      <c r="U440" s="185">
        <f t="shared" si="336"/>
        <v>0</v>
      </c>
      <c r="V440" s="185">
        <f t="shared" si="337"/>
        <v>0</v>
      </c>
      <c r="W440" s="185">
        <f t="shared" si="338"/>
        <v>0</v>
      </c>
      <c r="X440" s="185">
        <f t="shared" si="339"/>
        <v>0</v>
      </c>
      <c r="Y440" s="185">
        <f t="shared" si="340"/>
        <v>0</v>
      </c>
      <c r="Z440" s="196">
        <f t="shared" ca="1" si="341"/>
        <v>11724</v>
      </c>
      <c r="AA440" s="185" t="str">
        <f t="shared" ca="1" si="342"/>
        <v>Offererad produktnr. 01Atea Sverige AB</v>
      </c>
      <c r="AB440" s="185"/>
      <c r="AC440" s="185" t="b">
        <f ca="1">IFERROR(IF(D440="",TRUE,
IF(OR(D440=$CB$12,D440=$CB$13),IF(LEFT(AS440,FIND(" ",AS440)-1)=D440,TRUE,FALSE),
IF(OFFSET(Processor!$AB$1,MATCH($AS440,Processor!$AA$2:$AA$23,0),MATCH(LEFT(D440,FIND(" ",D440)-1),Processor!$AC$1:$AG$1,0))&gt;=
OFFSET(Processor!$AB$1,MATCH(D440,Processor!$AA$2:$AA$23,0),MATCH(LEFT(D440,FIND(" ",D440)-1),Processor!$AC$1:$AG$1,0)),TRUE,FALSE))),FALSE)</f>
        <v>1</v>
      </c>
      <c r="AD440" s="185" t="b">
        <f t="shared" si="343"/>
        <v>1</v>
      </c>
      <c r="AE440" s="185" t="b">
        <f t="shared" si="344"/>
        <v>1</v>
      </c>
      <c r="AF440" s="185" t="b">
        <f>IF($D$438="",TRUE,IF(COUNTIF(Processor!$I$2:$I$9,$D$438)&gt;0,AND(AV440&gt;INDEX(Processor!$J$2:$J$9,MATCH($D$438,Processor!$I$2:$I$9,0)),AV440&lt;INDEX(Processor!$K$2:$K$9,MATCH($D$438,Processor!$I$2:$I$9,0))),IF(AV440=$D$438,TRUE,FALSE)))</f>
        <v>1</v>
      </c>
      <c r="AG440" s="185" t="b">
        <f t="shared" si="345"/>
        <v>1</v>
      </c>
      <c r="AH440" s="185" t="b">
        <f t="shared" si="346"/>
        <v>1</v>
      </c>
      <c r="AI440" s="185" t="b">
        <f t="shared" si="347"/>
        <v>1</v>
      </c>
      <c r="AJ440" s="185" t="b">
        <f t="shared" si="348"/>
        <v>1</v>
      </c>
      <c r="AK440" s="185" t="b">
        <f t="shared" si="349"/>
        <v>1</v>
      </c>
      <c r="AL440" s="185" t="b">
        <f>IFERROR(IF($D449="",TRUE,IF(MID(BC440,LEN(BC440)-2,1)*1&gt;=MID($D449,LEN($D449)-2,1)*1,TRUE,FALSE)),FALSE)</f>
        <v>1</v>
      </c>
      <c r="AM440" s="185" t="b">
        <f>IF(D448="",TRUE,IF(BB440&gt;=D448,TRUE,FALSE))</f>
        <v>1</v>
      </c>
      <c r="AN440" s="185"/>
      <c r="AO440" s="185"/>
      <c r="AP440" s="185" t="s">
        <v>186</v>
      </c>
      <c r="AQ440" s="185">
        <v>1</v>
      </c>
      <c r="AR440" s="185" t="str">
        <f t="shared" ca="1" si="350"/>
        <v>1920x1080</v>
      </c>
      <c r="AS440" s="185" t="str">
        <f t="shared" ca="1" si="350"/>
        <v>Intel i5 Gen 13</v>
      </c>
      <c r="AT440" s="185">
        <f t="shared" ca="1" si="350"/>
        <v>16</v>
      </c>
      <c r="AU440" s="185">
        <f t="shared" ca="1" si="350"/>
        <v>256</v>
      </c>
      <c r="AV440" s="185">
        <f t="shared" ca="1" si="350"/>
        <v>14</v>
      </c>
      <c r="AW440" s="185">
        <f t="shared" ca="1" si="350"/>
        <v>4</v>
      </c>
      <c r="AX440" s="185">
        <f t="shared" ca="1" si="350"/>
        <v>2</v>
      </c>
      <c r="AY440" s="185" t="str">
        <f t="shared" ca="1" si="350"/>
        <v>Ja, HDMI-port finns</v>
      </c>
      <c r="AZ440" s="185" t="str">
        <f t="shared" ca="1" si="350"/>
        <v>802.11a/b/g/n/ac/ax</v>
      </c>
      <c r="BA440" s="185">
        <f t="shared" ca="1" si="350"/>
        <v>5.2</v>
      </c>
      <c r="BB440" s="185">
        <f t="shared" ca="1" si="351"/>
        <v>8</v>
      </c>
      <c r="BC440" s="185" t="str">
        <f t="shared" ca="1" si="351"/>
        <v>Version 8.0</v>
      </c>
      <c r="BD440" s="185" t="str">
        <f t="shared" ca="1" si="351"/>
        <v>Ja</v>
      </c>
      <c r="BE440" s="185" t="str">
        <f t="shared" ca="1" si="351"/>
        <v>Windows 11 Pro</v>
      </c>
      <c r="BF440" s="185" t="str">
        <f t="shared" ca="1" si="351"/>
        <v>Elitebook 640 G10</v>
      </c>
      <c r="BG440" s="185">
        <f t="shared" ca="1" si="351"/>
        <v>11724</v>
      </c>
      <c r="BH440" s="192">
        <f t="shared" ca="1" si="351"/>
        <v>134</v>
      </c>
      <c r="BI440" s="192">
        <f t="shared" ca="1" si="351"/>
        <v>449</v>
      </c>
      <c r="BJ440" s="192">
        <f t="shared" ca="1" si="351"/>
        <v>241</v>
      </c>
      <c r="BK440" s="192">
        <f t="shared" ca="1" si="351"/>
        <v>1788</v>
      </c>
      <c r="BL440" s="192">
        <f t="shared" ca="1" si="352"/>
        <v>706</v>
      </c>
      <c r="BM440" s="192">
        <f t="shared" ca="1" si="352"/>
        <v>120</v>
      </c>
      <c r="BN440" s="192">
        <f t="shared" ca="1" si="352"/>
        <v>85</v>
      </c>
      <c r="BO440" s="192">
        <f t="shared" ca="1" si="352"/>
        <v>100</v>
      </c>
      <c r="BP440" s="192" t="str">
        <f t="shared" ca="1" si="352"/>
        <v>DELTACO</v>
      </c>
      <c r="BQ440" s="192" t="str">
        <f t="shared" ca="1" si="352"/>
        <v>Targus</v>
      </c>
      <c r="BR440" s="192" t="str">
        <f t="shared" ca="1" si="352"/>
        <v>HP</v>
      </c>
      <c r="BS440" s="192" t="str">
        <f t="shared" ca="1" si="352"/>
        <v>HP</v>
      </c>
      <c r="BT440" s="192" t="str">
        <f t="shared" ca="1" si="352"/>
        <v>Fodral för bärbar dator</v>
      </c>
      <c r="BU440" s="192" t="str">
        <f t="shared" ca="1" si="352"/>
        <v>Targus Privacy Screen 14" Widescreen</v>
      </c>
      <c r="BV440" s="192" t="str">
        <f t="shared" ca="1" si="352"/>
        <v>HP 65W Smart AC Adapter</v>
      </c>
      <c r="BW440" s="192" t="str">
        <f t="shared" ca="1" si="352"/>
        <v>HP USB-C Dock G5 Essential</v>
      </c>
      <c r="BX440" s="192"/>
      <c r="BY440" s="192" t="str">
        <f t="shared" ca="1" si="353"/>
        <v>Atea Sverige AB</v>
      </c>
      <c r="BZ440" s="192" t="str">
        <f t="shared" ca="1" si="353"/>
        <v>HP</v>
      </c>
      <c r="CA440" s="185"/>
      <c r="CB440" s="185" t="s">
        <v>66</v>
      </c>
      <c r="CC440" s="185"/>
      <c r="CD440" s="185"/>
      <c r="CE440" s="185"/>
      <c r="CF440" s="185"/>
      <c r="CG440" s="185"/>
      <c r="CH440" s="185"/>
      <c r="CI440" s="185"/>
      <c r="CJ440" s="185"/>
      <c r="CK440" s="185"/>
      <c r="CL440" s="185"/>
      <c r="CM440" s="185"/>
      <c r="CN440" s="185"/>
    </row>
    <row r="441" spans="2:92" ht="22.5" customHeight="1" outlineLevel="1" x14ac:dyDescent="0.35">
      <c r="C441" s="61" t="s">
        <v>119</v>
      </c>
      <c r="D441" s="64"/>
      <c r="F441" s="80" t="str">
        <f t="shared" si="354"/>
        <v/>
      </c>
      <c r="G441" s="81">
        <f t="shared" ca="1" si="355"/>
        <v>8</v>
      </c>
      <c r="H441" s="81">
        <f t="shared" ca="1" si="355"/>
        <v>8</v>
      </c>
      <c r="I441" s="120">
        <f t="shared" ca="1" si="355"/>
        <v>16</v>
      </c>
      <c r="J441" s="62"/>
      <c r="K441" s="196">
        <f t="shared" ca="1" si="356"/>
        <v>0</v>
      </c>
      <c r="L441" s="185" t="b">
        <f t="shared" si="330"/>
        <v>1</v>
      </c>
      <c r="M441" s="185" t="s">
        <v>546</v>
      </c>
      <c r="N441" s="185" t="str">
        <f t="shared" ca="1" si="331"/>
        <v>Offererad produktnr. 01Qlosr Göteborg AB</v>
      </c>
      <c r="O441" s="196" cm="1">
        <f t="array" aca="1" ref="O441" ca="1">MIN(IF(($BY$436:$BY$459=M441)*($AQ$436:$AQ$459=$O$433),$Z$436:$Z$459))</f>
        <v>6420</v>
      </c>
      <c r="P441" s="197"/>
      <c r="Q441" s="185">
        <f t="shared" si="332"/>
        <v>0</v>
      </c>
      <c r="R441" s="185">
        <f t="shared" si="333"/>
        <v>0</v>
      </c>
      <c r="S441" s="185">
        <f t="shared" si="334"/>
        <v>0</v>
      </c>
      <c r="T441" s="185">
        <f t="shared" si="335"/>
        <v>0</v>
      </c>
      <c r="U441" s="185">
        <f t="shared" si="336"/>
        <v>0</v>
      </c>
      <c r="V441" s="185">
        <f t="shared" si="337"/>
        <v>0</v>
      </c>
      <c r="W441" s="185">
        <f t="shared" si="338"/>
        <v>0</v>
      </c>
      <c r="X441" s="185">
        <f t="shared" si="339"/>
        <v>0</v>
      </c>
      <c r="Y441" s="185">
        <f t="shared" si="340"/>
        <v>0</v>
      </c>
      <c r="Z441" s="196">
        <f t="shared" ca="1" si="341"/>
        <v>14238</v>
      </c>
      <c r="AA441" s="185" t="str">
        <f t="shared" ca="1" si="342"/>
        <v>Offererad produktnr. 02Atea Sverige AB</v>
      </c>
      <c r="AB441" s="185"/>
      <c r="AC441" s="185" t="b">
        <f ca="1">IFERROR(IF(D440="",TRUE,
IF(OR(D440=$CB$12,D440=$CB$13),IF(LEFT(AS441,FIND(" ",AS441)-1)=D440,TRUE,FALSE),
IF(OFFSET(Processor!$AB$1,MATCH($AS441,Processor!$AA$2:$AA$23,0),MATCH(LEFT(D440,FIND(" ",D440)-1),Processor!$AC$1:$AG$1,0))&gt;=
OFFSET(Processor!$AB$1,MATCH(D440,Processor!$AA$2:$AA$23,0),MATCH(LEFT(D440,FIND(" ",D440)-1),Processor!$AC$1:$AG$1,0)),TRUE,FALSE))),FALSE)</f>
        <v>1</v>
      </c>
      <c r="AD441" s="185" t="b">
        <f t="shared" si="343"/>
        <v>1</v>
      </c>
      <c r="AE441" s="185" t="b">
        <f t="shared" si="344"/>
        <v>1</v>
      </c>
      <c r="AF441" s="185" t="b">
        <f>IF($D$438="",TRUE,IF(COUNTIF(Processor!$I$2:$I$9,$D$438)&gt;0,AND(AV441&gt;INDEX(Processor!$J$2:$J$9,MATCH($D$438,Processor!$I$2:$I$9,0)),AV441&lt;INDEX(Processor!$K$2:$K$9,MATCH($D$438,Processor!$I$2:$I$9,0))),IF(AV441=$D$438,TRUE,FALSE)))</f>
        <v>1</v>
      </c>
      <c r="AG441" s="185" t="b">
        <f t="shared" si="345"/>
        <v>1</v>
      </c>
      <c r="AH441" s="185" t="b">
        <f t="shared" si="346"/>
        <v>1</v>
      </c>
      <c r="AI441" s="185" t="b">
        <f t="shared" si="347"/>
        <v>1</v>
      </c>
      <c r="AJ441" s="185" t="b">
        <f t="shared" si="348"/>
        <v>1</v>
      </c>
      <c r="AK441" s="185" t="b">
        <f t="shared" si="349"/>
        <v>1</v>
      </c>
      <c r="AL441" s="185" t="b">
        <f>IFERROR(IF($D449="",TRUE,IF(MID(BC441,LEN(BC441)-2,1)*1&gt;=MID($D449,LEN($D449)-2,1)*1,TRUE,FALSE)),FALSE)</f>
        <v>1</v>
      </c>
      <c r="AM441" s="185" t="b">
        <f>IF(D448="",TRUE,IF(BB441&gt;=D448,TRUE,FALSE))</f>
        <v>1</v>
      </c>
      <c r="AN441" s="185"/>
      <c r="AO441" s="185"/>
      <c r="AP441" s="185" t="s">
        <v>187</v>
      </c>
      <c r="AQ441" s="185">
        <v>1</v>
      </c>
      <c r="AR441" s="185" t="str">
        <f t="shared" ca="1" si="350"/>
        <v>1920x1200</v>
      </c>
      <c r="AS441" s="185" t="str">
        <f t="shared" ca="1" si="350"/>
        <v>Intel i5 Gen 13</v>
      </c>
      <c r="AT441" s="185">
        <f t="shared" ca="1" si="350"/>
        <v>16</v>
      </c>
      <c r="AU441" s="185">
        <f t="shared" ca="1" si="350"/>
        <v>256</v>
      </c>
      <c r="AV441" s="185">
        <f t="shared" ca="1" si="350"/>
        <v>14</v>
      </c>
      <c r="AW441" s="185">
        <f t="shared" ca="1" si="350"/>
        <v>4</v>
      </c>
      <c r="AX441" s="185">
        <f t="shared" ca="1" si="350"/>
        <v>2</v>
      </c>
      <c r="AY441" s="185" t="str">
        <f t="shared" ca="1" si="350"/>
        <v>Ja, HDMI-port finns</v>
      </c>
      <c r="AZ441" s="185" t="str">
        <f t="shared" ca="1" si="350"/>
        <v>802.11a/b/g/n/ac/ax</v>
      </c>
      <c r="BA441" s="185">
        <f t="shared" ca="1" si="350"/>
        <v>5.3</v>
      </c>
      <c r="BB441" s="185">
        <f t="shared" ca="1" si="351"/>
        <v>8</v>
      </c>
      <c r="BC441" s="185" t="str">
        <f t="shared" ca="1" si="351"/>
        <v>Version 8.0</v>
      </c>
      <c r="BD441" s="185" t="str">
        <f t="shared" ca="1" si="351"/>
        <v>Ja</v>
      </c>
      <c r="BE441" s="185" t="str">
        <f t="shared" ca="1" si="351"/>
        <v>Windows 11 Pro</v>
      </c>
      <c r="BF441" s="185" t="str">
        <f t="shared" ca="1" si="351"/>
        <v>Elitebook 840 G10</v>
      </c>
      <c r="BG441" s="185">
        <f t="shared" ca="1" si="351"/>
        <v>14238</v>
      </c>
      <c r="BH441" s="192">
        <f t="shared" ca="1" si="351"/>
        <v>134</v>
      </c>
      <c r="BI441" s="192">
        <f t="shared" ca="1" si="351"/>
        <v>449</v>
      </c>
      <c r="BJ441" s="192">
        <f t="shared" ca="1" si="351"/>
        <v>241</v>
      </c>
      <c r="BK441" s="192">
        <f t="shared" ca="1" si="351"/>
        <v>1788</v>
      </c>
      <c r="BL441" s="192">
        <f t="shared" ca="1" si="352"/>
        <v>2039</v>
      </c>
      <c r="BM441" s="192">
        <f t="shared" ca="1" si="352"/>
        <v>120</v>
      </c>
      <c r="BN441" s="192">
        <f t="shared" ca="1" si="352"/>
        <v>85</v>
      </c>
      <c r="BO441" s="192">
        <f t="shared" ca="1" si="352"/>
        <v>100</v>
      </c>
      <c r="BP441" s="192" t="str">
        <f t="shared" ca="1" si="352"/>
        <v>DELTACO</v>
      </c>
      <c r="BQ441" s="192" t="str">
        <f t="shared" ca="1" si="352"/>
        <v>Targus</v>
      </c>
      <c r="BR441" s="192" t="str">
        <f t="shared" ca="1" si="352"/>
        <v>HP</v>
      </c>
      <c r="BS441" s="192" t="str">
        <f t="shared" ca="1" si="352"/>
        <v>HP</v>
      </c>
      <c r="BT441" s="192" t="str">
        <f t="shared" ca="1" si="352"/>
        <v>Fodral för bärbar dator</v>
      </c>
      <c r="BU441" s="192" t="str">
        <f t="shared" ca="1" si="352"/>
        <v>Targus Privacy Screen 14" Widescreen</v>
      </c>
      <c r="BV441" s="192" t="str">
        <f t="shared" ca="1" si="352"/>
        <v>HP 65W Smart AC Adapter</v>
      </c>
      <c r="BW441" s="192" t="str">
        <f t="shared" ca="1" si="352"/>
        <v>HP USB-C Dock G5 Essential</v>
      </c>
      <c r="BX441" s="192"/>
      <c r="BY441" s="192" t="str">
        <f t="shared" ca="1" si="353"/>
        <v>Atea Sverige AB</v>
      </c>
      <c r="BZ441" s="192" t="str">
        <f t="shared" ca="1" si="353"/>
        <v>HP</v>
      </c>
      <c r="CA441" s="185"/>
      <c r="CB441" s="185" t="s">
        <v>63</v>
      </c>
      <c r="CC441" s="185"/>
      <c r="CD441" s="185"/>
      <c r="CE441" s="185"/>
      <c r="CF441" s="185"/>
      <c r="CG441" s="185"/>
      <c r="CH441" s="185"/>
      <c r="CI441" s="185"/>
      <c r="CJ441" s="186"/>
      <c r="CK441" s="185"/>
      <c r="CL441" s="185"/>
      <c r="CM441" s="185"/>
      <c r="CN441" s="185"/>
    </row>
    <row r="442" spans="2:92" ht="22.5" customHeight="1" outlineLevel="1" x14ac:dyDescent="0.35">
      <c r="C442" s="61" t="s">
        <v>16</v>
      </c>
      <c r="D442" s="64"/>
      <c r="F442" s="80" t="str">
        <f t="shared" si="354"/>
        <v/>
      </c>
      <c r="G442" s="81">
        <f t="shared" ca="1" si="355"/>
        <v>256</v>
      </c>
      <c r="H442" s="81">
        <f t="shared" ca="1" si="355"/>
        <v>256</v>
      </c>
      <c r="I442" s="120">
        <f t="shared" ca="1" si="355"/>
        <v>512</v>
      </c>
      <c r="J442" s="62"/>
      <c r="Q442" s="185">
        <f t="shared" si="332"/>
        <v>0</v>
      </c>
      <c r="R442" s="185">
        <f t="shared" si="333"/>
        <v>0</v>
      </c>
      <c r="S442" s="185">
        <f t="shared" si="334"/>
        <v>0</v>
      </c>
      <c r="T442" s="185">
        <f t="shared" si="335"/>
        <v>0</v>
      </c>
      <c r="U442" s="185">
        <f t="shared" si="336"/>
        <v>0</v>
      </c>
      <c r="V442" s="185">
        <f t="shared" si="337"/>
        <v>0</v>
      </c>
      <c r="W442" s="185">
        <f t="shared" si="338"/>
        <v>0</v>
      </c>
      <c r="X442" s="185">
        <f t="shared" si="339"/>
        <v>0</v>
      </c>
      <c r="Y442" s="185">
        <f t="shared" si="340"/>
        <v>0</v>
      </c>
      <c r="Z442" s="196">
        <f t="shared" ca="1" si="341"/>
        <v>13908</v>
      </c>
      <c r="AA442" s="185" t="str">
        <f t="shared" ca="1" si="342"/>
        <v>Offererad produktnr. 03Atea Sverige AB</v>
      </c>
      <c r="AB442" s="185"/>
      <c r="AC442" s="185" t="b">
        <f ca="1">IFERROR(IF(D440="",TRUE,
IF(OR(D440=$CB$12,D440=$CB$13),IF(LEFT(AS442,FIND(" ",AS442)-1)=D440,TRUE,FALSE),
IF(OFFSET(Processor!$AB$1,MATCH($AS442,Processor!$AA$2:$AA$23,0),MATCH(LEFT(D440,FIND(" ",D440)-1),Processor!$AC$1:$AG$1,0))&gt;=
OFFSET(Processor!$AB$1,MATCH(D440,Processor!$AA$2:$AA$23,0),MATCH(LEFT(D440,FIND(" ",D440)-1),Processor!$AC$1:$AG$1,0)),TRUE,FALSE))),FALSE)</f>
        <v>1</v>
      </c>
      <c r="AD442" s="185" t="b">
        <f t="shared" si="343"/>
        <v>1</v>
      </c>
      <c r="AE442" s="185" t="b">
        <f t="shared" si="344"/>
        <v>1</v>
      </c>
      <c r="AF442" s="185" t="b">
        <f>IF($D$438="",TRUE,IF(COUNTIF(Processor!$I$2:$I$9,$D$438)&gt;0,AND(AV442&gt;INDEX(Processor!$J$2:$J$9,MATCH($D$438,Processor!$I$2:$I$9,0)),AV442&lt;INDEX(Processor!$K$2:$K$9,MATCH($D$438,Processor!$I$2:$I$9,0))),IF(AV442=$D$438,TRUE,FALSE)))</f>
        <v>1</v>
      </c>
      <c r="AG442" s="185" t="b">
        <f t="shared" si="345"/>
        <v>1</v>
      </c>
      <c r="AH442" s="185" t="b">
        <f t="shared" si="346"/>
        <v>1</v>
      </c>
      <c r="AI442" s="185" t="b">
        <f t="shared" si="347"/>
        <v>1</v>
      </c>
      <c r="AJ442" s="185" t="b">
        <f t="shared" si="348"/>
        <v>1</v>
      </c>
      <c r="AK442" s="185" t="b">
        <f t="shared" si="349"/>
        <v>1</v>
      </c>
      <c r="AL442" s="185" t="b">
        <f>IFERROR(IF($D449="",TRUE,IF(MID(BC442,LEN(BC442)-2,1)*1&gt;=MID($D449,LEN($D449)-2,1)*1,TRUE,FALSE)),FALSE)</f>
        <v>1</v>
      </c>
      <c r="AM442" s="185" t="b">
        <f>IF(D448="",TRUE,IF(BB442&gt;=D448,TRUE,FALSE))</f>
        <v>1</v>
      </c>
      <c r="AN442" s="185"/>
      <c r="AO442" s="185"/>
      <c r="AP442" s="185" t="s">
        <v>188</v>
      </c>
      <c r="AQ442" s="185">
        <v>1</v>
      </c>
      <c r="AR442" s="185" t="str">
        <f t="shared" ca="1" si="350"/>
        <v>1920x1080</v>
      </c>
      <c r="AS442" s="185" t="str">
        <f t="shared" ca="1" si="350"/>
        <v>Intel i7 Gen 13</v>
      </c>
      <c r="AT442" s="185">
        <f t="shared" ca="1" si="350"/>
        <v>16</v>
      </c>
      <c r="AU442" s="185">
        <f t="shared" ca="1" si="350"/>
        <v>512</v>
      </c>
      <c r="AV442" s="185">
        <f t="shared" ca="1" si="350"/>
        <v>14</v>
      </c>
      <c r="AW442" s="185">
        <f t="shared" ca="1" si="350"/>
        <v>4</v>
      </c>
      <c r="AX442" s="185">
        <f t="shared" ca="1" si="350"/>
        <v>2</v>
      </c>
      <c r="AY442" s="185" t="str">
        <f t="shared" ca="1" si="350"/>
        <v>Ja, HDMI-port finns</v>
      </c>
      <c r="AZ442" s="185" t="str">
        <f t="shared" ca="1" si="350"/>
        <v>802.11a/b/g/n/ac/ax</v>
      </c>
      <c r="BA442" s="185">
        <f t="shared" ca="1" si="350"/>
        <v>5.3</v>
      </c>
      <c r="BB442" s="185">
        <f t="shared" ca="1" si="351"/>
        <v>8</v>
      </c>
      <c r="BC442" s="185" t="str">
        <f t="shared" ca="1" si="351"/>
        <v>Version 8.0</v>
      </c>
      <c r="BD442" s="185" t="str">
        <f t="shared" ca="1" si="351"/>
        <v>Ja</v>
      </c>
      <c r="BE442" s="185" t="str">
        <f t="shared" ca="1" si="351"/>
        <v>Windows 11 Pro</v>
      </c>
      <c r="BF442" s="185" t="str">
        <f t="shared" ca="1" si="351"/>
        <v>Probook 440 G10</v>
      </c>
      <c r="BG442" s="185">
        <f t="shared" ca="1" si="351"/>
        <v>13908</v>
      </c>
      <c r="BH442" s="192">
        <f t="shared" ca="1" si="351"/>
        <v>134</v>
      </c>
      <c r="BI442" s="192">
        <f t="shared" ca="1" si="351"/>
        <v>449</v>
      </c>
      <c r="BJ442" s="192">
        <f t="shared" ca="1" si="351"/>
        <v>241</v>
      </c>
      <c r="BK442" s="192">
        <f t="shared" ca="1" si="351"/>
        <v>1788</v>
      </c>
      <c r="BL442" s="192">
        <f t="shared" ca="1" si="352"/>
        <v>706</v>
      </c>
      <c r="BM442" s="192">
        <f t="shared" ca="1" si="352"/>
        <v>120</v>
      </c>
      <c r="BN442" s="192">
        <f t="shared" ca="1" si="352"/>
        <v>85</v>
      </c>
      <c r="BO442" s="192">
        <f t="shared" ca="1" si="352"/>
        <v>100</v>
      </c>
      <c r="BP442" s="192" t="str">
        <f t="shared" ca="1" si="352"/>
        <v>DELTACO</v>
      </c>
      <c r="BQ442" s="192" t="str">
        <f t="shared" ca="1" si="352"/>
        <v>Targus</v>
      </c>
      <c r="BR442" s="192" t="str">
        <f t="shared" ca="1" si="352"/>
        <v>HP</v>
      </c>
      <c r="BS442" s="192" t="str">
        <f t="shared" ca="1" si="352"/>
        <v>HP</v>
      </c>
      <c r="BT442" s="192" t="str">
        <f t="shared" ca="1" si="352"/>
        <v>Fodral för bärbar dator</v>
      </c>
      <c r="BU442" s="192" t="str">
        <f t="shared" ca="1" si="352"/>
        <v>Targus Privacy Screen 14" Widescreen</v>
      </c>
      <c r="BV442" s="192" t="str">
        <f t="shared" ca="1" si="352"/>
        <v>HP 65W Smart AC Adapter</v>
      </c>
      <c r="BW442" s="192" t="str">
        <f t="shared" ca="1" si="352"/>
        <v>HP USB-C Dock G5 Essential</v>
      </c>
      <c r="BX442" s="192"/>
      <c r="BY442" s="192" t="str">
        <f t="shared" ca="1" si="353"/>
        <v>Atea Sverige AB</v>
      </c>
      <c r="BZ442" s="192" t="str">
        <f t="shared" ca="1" si="353"/>
        <v>HP</v>
      </c>
      <c r="CA442" s="185"/>
      <c r="CB442" s="185" t="s">
        <v>569</v>
      </c>
      <c r="CC442" s="185"/>
      <c r="CD442" s="185"/>
      <c r="CE442" s="185"/>
      <c r="CF442" s="185"/>
      <c r="CG442" s="185"/>
      <c r="CH442" s="185"/>
      <c r="CI442" s="185"/>
      <c r="CJ442" s="185"/>
      <c r="CK442" s="185"/>
      <c r="CL442" s="185"/>
      <c r="CM442" s="185"/>
      <c r="CN442" s="185"/>
    </row>
    <row r="443" spans="2:92" ht="22.5" customHeight="1" outlineLevel="1" x14ac:dyDescent="0.35">
      <c r="C443" s="61" t="s">
        <v>67</v>
      </c>
      <c r="D443" s="64"/>
      <c r="F443" s="80" t="str">
        <f t="shared" si="354"/>
        <v/>
      </c>
      <c r="G443" s="81">
        <f t="shared" ca="1" si="355"/>
        <v>4</v>
      </c>
      <c r="H443" s="81">
        <f t="shared" ca="1" si="355"/>
        <v>3</v>
      </c>
      <c r="I443" s="120">
        <f t="shared" ca="1" si="355"/>
        <v>4</v>
      </c>
      <c r="J443" s="62"/>
      <c r="Q443" s="185">
        <f t="shared" si="332"/>
        <v>0</v>
      </c>
      <c r="R443" s="185">
        <f t="shared" si="333"/>
        <v>0</v>
      </c>
      <c r="S443" s="185">
        <f t="shared" si="334"/>
        <v>0</v>
      </c>
      <c r="T443" s="185">
        <f t="shared" si="335"/>
        <v>0</v>
      </c>
      <c r="U443" s="185">
        <f t="shared" si="336"/>
        <v>0</v>
      </c>
      <c r="V443" s="185">
        <f t="shared" si="337"/>
        <v>0</v>
      </c>
      <c r="W443" s="185">
        <f t="shared" si="338"/>
        <v>0</v>
      </c>
      <c r="X443" s="185">
        <f t="shared" si="339"/>
        <v>0</v>
      </c>
      <c r="Y443" s="185">
        <f t="shared" si="340"/>
        <v>0</v>
      </c>
      <c r="Z443" s="196">
        <f t="shared" ca="1" si="341"/>
        <v>15588</v>
      </c>
      <c r="AA443" s="185" t="str">
        <f t="shared" ca="1" si="342"/>
        <v>Offererad produktnr. 04Atea Sverige AB</v>
      </c>
      <c r="AB443" s="185"/>
      <c r="AC443" s="185" t="b">
        <f ca="1">IFERROR(IF(D440="",TRUE,
IF(OR(D440=$CB$12,D440=$CB$13),IF(LEFT(AS443,FIND(" ",AS443)-1)=D440,TRUE,FALSE),
IF(OFFSET(Processor!$AB$1,MATCH($AS443,Processor!$AA$2:$AA$23,0),MATCH(LEFT(D440,FIND(" ",D440)-1),Processor!$AC$1:$AG$1,0))&gt;=
OFFSET(Processor!$AB$1,MATCH(D440,Processor!$AA$2:$AA$23,0),MATCH(LEFT(D440,FIND(" ",D440)-1),Processor!$AC$1:$AG$1,0)),TRUE,FALSE))),FALSE)</f>
        <v>1</v>
      </c>
      <c r="AD443" s="185" t="b">
        <f t="shared" si="343"/>
        <v>1</v>
      </c>
      <c r="AE443" s="185" t="b">
        <f t="shared" si="344"/>
        <v>1</v>
      </c>
      <c r="AF443" s="185" t="b">
        <f>IF($D$438="",TRUE,IF(COUNTIF(Processor!$I$2:$I$9,$D$438)&gt;0,AND(AV443&gt;INDEX(Processor!$J$2:$J$9,MATCH($D$438,Processor!$I$2:$I$9,0)),AV443&lt;INDEX(Processor!$K$2:$K$9,MATCH($D$438,Processor!$I$2:$I$9,0))),IF(AV443=$D$438,TRUE,FALSE)))</f>
        <v>1</v>
      </c>
      <c r="AG443" s="185" t="b">
        <f t="shared" si="345"/>
        <v>1</v>
      </c>
      <c r="AH443" s="185" t="b">
        <f t="shared" si="346"/>
        <v>1</v>
      </c>
      <c r="AI443" s="185" t="b">
        <f t="shared" si="347"/>
        <v>1</v>
      </c>
      <c r="AJ443" s="185" t="b">
        <f t="shared" si="348"/>
        <v>1</v>
      </c>
      <c r="AK443" s="185" t="b">
        <f t="shared" si="349"/>
        <v>1</v>
      </c>
      <c r="AL443" s="185" t="b">
        <f>IFERROR(IF($D449="",TRUE,IF(MID(BC443,LEN(BC443)-2,1)*1&gt;=MID($D449,LEN($D449)-2,1)*1,TRUE,FALSE)),FALSE)</f>
        <v>1</v>
      </c>
      <c r="AM443" s="185" t="b">
        <f>IF(D448="",TRUE,IF(BB443&gt;=D448,TRUE,FALSE))</f>
        <v>1</v>
      </c>
      <c r="AN443" s="185"/>
      <c r="AO443" s="185"/>
      <c r="AP443" s="185" t="s">
        <v>189</v>
      </c>
      <c r="AQ443" s="185">
        <v>1</v>
      </c>
      <c r="AR443" s="185" t="str">
        <f t="shared" ca="1" si="350"/>
        <v>1920x1080</v>
      </c>
      <c r="AS443" s="185" t="str">
        <f t="shared" ca="1" si="350"/>
        <v>Intel i7 Gen 13</v>
      </c>
      <c r="AT443" s="185">
        <f t="shared" ca="1" si="350"/>
        <v>16</v>
      </c>
      <c r="AU443" s="185">
        <f t="shared" ca="1" si="350"/>
        <v>512</v>
      </c>
      <c r="AV443" s="185">
        <f t="shared" ca="1" si="350"/>
        <v>14</v>
      </c>
      <c r="AW443" s="185">
        <f t="shared" ca="1" si="350"/>
        <v>4</v>
      </c>
      <c r="AX443" s="185">
        <f t="shared" ca="1" si="350"/>
        <v>2</v>
      </c>
      <c r="AY443" s="185" t="str">
        <f t="shared" ca="1" si="350"/>
        <v>Ja, HDMI-port finns</v>
      </c>
      <c r="AZ443" s="185" t="str">
        <f t="shared" ca="1" si="350"/>
        <v>802.11a/b/g/n/ac/ax</v>
      </c>
      <c r="BA443" s="185">
        <f t="shared" ca="1" si="350"/>
        <v>5.2</v>
      </c>
      <c r="BB443" s="185">
        <f t="shared" ca="1" si="351"/>
        <v>8</v>
      </c>
      <c r="BC443" s="185" t="str">
        <f t="shared" ca="1" si="351"/>
        <v>Version 8.0</v>
      </c>
      <c r="BD443" s="185" t="str">
        <f t="shared" ca="1" si="351"/>
        <v>Ja</v>
      </c>
      <c r="BE443" s="185" t="str">
        <f t="shared" ca="1" si="351"/>
        <v>Windows 11 Pro</v>
      </c>
      <c r="BF443" s="185" t="str">
        <f t="shared" ca="1" si="351"/>
        <v>Elitebook 640 G10</v>
      </c>
      <c r="BG443" s="185">
        <f t="shared" ca="1" si="351"/>
        <v>15588</v>
      </c>
      <c r="BH443" s="192">
        <f t="shared" ca="1" si="351"/>
        <v>134</v>
      </c>
      <c r="BI443" s="192">
        <f t="shared" ca="1" si="351"/>
        <v>449</v>
      </c>
      <c r="BJ443" s="192">
        <f t="shared" ca="1" si="351"/>
        <v>241</v>
      </c>
      <c r="BK443" s="192">
        <f t="shared" ca="1" si="351"/>
        <v>1788</v>
      </c>
      <c r="BL443" s="192">
        <f t="shared" ca="1" si="352"/>
        <v>2039</v>
      </c>
      <c r="BM443" s="192">
        <f t="shared" ca="1" si="352"/>
        <v>120</v>
      </c>
      <c r="BN443" s="192">
        <f t="shared" ca="1" si="352"/>
        <v>85</v>
      </c>
      <c r="BO443" s="192">
        <f t="shared" ca="1" si="352"/>
        <v>100</v>
      </c>
      <c r="BP443" s="192" t="str">
        <f t="shared" ca="1" si="352"/>
        <v>DELTACO</v>
      </c>
      <c r="BQ443" s="192" t="str">
        <f t="shared" ca="1" si="352"/>
        <v>Targus</v>
      </c>
      <c r="BR443" s="192" t="str">
        <f t="shared" ca="1" si="352"/>
        <v>HP</v>
      </c>
      <c r="BS443" s="192" t="str">
        <f t="shared" ca="1" si="352"/>
        <v>HP</v>
      </c>
      <c r="BT443" s="192" t="str">
        <f t="shared" ca="1" si="352"/>
        <v>Fodral för bärbar dator</v>
      </c>
      <c r="BU443" s="192" t="str">
        <f t="shared" ca="1" si="352"/>
        <v>Targus Privacy Screen 14" Widescreen</v>
      </c>
      <c r="BV443" s="192" t="str">
        <f t="shared" ca="1" si="352"/>
        <v>HP 65W Smart AC Adapter</v>
      </c>
      <c r="BW443" s="192" t="str">
        <f t="shared" ca="1" si="352"/>
        <v>HP USB-C Dock G5 Essential</v>
      </c>
      <c r="BX443" s="192"/>
      <c r="BY443" s="192" t="str">
        <f t="shared" ca="1" si="353"/>
        <v>Atea Sverige AB</v>
      </c>
      <c r="BZ443" s="192" t="str">
        <f t="shared" ca="1" si="353"/>
        <v>HP</v>
      </c>
      <c r="CA443" s="185"/>
      <c r="CB443" s="185" t="s">
        <v>711</v>
      </c>
      <c r="CC443" s="185"/>
      <c r="CD443" s="185"/>
      <c r="CE443" s="185"/>
      <c r="CF443" s="185"/>
      <c r="CG443" s="185"/>
      <c r="CH443" s="185"/>
      <c r="CI443" s="185"/>
      <c r="CJ443" s="185"/>
      <c r="CK443" s="185"/>
      <c r="CL443" s="185"/>
      <c r="CM443" s="185"/>
      <c r="CN443" s="185"/>
    </row>
    <row r="444" spans="2:92" ht="22.5" customHeight="1" outlineLevel="1" x14ac:dyDescent="0.35">
      <c r="C444" s="61" t="s">
        <v>74</v>
      </c>
      <c r="D444" s="64"/>
      <c r="F444" s="80" t="str">
        <f t="shared" si="354"/>
        <v/>
      </c>
      <c r="G444" s="81">
        <f t="shared" ca="1" si="355"/>
        <v>1</v>
      </c>
      <c r="H444" s="81">
        <f t="shared" ca="1" si="355"/>
        <v>1</v>
      </c>
      <c r="I444" s="120">
        <f t="shared" ca="1" si="355"/>
        <v>1</v>
      </c>
      <c r="J444" s="62"/>
      <c r="Q444" s="185">
        <f t="shared" si="332"/>
        <v>0</v>
      </c>
      <c r="R444" s="185">
        <f t="shared" si="333"/>
        <v>0</v>
      </c>
      <c r="S444" s="185">
        <f t="shared" si="334"/>
        <v>0</v>
      </c>
      <c r="T444" s="185">
        <f t="shared" si="335"/>
        <v>0</v>
      </c>
      <c r="U444" s="185">
        <f t="shared" si="336"/>
        <v>0</v>
      </c>
      <c r="V444" s="185">
        <f t="shared" si="337"/>
        <v>0</v>
      </c>
      <c r="W444" s="185">
        <f t="shared" si="338"/>
        <v>0</v>
      </c>
      <c r="X444" s="185">
        <f t="shared" si="339"/>
        <v>0</v>
      </c>
      <c r="Y444" s="185">
        <f t="shared" si="340"/>
        <v>0</v>
      </c>
      <c r="Z444" s="196">
        <f t="shared" ca="1" si="341"/>
        <v>7599</v>
      </c>
      <c r="AA444" s="185" t="str">
        <f t="shared" ca="1" si="342"/>
        <v>Offererad produktnr. 01Dustin Sverige AB</v>
      </c>
      <c r="AB444" s="185"/>
      <c r="AC444" s="185" t="b">
        <f ca="1">IFERROR(IF(D440="",TRUE,
IF(OR(D440=$CB$12,D440=$CB$13),IF(LEFT(AS444,FIND(" ",AS444)-1)=D440,TRUE,FALSE),
IF(OFFSET(Processor!$AB$1,MATCH($AS444,Processor!$AA$2:$AA$23,0),MATCH(LEFT(D440,FIND(" ",D440)-1),Processor!$AC$1:$AG$1,0))&gt;=
OFFSET(Processor!$AB$1,MATCH(D440,Processor!$AA$2:$AA$23,0),MATCH(LEFT(D440,FIND(" ",D440)-1),Processor!$AC$1:$AG$1,0)),TRUE,FALSE))),FALSE)</f>
        <v>1</v>
      </c>
      <c r="AD444" s="185" t="b">
        <f t="shared" si="343"/>
        <v>1</v>
      </c>
      <c r="AE444" s="185" t="b">
        <f t="shared" si="344"/>
        <v>1</v>
      </c>
      <c r="AF444" s="185" t="b">
        <f>IF($D$438="",TRUE,IF(COUNTIF(Processor!$I$2:$I$9,$D$438)&gt;0,AND(AV444&gt;INDEX(Processor!$J$2:$J$9,MATCH($D$438,Processor!$I$2:$I$9,0)),AV444&lt;INDEX(Processor!$K$2:$K$9,MATCH($D$438,Processor!$I$2:$I$9,0))),IF(AV444=$D$438,TRUE,FALSE)))</f>
        <v>1</v>
      </c>
      <c r="AG444" s="185" t="b">
        <f t="shared" si="345"/>
        <v>1</v>
      </c>
      <c r="AH444" s="185" t="b">
        <f t="shared" si="346"/>
        <v>1</v>
      </c>
      <c r="AI444" s="185" t="b">
        <f t="shared" si="347"/>
        <v>1</v>
      </c>
      <c r="AJ444" s="185" t="b">
        <f t="shared" si="348"/>
        <v>1</v>
      </c>
      <c r="AK444" s="185" t="b">
        <f t="shared" si="349"/>
        <v>1</v>
      </c>
      <c r="AL444" s="185" t="b">
        <f>IFERROR(IF($D449="",TRUE,IF(MID(BC444,LEN(BC444)-2,1)*1&gt;=MID($D449,LEN($D449)-2,1)*1,TRUE,FALSE)),FALSE)</f>
        <v>1</v>
      </c>
      <c r="AM444" s="185" t="b">
        <f>IF(D448="",TRUE,IF(BB444&gt;=D448,TRUE,FALSE))</f>
        <v>1</v>
      </c>
      <c r="AN444" s="185"/>
      <c r="AO444" s="185"/>
      <c r="AP444" s="185" t="s">
        <v>174</v>
      </c>
      <c r="AQ444" s="185">
        <v>1</v>
      </c>
      <c r="AR444" s="185" t="str">
        <f t="shared" ca="1" si="350"/>
        <v>1920x1080</v>
      </c>
      <c r="AS444" s="185" t="str">
        <f t="shared" ca="1" si="350"/>
        <v>AMD Ryzen 5</v>
      </c>
      <c r="AT444" s="185">
        <f t="shared" ca="1" si="350"/>
        <v>8</v>
      </c>
      <c r="AU444" s="185">
        <f t="shared" ca="1" si="350"/>
        <v>256</v>
      </c>
      <c r="AV444" s="185">
        <f t="shared" ca="1" si="350"/>
        <v>14</v>
      </c>
      <c r="AW444" s="185">
        <f t="shared" ca="1" si="350"/>
        <v>3</v>
      </c>
      <c r="AX444" s="185">
        <f t="shared" ca="1" si="350"/>
        <v>1</v>
      </c>
      <c r="AY444" s="185" t="str">
        <f t="shared" ca="1" si="350"/>
        <v>Ja, HDMI-port finns</v>
      </c>
      <c r="AZ444" s="185" t="str">
        <f t="shared" ca="1" si="350"/>
        <v>802.11a/b/g/n/ac/ax</v>
      </c>
      <c r="BA444" s="185">
        <f t="shared" ca="1" si="350"/>
        <v>5.3</v>
      </c>
      <c r="BB444" s="185">
        <f t="shared" ca="1" si="351"/>
        <v>11</v>
      </c>
      <c r="BC444" s="185" t="str">
        <f t="shared" ca="1" si="351"/>
        <v>Version 8.0</v>
      </c>
      <c r="BD444" s="185" t="str">
        <f t="shared" ca="1" si="351"/>
        <v>Ja</v>
      </c>
      <c r="BE444" s="185" t="str">
        <f t="shared" ca="1" si="351"/>
        <v>Windows 11 Pro</v>
      </c>
      <c r="BF444" s="185" t="str">
        <f t="shared" ca="1" si="351"/>
        <v>ProBook 445 G10</v>
      </c>
      <c r="BG444" s="185">
        <f t="shared" ca="1" si="351"/>
        <v>7599</v>
      </c>
      <c r="BH444" s="192">
        <f t="shared" ca="1" si="351"/>
        <v>123</v>
      </c>
      <c r="BI444" s="192">
        <f t="shared" ca="1" si="351"/>
        <v>425</v>
      </c>
      <c r="BJ444" s="192">
        <f t="shared" ca="1" si="351"/>
        <v>149</v>
      </c>
      <c r="BK444" s="192">
        <f t="shared" ca="1" si="351"/>
        <v>1185</v>
      </c>
      <c r="BL444" s="192">
        <f t="shared" ca="1" si="352"/>
        <v>450</v>
      </c>
      <c r="BM444" s="192">
        <f t="shared" ca="1" si="352"/>
        <v>133</v>
      </c>
      <c r="BN444" s="192">
        <f t="shared" ca="1" si="352"/>
        <v>20</v>
      </c>
      <c r="BO444" s="192">
        <f t="shared" ca="1" si="352"/>
        <v>20</v>
      </c>
      <c r="BP444" s="192" t="str">
        <f t="shared" ca="1" si="352"/>
        <v>Cirafon</v>
      </c>
      <c r="BQ444" s="192" t="str">
        <f t="shared" ca="1" si="352"/>
        <v>Cirafon</v>
      </c>
      <c r="BR444" s="192" t="str">
        <f t="shared" ca="1" si="352"/>
        <v>HP</v>
      </c>
      <c r="BS444" s="192" t="str">
        <f t="shared" ca="1" si="352"/>
        <v>HP</v>
      </c>
      <c r="BT444" s="192" t="str">
        <f t="shared" ca="1" si="352"/>
        <v>LSN8696R2-14.1</v>
      </c>
      <c r="BU444" s="192" t="str">
        <f t="shared" ca="1" si="352"/>
        <v>DPF14-9</v>
      </c>
      <c r="BV444" s="192" t="str">
        <f t="shared" ca="1" si="352"/>
        <v xml:space="preserve">1MZ01AA </v>
      </c>
      <c r="BW444" s="192" t="str">
        <f t="shared" ca="1" si="352"/>
        <v>72C71AA</v>
      </c>
      <c r="BX444" s="192"/>
      <c r="BY444" s="192" t="str">
        <f t="shared" ca="1" si="353"/>
        <v>Dustin Sverige AB</v>
      </c>
      <c r="BZ444" s="192" t="str">
        <f t="shared" ca="1" si="353"/>
        <v>HP</v>
      </c>
      <c r="CA444" s="185"/>
      <c r="CB444" s="185" t="s">
        <v>64</v>
      </c>
      <c r="CC444" s="185"/>
      <c r="CD444" s="185"/>
      <c r="CE444" s="185"/>
      <c r="CF444" s="185"/>
      <c r="CG444" s="185"/>
      <c r="CH444" s="185"/>
      <c r="CI444" s="185"/>
      <c r="CJ444" s="185"/>
      <c r="CK444" s="185"/>
      <c r="CL444" s="185"/>
      <c r="CM444" s="185"/>
      <c r="CN444" s="185"/>
    </row>
    <row r="445" spans="2:92" ht="22.5" customHeight="1" outlineLevel="1" x14ac:dyDescent="0.35">
      <c r="C445" s="61" t="s">
        <v>97</v>
      </c>
      <c r="D445" s="64"/>
      <c r="F445" s="80" t="str">
        <f t="shared" si="354"/>
        <v/>
      </c>
      <c r="G445" s="81" t="str">
        <f t="shared" ca="1" si="355"/>
        <v>Ja, HDMI-port finns</v>
      </c>
      <c r="H445" s="81" t="str">
        <f t="shared" ca="1" si="355"/>
        <v>Ja, HDMI-port finns</v>
      </c>
      <c r="I445" s="120" t="str">
        <f t="shared" ca="1" si="355"/>
        <v>Ja, HDMI-port finns</v>
      </c>
      <c r="J445" s="62"/>
      <c r="Q445" s="185">
        <f t="shared" si="332"/>
        <v>0</v>
      </c>
      <c r="R445" s="185">
        <f t="shared" si="333"/>
        <v>0</v>
      </c>
      <c r="S445" s="185">
        <f t="shared" si="334"/>
        <v>0</v>
      </c>
      <c r="T445" s="185">
        <f t="shared" si="335"/>
        <v>0</v>
      </c>
      <c r="U445" s="185">
        <f t="shared" si="336"/>
        <v>0</v>
      </c>
      <c r="V445" s="185">
        <f t="shared" si="337"/>
        <v>0</v>
      </c>
      <c r="W445" s="185">
        <f t="shared" si="338"/>
        <v>0</v>
      </c>
      <c r="X445" s="185">
        <f t="shared" si="339"/>
        <v>0</v>
      </c>
      <c r="Y445" s="185">
        <f t="shared" si="340"/>
        <v>0</v>
      </c>
      <c r="Z445" s="196">
        <f t="shared" ca="1" si="341"/>
        <v>11900</v>
      </c>
      <c r="AA445" s="185" t="str">
        <f t="shared" ca="1" si="342"/>
        <v>Offererad produktnr. 02Dustin Sverige AB</v>
      </c>
      <c r="AB445" s="185"/>
      <c r="AC445" s="198" t="b">
        <f ca="1">IFERROR(IF(D440="",TRUE,
IF(OR(D440=$CB$12,D440=$CB$13),IF(LEFT(AS445,FIND(" ",AS445)-1)=D440,TRUE,FALSE),
IF(OFFSET(Processor!$AB$1,MATCH($AS445,Processor!$AA$2:$AA$23,0),MATCH(LEFT(D440,FIND(" ",D440)-1),Processor!$AC$1:$AG$1,0))&gt;=
OFFSET(Processor!$AB$1,MATCH(D440,Processor!$AA$2:$AA$23,0),MATCH(LEFT(D440,FIND(" ",D440)-1),Processor!$AC$1:$AG$1,0)),TRUE,FALSE))),FALSE)</f>
        <v>1</v>
      </c>
      <c r="AD445" s="185" t="b">
        <f t="shared" si="343"/>
        <v>1</v>
      </c>
      <c r="AE445" s="185" t="b">
        <f t="shared" si="344"/>
        <v>1</v>
      </c>
      <c r="AF445" s="185" t="b">
        <f>IF($D$438="",TRUE,IF(COUNTIF(Processor!$I$2:$I$9,$D$438)&gt;0,AND(AV445&gt;INDEX(Processor!$J$2:$J$9,MATCH($D$438,Processor!$I$2:$I$9,0)),AV445&lt;INDEX(Processor!$K$2:$K$9,MATCH($D$438,Processor!$I$2:$I$9,0))),IF(AV445=$D$438,TRUE,FALSE)))</f>
        <v>1</v>
      </c>
      <c r="AG445" s="185" t="b">
        <f t="shared" si="345"/>
        <v>1</v>
      </c>
      <c r="AH445" s="185" t="b">
        <f t="shared" si="346"/>
        <v>1</v>
      </c>
      <c r="AI445" s="185" t="b">
        <f t="shared" si="347"/>
        <v>1</v>
      </c>
      <c r="AJ445" s="185" t="b">
        <f t="shared" si="348"/>
        <v>1</v>
      </c>
      <c r="AK445" s="185" t="b">
        <f t="shared" si="349"/>
        <v>1</v>
      </c>
      <c r="AL445" s="185" t="b">
        <f>IFERROR(IF($D449="",TRUE,IF(MID(BC445,LEN(BC445)-2,1)*1&gt;=MID($D449,LEN($D449)-2,1)*1,TRUE,FALSE)),FALSE)</f>
        <v>1</v>
      </c>
      <c r="AM445" s="185" t="b">
        <f>IF(D448="",TRUE,IF(BB445&gt;=D448,TRUE,FALSE))</f>
        <v>1</v>
      </c>
      <c r="AN445" s="185"/>
      <c r="AO445" s="185"/>
      <c r="AP445" s="185" t="s">
        <v>175</v>
      </c>
      <c r="AQ445" s="185">
        <v>1</v>
      </c>
      <c r="AR445" s="185" t="str">
        <f t="shared" ca="1" si="350"/>
        <v>1920x1200</v>
      </c>
      <c r="AS445" s="185" t="str">
        <f t="shared" ca="1" si="350"/>
        <v>Intel i5</v>
      </c>
      <c r="AT445" s="185">
        <f t="shared" ca="1" si="350"/>
        <v>16</v>
      </c>
      <c r="AU445" s="185">
        <f t="shared" ca="1" si="350"/>
        <v>256</v>
      </c>
      <c r="AV445" s="185">
        <f t="shared" ca="1" si="350"/>
        <v>14</v>
      </c>
      <c r="AW445" s="185">
        <f t="shared" ca="1" si="350"/>
        <v>2</v>
      </c>
      <c r="AX445" s="185">
        <f t="shared" ca="1" si="350"/>
        <v>2</v>
      </c>
      <c r="AY445" s="185" t="str">
        <f t="shared" ca="1" si="350"/>
        <v>Ja, HDMI-port finns</v>
      </c>
      <c r="AZ445" s="185" t="str">
        <f t="shared" ca="1" si="350"/>
        <v>802.11a/b/g/n/ac/ax</v>
      </c>
      <c r="BA445" s="185">
        <f t="shared" ca="1" si="350"/>
        <v>5.3</v>
      </c>
      <c r="BB445" s="185">
        <f t="shared" ca="1" si="351"/>
        <v>11</v>
      </c>
      <c r="BC445" s="185" t="str">
        <f t="shared" ca="1" si="351"/>
        <v>Version 8.0</v>
      </c>
      <c r="BD445" s="185" t="str">
        <f t="shared" ca="1" si="351"/>
        <v>Ja</v>
      </c>
      <c r="BE445" s="185" t="str">
        <f t="shared" ca="1" si="351"/>
        <v>Windows 11 Pro</v>
      </c>
      <c r="BF445" s="185" t="str">
        <f t="shared" ca="1" si="351"/>
        <v>Elitebook 840 G9</v>
      </c>
      <c r="BG445" s="185">
        <f t="shared" ca="1" si="351"/>
        <v>11900</v>
      </c>
      <c r="BH445" s="192">
        <f t="shared" ca="1" si="351"/>
        <v>123</v>
      </c>
      <c r="BI445" s="192">
        <f t="shared" ca="1" si="351"/>
        <v>425</v>
      </c>
      <c r="BJ445" s="192">
        <f t="shared" ca="1" si="351"/>
        <v>149</v>
      </c>
      <c r="BK445" s="192">
        <f t="shared" ca="1" si="351"/>
        <v>1185</v>
      </c>
      <c r="BL445" s="192">
        <f t="shared" ca="1" si="352"/>
        <v>450</v>
      </c>
      <c r="BM445" s="192">
        <f t="shared" ca="1" si="352"/>
        <v>133</v>
      </c>
      <c r="BN445" s="192">
        <f t="shared" ca="1" si="352"/>
        <v>20</v>
      </c>
      <c r="BO445" s="192">
        <f t="shared" ca="1" si="352"/>
        <v>20</v>
      </c>
      <c r="BP445" s="192" t="str">
        <f t="shared" ca="1" si="352"/>
        <v>Cirafon</v>
      </c>
      <c r="BQ445" s="192" t="str">
        <f t="shared" ca="1" si="352"/>
        <v>Cirafon</v>
      </c>
      <c r="BR445" s="192" t="str">
        <f t="shared" ca="1" si="352"/>
        <v>HP</v>
      </c>
      <c r="BS445" s="192" t="str">
        <f t="shared" ca="1" si="352"/>
        <v>HP</v>
      </c>
      <c r="BT445" s="192" t="str">
        <f t="shared" ca="1" si="352"/>
        <v>LSN8696R2-14.1</v>
      </c>
      <c r="BU445" s="192" t="str">
        <f t="shared" ca="1" si="352"/>
        <v>DPF14-9</v>
      </c>
      <c r="BV445" s="192" t="str">
        <f t="shared" ca="1" si="352"/>
        <v xml:space="preserve">1MZ01AA </v>
      </c>
      <c r="BW445" s="192" t="str">
        <f t="shared" ca="1" si="352"/>
        <v>72C71AA</v>
      </c>
      <c r="BX445" s="192"/>
      <c r="BY445" s="192" t="str">
        <f t="shared" ca="1" si="353"/>
        <v>Dustin Sverige AB</v>
      </c>
      <c r="BZ445" s="192" t="str">
        <f t="shared" ca="1" si="353"/>
        <v>HP</v>
      </c>
      <c r="CA445" s="185"/>
      <c r="CB445" s="185" t="s">
        <v>571</v>
      </c>
      <c r="CC445" s="185"/>
      <c r="CD445" s="185"/>
      <c r="CE445" s="185"/>
      <c r="CF445" s="185"/>
      <c r="CG445" s="185"/>
      <c r="CH445" s="185"/>
      <c r="CI445" s="185"/>
      <c r="CJ445" s="185"/>
      <c r="CK445" s="185"/>
      <c r="CL445" s="185"/>
      <c r="CM445" s="185"/>
      <c r="CN445" s="185"/>
    </row>
    <row r="446" spans="2:92" ht="22.5" customHeight="1" outlineLevel="1" x14ac:dyDescent="0.35">
      <c r="C446" s="61" t="s">
        <v>103</v>
      </c>
      <c r="D446" s="64"/>
      <c r="F446" s="80" t="str">
        <f t="shared" si="354"/>
        <v/>
      </c>
      <c r="G446" s="81" t="str">
        <f t="shared" ca="1" si="355"/>
        <v>802.11a/b/g/n/ac/ax</v>
      </c>
      <c r="H446" s="81" t="str">
        <f t="shared" ca="1" si="355"/>
        <v>802.11a/b/g/n/ac/ax</v>
      </c>
      <c r="I446" s="120" t="str">
        <f t="shared" ca="1" si="355"/>
        <v>802.11a/b/g/n/ac/ax</v>
      </c>
      <c r="J446" s="62"/>
      <c r="Q446" s="185">
        <f t="shared" si="332"/>
        <v>0</v>
      </c>
      <c r="R446" s="185">
        <f t="shared" si="333"/>
        <v>0</v>
      </c>
      <c r="S446" s="185">
        <f t="shared" si="334"/>
        <v>0</v>
      </c>
      <c r="T446" s="185">
        <f t="shared" si="335"/>
        <v>0</v>
      </c>
      <c r="U446" s="185">
        <f t="shared" si="336"/>
        <v>0</v>
      </c>
      <c r="V446" s="185">
        <f t="shared" si="337"/>
        <v>0</v>
      </c>
      <c r="W446" s="185">
        <f t="shared" si="338"/>
        <v>0</v>
      </c>
      <c r="X446" s="185">
        <f t="shared" si="339"/>
        <v>0</v>
      </c>
      <c r="Y446" s="185">
        <f t="shared" si="340"/>
        <v>0</v>
      </c>
      <c r="Z446" s="196">
        <f t="shared" ca="1" si="341"/>
        <v>10490</v>
      </c>
      <c r="AA446" s="185" t="str">
        <f t="shared" ca="1" si="342"/>
        <v>Offererad produktnr. 03Dustin Sverige AB</v>
      </c>
      <c r="AB446" s="185"/>
      <c r="AC446" s="185" t="b">
        <f ca="1">IFERROR(IF(D440="",TRUE,
IF(OR(D440=$CB$12,D440=$CB$13),IF(LEFT(AS446,FIND(" ",AS446)-1)=D440,TRUE,FALSE),
IF(OFFSET(Processor!$AB$1,MATCH($AS446,Processor!$AA$2:$AA$23,0),MATCH(LEFT(D440,FIND(" ",D440)-1),Processor!$AC$1:$AG$1,0))&gt;=
OFFSET(Processor!$AB$1,MATCH(D440,Processor!$AA$2:$AA$23,0),MATCH(LEFT(D440,FIND(" ",D440)-1),Processor!$AC$1:$AG$1,0)),TRUE,FALSE))),FALSE)</f>
        <v>1</v>
      </c>
      <c r="AD446" s="185" t="b">
        <f t="shared" si="343"/>
        <v>1</v>
      </c>
      <c r="AE446" s="185" t="b">
        <f t="shared" si="344"/>
        <v>1</v>
      </c>
      <c r="AF446" s="185" t="b">
        <f>IF($D$438="",TRUE,IF(COUNTIF(Processor!$I$2:$I$9,$D$438)&gt;0,AND(AV446&gt;INDEX(Processor!$J$2:$J$9,MATCH($D$438,Processor!$I$2:$I$9,0)),AV446&lt;INDEX(Processor!$K$2:$K$9,MATCH($D$438,Processor!$I$2:$I$9,0))),IF(AV446=$D$438,TRUE,FALSE)))</f>
        <v>1</v>
      </c>
      <c r="AG446" s="185" t="b">
        <f t="shared" si="345"/>
        <v>1</v>
      </c>
      <c r="AH446" s="185" t="b">
        <f t="shared" si="346"/>
        <v>1</v>
      </c>
      <c r="AI446" s="185" t="b">
        <f t="shared" si="347"/>
        <v>1</v>
      </c>
      <c r="AJ446" s="185" t="b">
        <f t="shared" si="348"/>
        <v>1</v>
      </c>
      <c r="AK446" s="185" t="b">
        <f t="shared" si="349"/>
        <v>1</v>
      </c>
      <c r="AL446" s="185" t="b">
        <f>IFERROR(IF($D449="",TRUE,IF(MID(BC446,LEN(BC446)-2,1)*1&gt;=MID($D449,LEN($D449)-2,1)*1,TRUE,FALSE)),FALSE)</f>
        <v>1</v>
      </c>
      <c r="AM446" s="185" t="b">
        <f>IF(D448="",TRUE,IF(BB446&gt;=D448,TRUE,FALSE))</f>
        <v>1</v>
      </c>
      <c r="AN446" s="185"/>
      <c r="AO446" s="185"/>
      <c r="AP446" s="185" t="s">
        <v>176</v>
      </c>
      <c r="AQ446" s="185">
        <v>1</v>
      </c>
      <c r="AR446" s="185" t="str">
        <f t="shared" ref="AR446:BA455" ca="1" si="357">IFERROR(INDEX(INDIRECT(AR$431&amp;"!$A$10:CC100000"),MATCH($AP446,INDIRECT(AR$431&amp;"!BH$10:BH100000"),0),MATCH(AR$433,INDIRECT(AR$431&amp;"!a10:CC10"),0)),"False")</f>
        <v>1920x1080</v>
      </c>
      <c r="AS446" s="185" t="str">
        <f t="shared" ca="1" si="357"/>
        <v>Intel i7 Gen 12</v>
      </c>
      <c r="AT446" s="185">
        <f t="shared" ca="1" si="357"/>
        <v>32</v>
      </c>
      <c r="AU446" s="185">
        <f t="shared" ca="1" si="357"/>
        <v>512</v>
      </c>
      <c r="AV446" s="185">
        <f t="shared" ca="1" si="357"/>
        <v>14</v>
      </c>
      <c r="AW446" s="185">
        <f t="shared" ca="1" si="357"/>
        <v>3</v>
      </c>
      <c r="AX446" s="185">
        <f t="shared" ca="1" si="357"/>
        <v>1</v>
      </c>
      <c r="AY446" s="185" t="str">
        <f t="shared" ca="1" si="357"/>
        <v>Ja, HDMI-port finns</v>
      </c>
      <c r="AZ446" s="185" t="str">
        <f t="shared" ca="1" si="357"/>
        <v>802.11a/b/g/n/ac/ax</v>
      </c>
      <c r="BA446" s="185">
        <f t="shared" ca="1" si="357"/>
        <v>5.3</v>
      </c>
      <c r="BB446" s="185">
        <f t="shared" ref="BB446:BK455" ca="1" si="358">IFERROR(INDEX(INDIRECT(BB$431&amp;"!$A$10:CC100000"),MATCH($AP446,INDIRECT(BB$431&amp;"!BH$10:BH100000"),0),MATCH(BB$433,INDIRECT(BB$431&amp;"!a10:CC10"),0)),"False")</f>
        <v>11</v>
      </c>
      <c r="BC446" s="185" t="str">
        <f t="shared" ca="1" si="358"/>
        <v>Version 8.0</v>
      </c>
      <c r="BD446" s="185" t="str">
        <f t="shared" ca="1" si="358"/>
        <v>Ja</v>
      </c>
      <c r="BE446" s="185" t="str">
        <f t="shared" ca="1" si="358"/>
        <v>Windows 11 Pro</v>
      </c>
      <c r="BF446" s="185" t="str">
        <f t="shared" ca="1" si="358"/>
        <v>ProBook 440 G9</v>
      </c>
      <c r="BG446" s="185">
        <f t="shared" ca="1" si="358"/>
        <v>10490</v>
      </c>
      <c r="BH446" s="192">
        <f t="shared" ca="1" si="358"/>
        <v>123</v>
      </c>
      <c r="BI446" s="192">
        <f t="shared" ca="1" si="358"/>
        <v>425</v>
      </c>
      <c r="BJ446" s="192">
        <f t="shared" ca="1" si="358"/>
        <v>149</v>
      </c>
      <c r="BK446" s="192">
        <f t="shared" ca="1" si="358"/>
        <v>1185</v>
      </c>
      <c r="BL446" s="192">
        <f t="shared" ref="BL446:BW455" ca="1" si="359">IFERROR(INDEX(INDIRECT(BL$431&amp;"!$A$10:CC100000"),MATCH($AP446,INDIRECT(BL$431&amp;"!BH$10:BH100000"),0),MATCH(BL$433,INDIRECT(BL$431&amp;"!a10:CC10"),0)),"False")</f>
        <v>450</v>
      </c>
      <c r="BM446" s="192">
        <f t="shared" ca="1" si="359"/>
        <v>133</v>
      </c>
      <c r="BN446" s="192">
        <f t="shared" ca="1" si="359"/>
        <v>20</v>
      </c>
      <c r="BO446" s="192">
        <f t="shared" ca="1" si="359"/>
        <v>20</v>
      </c>
      <c r="BP446" s="192" t="str">
        <f t="shared" ca="1" si="359"/>
        <v>Cirafon</v>
      </c>
      <c r="BQ446" s="192" t="str">
        <f t="shared" ca="1" si="359"/>
        <v>Cirafon</v>
      </c>
      <c r="BR446" s="192" t="str">
        <f t="shared" ca="1" si="359"/>
        <v>HP</v>
      </c>
      <c r="BS446" s="192" t="str">
        <f t="shared" ca="1" si="359"/>
        <v>HP</v>
      </c>
      <c r="BT446" s="192" t="str">
        <f t="shared" ca="1" si="359"/>
        <v>LSN8696R2-14.1</v>
      </c>
      <c r="BU446" s="192" t="str">
        <f t="shared" ca="1" si="359"/>
        <v>DPF14-9</v>
      </c>
      <c r="BV446" s="192" t="str">
        <f t="shared" ca="1" si="359"/>
        <v xml:space="preserve">1MZ01AA </v>
      </c>
      <c r="BW446" s="192" t="str">
        <f t="shared" ca="1" si="359"/>
        <v>72C71AA</v>
      </c>
      <c r="BX446" s="192"/>
      <c r="BY446" s="192" t="str">
        <f t="shared" ca="1" si="353"/>
        <v>Dustin Sverige AB</v>
      </c>
      <c r="BZ446" s="192" t="str">
        <f t="shared" ca="1" si="353"/>
        <v>HP</v>
      </c>
      <c r="CA446" s="185"/>
      <c r="CB446" s="185" t="s">
        <v>710</v>
      </c>
      <c r="CC446" s="185"/>
      <c r="CD446" s="185"/>
      <c r="CE446" s="185"/>
      <c r="CF446" s="185"/>
      <c r="CG446" s="185"/>
      <c r="CH446" s="185"/>
      <c r="CI446" s="185"/>
      <c r="CJ446" s="185"/>
      <c r="CK446" s="185"/>
      <c r="CL446" s="185"/>
      <c r="CM446" s="185"/>
      <c r="CN446" s="185"/>
    </row>
    <row r="447" spans="2:92" ht="33.75" customHeight="1" outlineLevel="1" x14ac:dyDescent="0.35">
      <c r="C447" s="61" t="s">
        <v>75</v>
      </c>
      <c r="D447" s="110"/>
      <c r="F447" s="80" t="str">
        <f t="shared" si="354"/>
        <v/>
      </c>
      <c r="G447" s="81">
        <f t="shared" ca="1" si="355"/>
        <v>5</v>
      </c>
      <c r="H447" s="81">
        <f t="shared" ca="1" si="355"/>
        <v>5.3</v>
      </c>
      <c r="I447" s="120">
        <f t="shared" ca="1" si="355"/>
        <v>5</v>
      </c>
      <c r="J447" s="62"/>
      <c r="Q447" s="185">
        <f t="shared" si="332"/>
        <v>0</v>
      </c>
      <c r="R447" s="185">
        <f t="shared" si="333"/>
        <v>0</v>
      </c>
      <c r="S447" s="185">
        <f t="shared" si="334"/>
        <v>0</v>
      </c>
      <c r="T447" s="185">
        <f t="shared" si="335"/>
        <v>0</v>
      </c>
      <c r="U447" s="185">
        <f t="shared" si="336"/>
        <v>0</v>
      </c>
      <c r="V447" s="185">
        <f t="shared" si="337"/>
        <v>0</v>
      </c>
      <c r="W447" s="185">
        <f t="shared" si="338"/>
        <v>0</v>
      </c>
      <c r="X447" s="185">
        <f t="shared" si="339"/>
        <v>0</v>
      </c>
      <c r="Y447" s="185">
        <f t="shared" si="340"/>
        <v>0</v>
      </c>
      <c r="Z447" s="196">
        <f t="shared" ca="1" si="341"/>
        <v>13790</v>
      </c>
      <c r="AA447" s="185" t="str">
        <f t="shared" ca="1" si="342"/>
        <v>Offererad produktnr. 04Dustin Sverige AB</v>
      </c>
      <c r="AB447" s="185"/>
      <c r="AC447" s="185" t="b">
        <f ca="1">IFERROR(IF(D440="",TRUE,
IF(OR(D440=$CB$12,D440=$CB$13),IF(LEFT(AS447,FIND(" ",AS447)-1)=D440,TRUE,FALSE),
IF(OFFSET(Processor!$AB$1,MATCH($AS447,Processor!$AA$2:$AA$23,0),MATCH(LEFT(D440,FIND(" ",D440)-1),Processor!$AC$1:$AG$1,0))&gt;=
OFFSET(Processor!$AB$1,MATCH(D440,Processor!$AA$2:$AA$23,0),MATCH(LEFT(D440,FIND(" ",D440)-1),Processor!$AC$1:$AG$1,0)),TRUE,FALSE))),FALSE)</f>
        <v>1</v>
      </c>
      <c r="AD447" s="185" t="b">
        <f t="shared" si="343"/>
        <v>1</v>
      </c>
      <c r="AE447" s="185" t="b">
        <f t="shared" si="344"/>
        <v>1</v>
      </c>
      <c r="AF447" s="185" t="b">
        <f>IF($D$438="",TRUE,IF(COUNTIF(Processor!$I$2:$I$9,$D$438)&gt;0,AND(AV447&gt;INDEX(Processor!$J$2:$J$9,MATCH($D$438,Processor!$I$2:$I$9,0)),AV447&lt;INDEX(Processor!$K$2:$K$9,MATCH($D$438,Processor!$I$2:$I$9,0))),IF(AV447=$D$438,TRUE,FALSE)))</f>
        <v>1</v>
      </c>
      <c r="AG447" s="185" t="b">
        <f t="shared" si="345"/>
        <v>1</v>
      </c>
      <c r="AH447" s="185" t="b">
        <f t="shared" si="346"/>
        <v>1</v>
      </c>
      <c r="AI447" s="185" t="b">
        <f t="shared" si="347"/>
        <v>1</v>
      </c>
      <c r="AJ447" s="185" t="b">
        <f t="shared" si="348"/>
        <v>1</v>
      </c>
      <c r="AK447" s="185" t="b">
        <f t="shared" si="349"/>
        <v>1</v>
      </c>
      <c r="AL447" s="185" t="b">
        <f>IFERROR(IF($D449="",TRUE,IF(MID(BC447,LEN(BC447)-2,1)*1&gt;=MID($D449,LEN($D449)-2,1)*1,TRUE,FALSE)),FALSE)</f>
        <v>1</v>
      </c>
      <c r="AM447" s="185" t="b">
        <f>IF(D448="",TRUE,IF(BB447&gt;=D448,TRUE,FALSE))</f>
        <v>1</v>
      </c>
      <c r="AN447" s="185"/>
      <c r="AO447" s="185"/>
      <c r="AP447" s="185" t="s">
        <v>177</v>
      </c>
      <c r="AQ447" s="185">
        <v>1</v>
      </c>
      <c r="AR447" s="185" t="str">
        <f t="shared" ca="1" si="357"/>
        <v>1920x1200</v>
      </c>
      <c r="AS447" s="185" t="str">
        <f t="shared" ca="1" si="357"/>
        <v>Intel i7</v>
      </c>
      <c r="AT447" s="185">
        <f t="shared" ca="1" si="357"/>
        <v>16</v>
      </c>
      <c r="AU447" s="185">
        <f t="shared" ca="1" si="357"/>
        <v>512</v>
      </c>
      <c r="AV447" s="185">
        <f t="shared" ca="1" si="357"/>
        <v>14</v>
      </c>
      <c r="AW447" s="185">
        <f t="shared" ca="1" si="357"/>
        <v>2</v>
      </c>
      <c r="AX447" s="185">
        <f t="shared" ca="1" si="357"/>
        <v>2</v>
      </c>
      <c r="AY447" s="185" t="str">
        <f t="shared" ca="1" si="357"/>
        <v>Ja, HDMI-port finns</v>
      </c>
      <c r="AZ447" s="185" t="str">
        <f t="shared" ca="1" si="357"/>
        <v>802.11a/b/g/n/ac/ax</v>
      </c>
      <c r="BA447" s="185">
        <f t="shared" ca="1" si="357"/>
        <v>5.3</v>
      </c>
      <c r="BB447" s="185">
        <f t="shared" ca="1" si="358"/>
        <v>11</v>
      </c>
      <c r="BC447" s="185" t="str">
        <f t="shared" ca="1" si="358"/>
        <v>Version 8.0</v>
      </c>
      <c r="BD447" s="185" t="str">
        <f t="shared" ca="1" si="358"/>
        <v>Ja</v>
      </c>
      <c r="BE447" s="185" t="str">
        <f t="shared" ca="1" si="358"/>
        <v>Windows 11 Pro</v>
      </c>
      <c r="BF447" s="185" t="str">
        <f t="shared" ca="1" si="358"/>
        <v>EliteBook 840 G9</v>
      </c>
      <c r="BG447" s="185">
        <f t="shared" ca="1" si="358"/>
        <v>13790</v>
      </c>
      <c r="BH447" s="192">
        <f t="shared" ca="1" si="358"/>
        <v>123</v>
      </c>
      <c r="BI447" s="192">
        <f t="shared" ca="1" si="358"/>
        <v>425</v>
      </c>
      <c r="BJ447" s="192">
        <f t="shared" ca="1" si="358"/>
        <v>149</v>
      </c>
      <c r="BK447" s="192">
        <f t="shared" ca="1" si="358"/>
        <v>1185</v>
      </c>
      <c r="BL447" s="192">
        <f t="shared" ca="1" si="359"/>
        <v>450</v>
      </c>
      <c r="BM447" s="192">
        <f t="shared" ca="1" si="359"/>
        <v>133</v>
      </c>
      <c r="BN447" s="192">
        <f t="shared" ca="1" si="359"/>
        <v>20</v>
      </c>
      <c r="BO447" s="192">
        <f t="shared" ca="1" si="359"/>
        <v>20</v>
      </c>
      <c r="BP447" s="192" t="str">
        <f t="shared" ca="1" si="359"/>
        <v>Cirafon</v>
      </c>
      <c r="BQ447" s="192" t="str">
        <f t="shared" ca="1" si="359"/>
        <v>Cirafon</v>
      </c>
      <c r="BR447" s="192" t="str">
        <f t="shared" ca="1" si="359"/>
        <v>HP</v>
      </c>
      <c r="BS447" s="192" t="str">
        <f t="shared" ca="1" si="359"/>
        <v>HP</v>
      </c>
      <c r="BT447" s="192" t="str">
        <f t="shared" ca="1" si="359"/>
        <v>LSN8696R2-14.1</v>
      </c>
      <c r="BU447" s="192" t="str">
        <f t="shared" ca="1" si="359"/>
        <v>DPF14-9</v>
      </c>
      <c r="BV447" s="192" t="str">
        <f t="shared" ca="1" si="359"/>
        <v xml:space="preserve">1MZ01AA </v>
      </c>
      <c r="BW447" s="192" t="str">
        <f t="shared" ca="1" si="359"/>
        <v>72C71AA</v>
      </c>
      <c r="BX447" s="192"/>
      <c r="BY447" s="192" t="str">
        <f t="shared" ca="1" si="353"/>
        <v>Dustin Sverige AB</v>
      </c>
      <c r="BZ447" s="192" t="str">
        <f t="shared" ca="1" si="353"/>
        <v>HP</v>
      </c>
      <c r="CA447" s="185"/>
      <c r="CB447" s="185"/>
      <c r="CC447" s="185"/>
      <c r="CD447" s="185"/>
      <c r="CE447" s="185"/>
      <c r="CF447" s="185"/>
      <c r="CG447" s="185"/>
      <c r="CH447" s="185"/>
      <c r="CI447" s="185"/>
      <c r="CJ447" s="185"/>
      <c r="CK447" s="185"/>
      <c r="CL447" s="185"/>
      <c r="CM447" s="185"/>
      <c r="CN447" s="185"/>
    </row>
    <row r="448" spans="2:92" ht="32.25" customHeight="1" outlineLevel="1" x14ac:dyDescent="0.35">
      <c r="C448" s="61" t="s">
        <v>120</v>
      </c>
      <c r="D448" s="65"/>
      <c r="F448" s="80" t="str">
        <f t="shared" si="354"/>
        <v/>
      </c>
      <c r="G448" s="81">
        <f t="shared" ca="1" si="355"/>
        <v>11</v>
      </c>
      <c r="H448" s="81">
        <f t="shared" ca="1" si="355"/>
        <v>11</v>
      </c>
      <c r="I448" s="121">
        <f t="shared" ca="1" si="355"/>
        <v>11</v>
      </c>
      <c r="J448" s="62"/>
      <c r="Q448" s="185">
        <f t="shared" si="332"/>
        <v>0</v>
      </c>
      <c r="R448" s="185">
        <f t="shared" si="333"/>
        <v>0</v>
      </c>
      <c r="S448" s="185">
        <f t="shared" si="334"/>
        <v>0</v>
      </c>
      <c r="T448" s="185">
        <f t="shared" si="335"/>
        <v>0</v>
      </c>
      <c r="U448" s="185">
        <f t="shared" si="336"/>
        <v>0</v>
      </c>
      <c r="V448" s="185">
        <f t="shared" si="337"/>
        <v>0</v>
      </c>
      <c r="W448" s="185">
        <f t="shared" si="338"/>
        <v>0</v>
      </c>
      <c r="X448" s="185">
        <f t="shared" si="339"/>
        <v>0</v>
      </c>
      <c r="Y448" s="185">
        <f t="shared" si="340"/>
        <v>0</v>
      </c>
      <c r="Z448" s="196">
        <f t="shared" ca="1" si="341"/>
        <v>8848</v>
      </c>
      <c r="AA448" s="185" t="str">
        <f t="shared" ca="1" si="342"/>
        <v>Offererad produktnr. 01Foxway Education AB</v>
      </c>
      <c r="AB448" s="185"/>
      <c r="AC448" s="185" t="b">
        <f ca="1">IFERROR(IF(D440="",TRUE,
IF(OR(D440=$CB$12,D440=$CB$13),IF(LEFT(AS448,FIND(" ",AS448)-1)=D440,TRUE,FALSE),
IF(OFFSET(Processor!$AB$1,MATCH($AS448,Processor!$AA$2:$AA$23,0),MATCH(LEFT(D440,FIND(" ",D440)-1),Processor!$AC$1:$AG$1,0))&gt;=
OFFSET(Processor!$AB$1,MATCH(D440,Processor!$AA$2:$AA$23,0),MATCH(LEFT(D440,FIND(" ",D440)-1),Processor!$AC$1:$AG$1,0)),TRUE,FALSE))),FALSE)</f>
        <v>1</v>
      </c>
      <c r="AD448" s="185" t="b">
        <f t="shared" si="343"/>
        <v>1</v>
      </c>
      <c r="AE448" s="185" t="b">
        <f t="shared" si="344"/>
        <v>1</v>
      </c>
      <c r="AF448" s="185" t="b">
        <f>IF($D$438="",TRUE,IF(COUNTIF(Processor!$I$2:$I$9,$D$438)&gt;0,AND(AV448&gt;INDEX(Processor!$J$2:$J$9,MATCH($D$438,Processor!$I$2:$I$9,0)),AV448&lt;INDEX(Processor!$K$2:$K$9,MATCH($D$438,Processor!$I$2:$I$9,0))),IF(AV448=$D$438,TRUE,FALSE)))</f>
        <v>1</v>
      </c>
      <c r="AG448" s="185" t="b">
        <f t="shared" si="345"/>
        <v>1</v>
      </c>
      <c r="AH448" s="185" t="b">
        <f t="shared" si="346"/>
        <v>1</v>
      </c>
      <c r="AI448" s="185" t="b">
        <f t="shared" si="347"/>
        <v>1</v>
      </c>
      <c r="AJ448" s="185" t="b">
        <f t="shared" si="348"/>
        <v>1</v>
      </c>
      <c r="AK448" s="185" t="b">
        <f t="shared" si="349"/>
        <v>1</v>
      </c>
      <c r="AL448" s="185" t="b">
        <f>IFERROR(IF($D449="",TRUE,IF(MID(BC448,LEN(BC448)-2,1)*1&gt;=MID($D449,LEN($D449)-2,1)*1,TRUE,FALSE)),FALSE)</f>
        <v>1</v>
      </c>
      <c r="AM448" s="185" t="b">
        <f>IF(D448="",TRUE,IF(BB448&gt;=D448,TRUE,FALSE))</f>
        <v>1</v>
      </c>
      <c r="AN448" s="185"/>
      <c r="AO448" s="185"/>
      <c r="AP448" s="185" t="s">
        <v>210</v>
      </c>
      <c r="AQ448" s="185">
        <v>1</v>
      </c>
      <c r="AR448" s="185" t="str">
        <f t="shared" ca="1" si="357"/>
        <v>1920x1080</v>
      </c>
      <c r="AS448" s="185" t="str">
        <f t="shared" ca="1" si="357"/>
        <v>AMD Ryzen 5</v>
      </c>
      <c r="AT448" s="185">
        <f t="shared" ca="1" si="357"/>
        <v>8</v>
      </c>
      <c r="AU448" s="185">
        <f t="shared" ca="1" si="357"/>
        <v>256</v>
      </c>
      <c r="AV448" s="185">
        <f t="shared" ca="1" si="357"/>
        <v>14</v>
      </c>
      <c r="AW448" s="185">
        <f t="shared" ca="1" si="357"/>
        <v>4</v>
      </c>
      <c r="AX448" s="185">
        <f t="shared" ca="1" si="357"/>
        <v>1</v>
      </c>
      <c r="AY448" s="185" t="str">
        <f t="shared" ca="1" si="357"/>
        <v>Ja, HDMI-port finns</v>
      </c>
      <c r="AZ448" s="185" t="str">
        <f t="shared" ca="1" si="357"/>
        <v>802.11a/b/g/n/ac/ax</v>
      </c>
      <c r="BA448" s="185">
        <f t="shared" ca="1" si="357"/>
        <v>5.3</v>
      </c>
      <c r="BB448" s="185">
        <f t="shared" ca="1" si="358"/>
        <v>11</v>
      </c>
      <c r="BC448" s="185" t="str">
        <f t="shared" ca="1" si="358"/>
        <v>Version 8.0</v>
      </c>
      <c r="BD448" s="185" t="str">
        <f t="shared" ca="1" si="358"/>
        <v>Ja</v>
      </c>
      <c r="BE448" s="185" t="str">
        <f t="shared" ca="1" si="358"/>
        <v>Windows 11 Pro</v>
      </c>
      <c r="BF448" s="185" t="str">
        <f t="shared" ca="1" si="358"/>
        <v>ProBook 445 G10</v>
      </c>
      <c r="BG448" s="185">
        <f t="shared" ca="1" si="358"/>
        <v>8848</v>
      </c>
      <c r="BH448" s="192">
        <f t="shared" ca="1" si="358"/>
        <v>78</v>
      </c>
      <c r="BI448" s="192">
        <f t="shared" ca="1" si="358"/>
        <v>252</v>
      </c>
      <c r="BJ448" s="192">
        <f t="shared" ca="1" si="358"/>
        <v>138</v>
      </c>
      <c r="BK448" s="192">
        <f t="shared" ca="1" si="358"/>
        <v>1150</v>
      </c>
      <c r="BL448" s="192">
        <f t="shared" ca="1" si="359"/>
        <v>160</v>
      </c>
      <c r="BM448" s="192">
        <f t="shared" ca="1" si="359"/>
        <v>185</v>
      </c>
      <c r="BN448" s="192">
        <f t="shared" ca="1" si="359"/>
        <v>60</v>
      </c>
      <c r="BO448" s="192">
        <f t="shared" ca="1" si="359"/>
        <v>50</v>
      </c>
      <c r="BP448" s="192" t="str">
        <f t="shared" ca="1" si="359"/>
        <v>V7</v>
      </c>
      <c r="BQ448" s="192" t="str">
        <f t="shared" ca="1" si="359"/>
        <v>Targus</v>
      </c>
      <c r="BR448" s="192" t="str">
        <f t="shared" ca="1" si="359"/>
        <v>HP</v>
      </c>
      <c r="BS448" s="192" t="str">
        <f t="shared" ca="1" si="359"/>
        <v>HP</v>
      </c>
      <c r="BT448" s="192" t="str">
        <f t="shared" ca="1" si="359"/>
        <v>V7 Elite Sleeve 14"</v>
      </c>
      <c r="BU448" s="192" t="str">
        <f t="shared" ca="1" si="359"/>
        <v>Targus Privacy Screen 14"</v>
      </c>
      <c r="BV448" s="192" t="str">
        <f t="shared" ca="1" si="359"/>
        <v>HP 45W Smart AC Adapter</v>
      </c>
      <c r="BW448" s="192" t="str">
        <f t="shared" ca="1" si="359"/>
        <v>HP USB-C Dock G5</v>
      </c>
      <c r="BX448" s="192"/>
      <c r="BY448" s="192" t="str">
        <f t="shared" ca="1" si="353"/>
        <v>Foxway Education AB</v>
      </c>
      <c r="BZ448" s="192" t="str">
        <f t="shared" ca="1" si="353"/>
        <v>HP</v>
      </c>
      <c r="CA448" s="185"/>
      <c r="CB448" s="185"/>
      <c r="CC448" s="185"/>
      <c r="CD448" s="185"/>
      <c r="CE448" s="185"/>
      <c r="CF448" s="185"/>
      <c r="CG448" s="185"/>
      <c r="CH448" s="185"/>
      <c r="CI448" s="185"/>
      <c r="CJ448" s="185"/>
      <c r="CK448" s="185"/>
      <c r="CL448" s="185"/>
      <c r="CM448" s="185"/>
      <c r="CN448" s="185"/>
    </row>
    <row r="449" spans="2:92" ht="24" customHeight="1" outlineLevel="1" x14ac:dyDescent="0.35">
      <c r="C449" s="61" t="s">
        <v>38</v>
      </c>
      <c r="D449" s="64"/>
      <c r="F449" s="80" t="str">
        <f t="shared" si="354"/>
        <v/>
      </c>
      <c r="G449" s="81" t="str">
        <f t="shared" ca="1" si="355"/>
        <v>Version 8.0</v>
      </c>
      <c r="H449" s="81" t="str">
        <f t="shared" ca="1" si="355"/>
        <v>Version 8.0</v>
      </c>
      <c r="I449" s="120" t="str">
        <f t="shared" ca="1" si="355"/>
        <v>Version 8.0</v>
      </c>
      <c r="J449" s="62"/>
      <c r="Q449" s="185">
        <f t="shared" si="332"/>
        <v>0</v>
      </c>
      <c r="R449" s="185">
        <f t="shared" si="333"/>
        <v>0</v>
      </c>
      <c r="S449" s="185">
        <f t="shared" si="334"/>
        <v>0</v>
      </c>
      <c r="T449" s="185">
        <f t="shared" si="335"/>
        <v>0</v>
      </c>
      <c r="U449" s="185">
        <f t="shared" si="336"/>
        <v>0</v>
      </c>
      <c r="V449" s="185">
        <f t="shared" si="337"/>
        <v>0</v>
      </c>
      <c r="W449" s="185">
        <f t="shared" si="338"/>
        <v>0</v>
      </c>
      <c r="X449" s="185">
        <f t="shared" si="339"/>
        <v>0</v>
      </c>
      <c r="Y449" s="185">
        <f t="shared" si="340"/>
        <v>0</v>
      </c>
      <c r="Z449" s="196">
        <f t="shared" ca="1" si="341"/>
        <v>9288</v>
      </c>
      <c r="AA449" s="185" t="str">
        <f t="shared" ca="1" si="342"/>
        <v>Offererad produktnr. 02Foxway Education AB</v>
      </c>
      <c r="AB449" s="185"/>
      <c r="AC449" s="185" t="b">
        <f ca="1">IFERROR(IF(D440="",TRUE,
IF(OR(D440=$CB$12,D440=$CB$13),IF(LEFT(AS449,FIND(" ",AS449)-1)=D440,TRUE,FALSE),
IF(OFFSET(Processor!$AB$1,MATCH($AS449,Processor!$AA$2:$AA$23,0),MATCH(LEFT(D440,FIND(" ",D440)-1),Processor!$AC$1:$AG$1,0))&gt;=
OFFSET(Processor!$AB$1,MATCH(D440,Processor!$AA$2:$AA$23,0),MATCH(LEFT(D440,FIND(" ",D440)-1),Processor!$AC$1:$AG$1,0)),TRUE,FALSE))),FALSE)</f>
        <v>1</v>
      </c>
      <c r="AD449" s="185" t="b">
        <f t="shared" si="343"/>
        <v>1</v>
      </c>
      <c r="AE449" s="185" t="b">
        <f t="shared" si="344"/>
        <v>1</v>
      </c>
      <c r="AF449" s="185" t="b">
        <f>IF($D$438="",TRUE,IF(COUNTIF(Processor!$I$2:$I$9,$D$438)&gt;0,AND(AV449&gt;INDEX(Processor!$J$2:$J$9,MATCH($D$438,Processor!$I$2:$I$9,0)),AV449&lt;INDEX(Processor!$K$2:$K$9,MATCH($D$438,Processor!$I$2:$I$9,0))),IF(AV449=$D$438,TRUE,FALSE)))</f>
        <v>1</v>
      </c>
      <c r="AG449" s="185" t="b">
        <f t="shared" si="345"/>
        <v>1</v>
      </c>
      <c r="AH449" s="185" t="b">
        <f t="shared" si="346"/>
        <v>1</v>
      </c>
      <c r="AI449" s="185" t="b">
        <f t="shared" si="347"/>
        <v>1</v>
      </c>
      <c r="AJ449" s="185" t="b">
        <f t="shared" si="348"/>
        <v>1</v>
      </c>
      <c r="AK449" s="185" t="b">
        <f t="shared" si="349"/>
        <v>1</v>
      </c>
      <c r="AL449" s="185" t="b">
        <f>IFERROR(IF($D449="",TRUE,IF(MID(BC449,LEN(BC449)-2,1)*1&gt;=MID($D449,LEN($D449)-2,1)*1,TRUE,FALSE)),FALSE)</f>
        <v>1</v>
      </c>
      <c r="AM449" s="185" t="b">
        <f>IF(D448="",TRUE,IF(BB449&gt;=D448,TRUE,FALSE))</f>
        <v>1</v>
      </c>
      <c r="AN449" s="185"/>
      <c r="AO449" s="185"/>
      <c r="AP449" s="185" t="s">
        <v>211</v>
      </c>
      <c r="AQ449" s="185">
        <v>1</v>
      </c>
      <c r="AR449" s="185" t="str">
        <f t="shared" ca="1" si="357"/>
        <v>1920x1080</v>
      </c>
      <c r="AS449" s="185" t="str">
        <f t="shared" ca="1" si="357"/>
        <v>AMD Ryzen 5</v>
      </c>
      <c r="AT449" s="185">
        <f t="shared" ca="1" si="357"/>
        <v>8</v>
      </c>
      <c r="AU449" s="185">
        <f t="shared" ca="1" si="357"/>
        <v>256</v>
      </c>
      <c r="AV449" s="185">
        <f t="shared" ca="1" si="357"/>
        <v>14</v>
      </c>
      <c r="AW449" s="185">
        <f t="shared" ca="1" si="357"/>
        <v>3</v>
      </c>
      <c r="AX449" s="185">
        <f t="shared" ca="1" si="357"/>
        <v>1</v>
      </c>
      <c r="AY449" s="185" t="str">
        <f t="shared" ca="1" si="357"/>
        <v>Ja, HDMI-port finns</v>
      </c>
      <c r="AZ449" s="185" t="str">
        <f t="shared" ca="1" si="357"/>
        <v>802.11a/b/g/n/ac</v>
      </c>
      <c r="BA449" s="185">
        <f t="shared" ca="1" si="357"/>
        <v>5</v>
      </c>
      <c r="BB449" s="185">
        <f t="shared" ca="1" si="358"/>
        <v>11</v>
      </c>
      <c r="BC449" s="185" t="str">
        <f t="shared" ca="1" si="358"/>
        <v>Version 8.0</v>
      </c>
      <c r="BD449" s="185" t="str">
        <f t="shared" ca="1" si="358"/>
        <v>Ja</v>
      </c>
      <c r="BE449" s="185" t="str">
        <f t="shared" ca="1" si="358"/>
        <v>Windows 11 Pro</v>
      </c>
      <c r="BF449" s="185" t="str">
        <f t="shared" ca="1" si="358"/>
        <v>E14 G5 AMD</v>
      </c>
      <c r="BG449" s="185">
        <f t="shared" ca="1" si="358"/>
        <v>9288</v>
      </c>
      <c r="BH449" s="192">
        <f t="shared" ca="1" si="358"/>
        <v>78</v>
      </c>
      <c r="BI449" s="192">
        <f t="shared" ca="1" si="358"/>
        <v>252</v>
      </c>
      <c r="BJ449" s="192">
        <f t="shared" ca="1" si="358"/>
        <v>210</v>
      </c>
      <c r="BK449" s="192">
        <f t="shared" ca="1" si="358"/>
        <v>1824</v>
      </c>
      <c r="BL449" s="192">
        <f t="shared" ca="1" si="359"/>
        <v>290</v>
      </c>
      <c r="BM449" s="192">
        <f t="shared" ca="1" si="359"/>
        <v>185</v>
      </c>
      <c r="BN449" s="192">
        <f t="shared" ca="1" si="359"/>
        <v>60</v>
      </c>
      <c r="BO449" s="192">
        <f t="shared" ca="1" si="359"/>
        <v>50</v>
      </c>
      <c r="BP449" s="192" t="str">
        <f t="shared" ca="1" si="359"/>
        <v>V7</v>
      </c>
      <c r="BQ449" s="192" t="str">
        <f t="shared" ca="1" si="359"/>
        <v>Targus</v>
      </c>
      <c r="BR449" s="192" t="str">
        <f t="shared" ca="1" si="359"/>
        <v>Lenovo</v>
      </c>
      <c r="BS449" s="192" t="str">
        <f t="shared" ca="1" si="359"/>
        <v>Lenovo</v>
      </c>
      <c r="BT449" s="192" t="str">
        <f t="shared" ca="1" si="359"/>
        <v>V7 Elite Sleeve 14"</v>
      </c>
      <c r="BU449" s="192" t="str">
        <f t="shared" ca="1" si="359"/>
        <v>Targus Privacy Screen 14"</v>
      </c>
      <c r="BV449" s="192" t="str">
        <f t="shared" ca="1" si="359"/>
        <v>Power adapter USB-C 45w</v>
      </c>
      <c r="BW449" s="192" t="str">
        <f t="shared" ca="1" si="359"/>
        <v>ThinkPad USB-C Dock gen2</v>
      </c>
      <c r="BX449" s="192"/>
      <c r="BY449" s="192" t="str">
        <f t="shared" ca="1" si="353"/>
        <v>Foxway Education AB</v>
      </c>
      <c r="BZ449" s="192" t="str">
        <f t="shared" ca="1" si="353"/>
        <v>Lenovo</v>
      </c>
      <c r="CA449" s="185"/>
      <c r="CB449" s="185"/>
      <c r="CC449" s="185"/>
      <c r="CD449" s="185"/>
      <c r="CE449" s="185"/>
      <c r="CF449" s="185"/>
      <c r="CG449" s="185"/>
      <c r="CH449" s="185"/>
      <c r="CI449" s="185"/>
      <c r="CJ449" s="185"/>
      <c r="CK449" s="185"/>
      <c r="CL449" s="185"/>
      <c r="CM449" s="185"/>
      <c r="CN449" s="185"/>
    </row>
    <row r="450" spans="2:92" ht="24" customHeight="1" outlineLevel="1" x14ac:dyDescent="0.35">
      <c r="C450" s="61" t="s">
        <v>37</v>
      </c>
      <c r="D450" s="64"/>
      <c r="F450" s="80" t="str">
        <f t="shared" si="354"/>
        <v/>
      </c>
      <c r="G450" s="81" t="str">
        <f t="shared" ca="1" si="355"/>
        <v>Ja</v>
      </c>
      <c r="H450" s="81" t="str">
        <f t="shared" ca="1" si="355"/>
        <v>Ja</v>
      </c>
      <c r="I450" s="120" t="str">
        <f t="shared" ca="1" si="355"/>
        <v>Ja</v>
      </c>
      <c r="J450" s="62"/>
      <c r="Q450" s="185">
        <f t="shared" si="332"/>
        <v>0</v>
      </c>
      <c r="R450" s="185">
        <f t="shared" si="333"/>
        <v>0</v>
      </c>
      <c r="S450" s="185">
        <f t="shared" si="334"/>
        <v>0</v>
      </c>
      <c r="T450" s="185">
        <f t="shared" si="335"/>
        <v>0</v>
      </c>
      <c r="U450" s="185">
        <f t="shared" si="336"/>
        <v>0</v>
      </c>
      <c r="V450" s="185">
        <f t="shared" si="337"/>
        <v>0</v>
      </c>
      <c r="W450" s="185">
        <f t="shared" si="338"/>
        <v>0</v>
      </c>
      <c r="X450" s="185">
        <f t="shared" si="339"/>
        <v>0</v>
      </c>
      <c r="Y450" s="185">
        <f t="shared" si="340"/>
        <v>0</v>
      </c>
      <c r="Z450" s="196">
        <f t="shared" ca="1" si="341"/>
        <v>11210</v>
      </c>
      <c r="AA450" s="185" t="str">
        <f t="shared" ca="1" si="342"/>
        <v>Offererad produktnr. 03Foxway Education AB</v>
      </c>
      <c r="AB450" s="185"/>
      <c r="AC450" s="185" t="b">
        <f ca="1">IFERROR(IF(D440="",TRUE,
IF(OR(D440=$CB$12,D440=$CB$13),IF(LEFT(AS450,FIND(" ",AS450)-1)=D440,TRUE,FALSE),
IF(OFFSET(Processor!$AB$1,MATCH($AS450,Processor!$AA$2:$AA$23,0),MATCH(LEFT(D440,FIND(" ",D440)-1),Processor!$AC$1:$AG$1,0))&gt;=
OFFSET(Processor!$AB$1,MATCH(D440,Processor!$AA$2:$AA$23,0),MATCH(LEFT(D440,FIND(" ",D440)-1),Processor!$AC$1:$AG$1,0)),TRUE,FALSE))),FALSE)</f>
        <v>1</v>
      </c>
      <c r="AD450" s="185" t="b">
        <f t="shared" si="343"/>
        <v>1</v>
      </c>
      <c r="AE450" s="185" t="b">
        <f t="shared" si="344"/>
        <v>1</v>
      </c>
      <c r="AF450" s="185" t="b">
        <f>IF($D$438="",TRUE,IF(COUNTIF(Processor!$I$2:$I$9,$D$438)&gt;0,AND(AV450&gt;INDEX(Processor!$J$2:$J$9,MATCH($D$438,Processor!$I$2:$I$9,0)),AV450&lt;INDEX(Processor!$K$2:$K$9,MATCH($D$438,Processor!$I$2:$I$9,0))),IF(AV450=$D$438,TRUE,FALSE)))</f>
        <v>1</v>
      </c>
      <c r="AG450" s="185" t="b">
        <f t="shared" si="345"/>
        <v>1</v>
      </c>
      <c r="AH450" s="185" t="b">
        <f t="shared" si="346"/>
        <v>1</v>
      </c>
      <c r="AI450" s="185" t="b">
        <f t="shared" si="347"/>
        <v>1</v>
      </c>
      <c r="AJ450" s="185" t="b">
        <f t="shared" si="348"/>
        <v>1</v>
      </c>
      <c r="AK450" s="185" t="b">
        <f t="shared" si="349"/>
        <v>1</v>
      </c>
      <c r="AL450" s="185" t="b">
        <f>IFERROR(IF($D449="",TRUE,IF(MID(BC450,LEN(BC450)-2,1)*1&gt;=MID($D449,LEN($D449)-2,1)*1,TRUE,FALSE)),FALSE)</f>
        <v>1</v>
      </c>
      <c r="AM450" s="185" t="b">
        <f>IF(D448="",TRUE,IF(BB450&gt;=D448,TRUE,FALSE))</f>
        <v>1</v>
      </c>
      <c r="AN450" s="185"/>
      <c r="AO450" s="185"/>
      <c r="AP450" s="185" t="s">
        <v>212</v>
      </c>
      <c r="AQ450" s="185">
        <v>1</v>
      </c>
      <c r="AR450" s="185" t="str">
        <f t="shared" ca="1" si="357"/>
        <v>1920x1080</v>
      </c>
      <c r="AS450" s="185" t="str">
        <f t="shared" ca="1" si="357"/>
        <v>AMD Ryzen 7</v>
      </c>
      <c r="AT450" s="185">
        <f t="shared" ca="1" si="357"/>
        <v>16</v>
      </c>
      <c r="AU450" s="185">
        <f t="shared" ca="1" si="357"/>
        <v>512</v>
      </c>
      <c r="AV450" s="185">
        <f t="shared" ca="1" si="357"/>
        <v>14</v>
      </c>
      <c r="AW450" s="185">
        <f t="shared" ca="1" si="357"/>
        <v>4</v>
      </c>
      <c r="AX450" s="185">
        <f t="shared" ca="1" si="357"/>
        <v>2</v>
      </c>
      <c r="AY450" s="185" t="str">
        <f t="shared" ca="1" si="357"/>
        <v>Ja, HDMI-port finns</v>
      </c>
      <c r="AZ450" s="185" t="str">
        <f t="shared" ca="1" si="357"/>
        <v>802.11a/b/g/n/ac/ax</v>
      </c>
      <c r="BA450" s="185">
        <f t="shared" ca="1" si="357"/>
        <v>5.2</v>
      </c>
      <c r="BB450" s="185">
        <f t="shared" ca="1" si="358"/>
        <v>11</v>
      </c>
      <c r="BC450" s="185" t="str">
        <f t="shared" ca="1" si="358"/>
        <v>Version 8.0</v>
      </c>
      <c r="BD450" s="185" t="str">
        <f t="shared" ca="1" si="358"/>
        <v>Ja</v>
      </c>
      <c r="BE450" s="185" t="str">
        <f t="shared" ca="1" si="358"/>
        <v>Windows 11 Pro</v>
      </c>
      <c r="BF450" s="185" t="str">
        <f t="shared" ca="1" si="358"/>
        <v>L14 G4 AMD</v>
      </c>
      <c r="BG450" s="185">
        <f t="shared" ca="1" si="358"/>
        <v>11210</v>
      </c>
      <c r="BH450" s="192">
        <f t="shared" ca="1" si="358"/>
        <v>78</v>
      </c>
      <c r="BI450" s="192">
        <f t="shared" ca="1" si="358"/>
        <v>252</v>
      </c>
      <c r="BJ450" s="192">
        <f t="shared" ca="1" si="358"/>
        <v>210</v>
      </c>
      <c r="BK450" s="192">
        <f t="shared" ca="1" si="358"/>
        <v>1824</v>
      </c>
      <c r="BL450" s="192">
        <f t="shared" ca="1" si="359"/>
        <v>290</v>
      </c>
      <c r="BM450" s="192">
        <f t="shared" ca="1" si="359"/>
        <v>185</v>
      </c>
      <c r="BN450" s="192">
        <f t="shared" ca="1" si="359"/>
        <v>60</v>
      </c>
      <c r="BO450" s="192">
        <f t="shared" ca="1" si="359"/>
        <v>50</v>
      </c>
      <c r="BP450" s="192" t="str">
        <f t="shared" ca="1" si="359"/>
        <v>V7</v>
      </c>
      <c r="BQ450" s="192" t="str">
        <f t="shared" ca="1" si="359"/>
        <v>Targus</v>
      </c>
      <c r="BR450" s="192" t="str">
        <f t="shared" ca="1" si="359"/>
        <v>Lenovo</v>
      </c>
      <c r="BS450" s="192" t="str">
        <f t="shared" ca="1" si="359"/>
        <v>Lenovo</v>
      </c>
      <c r="BT450" s="192" t="str">
        <f t="shared" ca="1" si="359"/>
        <v>V7 Elite Sleeve 14"</v>
      </c>
      <c r="BU450" s="192" t="str">
        <f t="shared" ca="1" si="359"/>
        <v>Targus Privacy Screen 14"</v>
      </c>
      <c r="BV450" s="192" t="str">
        <f t="shared" ca="1" si="359"/>
        <v>Power adapter USB-C 45w</v>
      </c>
      <c r="BW450" s="192" t="str">
        <f t="shared" ca="1" si="359"/>
        <v>ThinkPad USB-C Dock gen2</v>
      </c>
      <c r="BX450" s="192"/>
      <c r="BY450" s="192" t="str">
        <f t="shared" ca="1" si="353"/>
        <v>Foxway Education AB</v>
      </c>
      <c r="BZ450" s="192" t="str">
        <f t="shared" ca="1" si="353"/>
        <v>Lenovo</v>
      </c>
      <c r="CA450" s="185"/>
      <c r="CB450" s="185"/>
      <c r="CC450" s="185"/>
      <c r="CD450" s="185"/>
      <c r="CE450" s="185"/>
      <c r="CF450" s="185"/>
      <c r="CG450" s="185"/>
      <c r="CH450" s="185"/>
      <c r="CI450" s="185"/>
      <c r="CJ450" s="185"/>
      <c r="CK450" s="185"/>
      <c r="CL450" s="185"/>
      <c r="CM450" s="185"/>
      <c r="CN450" s="185"/>
    </row>
    <row r="451" spans="2:92" ht="24" customHeight="1" outlineLevel="1" x14ac:dyDescent="0.35">
      <c r="C451" s="66"/>
      <c r="D451" s="67"/>
      <c r="F451" s="62"/>
      <c r="G451" s="62"/>
      <c r="H451" s="62"/>
      <c r="I451" s="62"/>
      <c r="J451" s="62"/>
      <c r="Q451" s="185">
        <f t="shared" si="332"/>
        <v>0</v>
      </c>
      <c r="R451" s="185">
        <f t="shared" si="333"/>
        <v>0</v>
      </c>
      <c r="S451" s="185">
        <f t="shared" si="334"/>
        <v>0</v>
      </c>
      <c r="T451" s="185">
        <f t="shared" si="335"/>
        <v>0</v>
      </c>
      <c r="U451" s="185">
        <f t="shared" si="336"/>
        <v>0</v>
      </c>
      <c r="V451" s="185">
        <f t="shared" si="337"/>
        <v>0</v>
      </c>
      <c r="W451" s="185">
        <f t="shared" si="338"/>
        <v>0</v>
      </c>
      <c r="X451" s="185">
        <f t="shared" si="339"/>
        <v>0</v>
      </c>
      <c r="Y451" s="185">
        <f t="shared" si="340"/>
        <v>0</v>
      </c>
      <c r="Z451" s="196">
        <f t="shared" ca="1" si="341"/>
        <v>10577</v>
      </c>
      <c r="AA451" s="185" t="str">
        <f t="shared" ca="1" si="342"/>
        <v>Offererad produktnr. 04Foxway Education AB</v>
      </c>
      <c r="AB451" s="185"/>
      <c r="AC451" s="185" t="b">
        <f ca="1">IFERROR(IF(D440="",TRUE,
IF(OR(D440=$CB$12,D440=$CB$13),IF(LEFT(AS451,FIND(" ",AS451)-1)=D440,TRUE,FALSE),
IF(OFFSET(Processor!$AB$1,MATCH($AS451,Processor!$AA$2:$AA$23,0),MATCH(LEFT(D440,FIND(" ",D440)-1),Processor!$AC$1:$AG$1,0))&gt;=
OFFSET(Processor!$AB$1,MATCH(D440,Processor!$AA$2:$AA$23,0),MATCH(LEFT(D440,FIND(" ",D440)-1),Processor!$AC$1:$AG$1,0)),TRUE,FALSE))),FALSE)</f>
        <v>1</v>
      </c>
      <c r="AD451" s="185" t="b">
        <f t="shared" si="343"/>
        <v>1</v>
      </c>
      <c r="AE451" s="185" t="b">
        <f t="shared" si="344"/>
        <v>1</v>
      </c>
      <c r="AF451" s="185" t="b">
        <f>IF($D$438="",TRUE,IF(COUNTIF(Processor!$I$2:$I$9,$D$438)&gt;0,AND(AV451&gt;INDEX(Processor!$J$2:$J$9,MATCH($D$438,Processor!$I$2:$I$9,0)),AV451&lt;INDEX(Processor!$K$2:$K$9,MATCH($D$438,Processor!$I$2:$I$9,0))),IF(AV451=$D$438,TRUE,FALSE)))</f>
        <v>1</v>
      </c>
      <c r="AG451" s="185" t="b">
        <f t="shared" si="345"/>
        <v>1</v>
      </c>
      <c r="AH451" s="185" t="b">
        <f t="shared" si="346"/>
        <v>1</v>
      </c>
      <c r="AI451" s="185" t="b">
        <f t="shared" si="347"/>
        <v>1</v>
      </c>
      <c r="AJ451" s="185" t="b">
        <f t="shared" si="348"/>
        <v>1</v>
      </c>
      <c r="AK451" s="185" t="b">
        <f t="shared" si="349"/>
        <v>1</v>
      </c>
      <c r="AL451" s="185" t="b">
        <f>IFERROR(IF($D449="",TRUE,IF(MID(BC451,LEN(BC451)-2,1)*1&gt;=MID($D449,LEN($D449)-2,1)*1,TRUE,FALSE)),FALSE)</f>
        <v>1</v>
      </c>
      <c r="AM451" s="185" t="b">
        <f>IF(D448="",TRUE,IF(BB451&gt;=D448,TRUE,FALSE))</f>
        <v>1</v>
      </c>
      <c r="AN451" s="185"/>
      <c r="AO451" s="185"/>
      <c r="AP451" s="185" t="s">
        <v>213</v>
      </c>
      <c r="AQ451" s="185">
        <v>1</v>
      </c>
      <c r="AR451" s="185" t="str">
        <f t="shared" ca="1" si="357"/>
        <v>1920x1080</v>
      </c>
      <c r="AS451" s="185" t="str">
        <f t="shared" ca="1" si="357"/>
        <v>Intel i7</v>
      </c>
      <c r="AT451" s="185">
        <f t="shared" ca="1" si="357"/>
        <v>16</v>
      </c>
      <c r="AU451" s="185">
        <f t="shared" ca="1" si="357"/>
        <v>512</v>
      </c>
      <c r="AV451" s="185">
        <f t="shared" ca="1" si="357"/>
        <v>14</v>
      </c>
      <c r="AW451" s="185">
        <f t="shared" ca="1" si="357"/>
        <v>4</v>
      </c>
      <c r="AX451" s="185">
        <f t="shared" ca="1" si="357"/>
        <v>2</v>
      </c>
      <c r="AY451" s="185" t="str">
        <f t="shared" ca="1" si="357"/>
        <v>Ja, HDMI-port finns</v>
      </c>
      <c r="AZ451" s="185" t="str">
        <f t="shared" ca="1" si="357"/>
        <v>802.11a/b/g/n/ac/ax</v>
      </c>
      <c r="BA451" s="185">
        <f t="shared" ca="1" si="357"/>
        <v>5.3</v>
      </c>
      <c r="BB451" s="185">
        <f t="shared" ca="1" si="358"/>
        <v>11</v>
      </c>
      <c r="BC451" s="185" t="str">
        <f t="shared" ca="1" si="358"/>
        <v>Version 8.0</v>
      </c>
      <c r="BD451" s="185" t="str">
        <f t="shared" ca="1" si="358"/>
        <v>Ja</v>
      </c>
      <c r="BE451" s="185" t="str">
        <f t="shared" ca="1" si="358"/>
        <v>Windows 11 Pro</v>
      </c>
      <c r="BF451" s="185" t="str">
        <f t="shared" ca="1" si="358"/>
        <v>Probook 445 G10</v>
      </c>
      <c r="BG451" s="185">
        <f t="shared" ca="1" si="358"/>
        <v>10577</v>
      </c>
      <c r="BH451" s="192">
        <f t="shared" ca="1" si="358"/>
        <v>93</v>
      </c>
      <c r="BI451" s="192">
        <f t="shared" ca="1" si="358"/>
        <v>252</v>
      </c>
      <c r="BJ451" s="192">
        <f t="shared" ca="1" si="358"/>
        <v>138</v>
      </c>
      <c r="BK451" s="192">
        <f t="shared" ca="1" si="358"/>
        <v>1150</v>
      </c>
      <c r="BL451" s="192">
        <f t="shared" ca="1" si="359"/>
        <v>192</v>
      </c>
      <c r="BM451" s="192">
        <f t="shared" ca="1" si="359"/>
        <v>185</v>
      </c>
      <c r="BN451" s="192">
        <f t="shared" ca="1" si="359"/>
        <v>60</v>
      </c>
      <c r="BO451" s="192">
        <f t="shared" ca="1" si="359"/>
        <v>50</v>
      </c>
      <c r="BP451" s="192" t="str">
        <f t="shared" ca="1" si="359"/>
        <v>V7</v>
      </c>
      <c r="BQ451" s="192" t="str">
        <f t="shared" ca="1" si="359"/>
        <v>Targus</v>
      </c>
      <c r="BR451" s="192" t="str">
        <f t="shared" ca="1" si="359"/>
        <v>HP</v>
      </c>
      <c r="BS451" s="192" t="str">
        <f t="shared" ca="1" si="359"/>
        <v>HP</v>
      </c>
      <c r="BT451" s="192" t="str">
        <f t="shared" ca="1" si="359"/>
        <v>V7 Elite Sleeve 14"</v>
      </c>
      <c r="BU451" s="192" t="str">
        <f t="shared" ca="1" si="359"/>
        <v>Targus Privacy Screen 14"</v>
      </c>
      <c r="BV451" s="192" t="str">
        <f t="shared" ca="1" si="359"/>
        <v>HP 45W Smart AC Adapter</v>
      </c>
      <c r="BW451" s="192" t="str">
        <f t="shared" ca="1" si="359"/>
        <v>HP USB-C Dock G5</v>
      </c>
      <c r="BX451" s="192"/>
      <c r="BY451" s="192" t="str">
        <f t="shared" ca="1" si="353"/>
        <v>Foxway Education AB</v>
      </c>
      <c r="BZ451" s="192" t="str">
        <f t="shared" ca="1" si="353"/>
        <v>HP</v>
      </c>
      <c r="CA451" s="185"/>
      <c r="CB451" s="185"/>
      <c r="CC451" s="185"/>
      <c r="CD451" s="185"/>
      <c r="CE451" s="185"/>
      <c r="CF451" s="185"/>
      <c r="CG451" s="185"/>
      <c r="CH451" s="185"/>
      <c r="CI451" s="185"/>
      <c r="CJ451" s="185"/>
      <c r="CK451" s="185"/>
      <c r="CL451" s="185"/>
      <c r="CM451" s="185"/>
      <c r="CN451" s="185"/>
    </row>
    <row r="452" spans="2:92" ht="26.25" customHeight="1" outlineLevel="1" x14ac:dyDescent="0.35">
      <c r="C452" s="212" t="s">
        <v>366</v>
      </c>
      <c r="D452" s="213"/>
      <c r="E452" s="213"/>
      <c r="F452" s="213"/>
      <c r="G452" s="213"/>
      <c r="H452" s="213"/>
      <c r="I452" s="214"/>
      <c r="J452" s="68"/>
      <c r="Q452" s="185">
        <f t="shared" si="332"/>
        <v>0</v>
      </c>
      <c r="R452" s="185">
        <f t="shared" si="333"/>
        <v>0</v>
      </c>
      <c r="S452" s="185">
        <f t="shared" si="334"/>
        <v>0</v>
      </c>
      <c r="T452" s="185">
        <f t="shared" si="335"/>
        <v>0</v>
      </c>
      <c r="U452" s="185">
        <f t="shared" si="336"/>
        <v>0</v>
      </c>
      <c r="V452" s="185">
        <f t="shared" si="337"/>
        <v>0</v>
      </c>
      <c r="W452" s="185">
        <f t="shared" si="338"/>
        <v>0</v>
      </c>
      <c r="X452" s="185">
        <f t="shared" si="339"/>
        <v>0</v>
      </c>
      <c r="Y452" s="185">
        <f t="shared" si="340"/>
        <v>0</v>
      </c>
      <c r="Z452" s="196">
        <f t="shared" ca="1" si="341"/>
        <v>6420</v>
      </c>
      <c r="AA452" s="185" t="str">
        <f t="shared" ca="1" si="342"/>
        <v>Offererad produktnr. 01Qlosr Göteborg AB</v>
      </c>
      <c r="AB452" s="185"/>
      <c r="AC452" s="185" t="b">
        <f ca="1">IFERROR(IF(D440="",TRUE,
IF(OR(D440=$CB$12,D440=$CB$13),IF(LEFT(AS452,FIND(" ",AS452)-1)=D440,TRUE,FALSE),
IF(OFFSET(Processor!$AB$1,MATCH($AS452,Processor!$AA$2:$AA$23,0),MATCH(LEFT(D440,FIND(" ",D440)-1),Processor!$AC$1:$AG$1,0))&gt;=
OFFSET(Processor!$AB$1,MATCH(D440,Processor!$AA$2:$AA$23,0),MATCH(LEFT(D440,FIND(" ",D440)-1),Processor!$AC$1:$AG$1,0)),TRUE,FALSE))),FALSE)</f>
        <v>1</v>
      </c>
      <c r="AD452" s="185" t="b">
        <f t="shared" si="343"/>
        <v>1</v>
      </c>
      <c r="AE452" s="185" t="b">
        <f t="shared" si="344"/>
        <v>1</v>
      </c>
      <c r="AF452" s="185" t="b">
        <f>IF($D$438="",TRUE,IF(COUNTIF(Processor!$I$2:$I$9,$D$438)&gt;0,AND(AV452&gt;INDEX(Processor!$J$2:$J$9,MATCH($D$438,Processor!$I$2:$I$9,0)),AV452&lt;INDEX(Processor!$K$2:$K$9,MATCH($D$438,Processor!$I$2:$I$9,0))),IF(AV452=$D$438,TRUE,FALSE)))</f>
        <v>1</v>
      </c>
      <c r="AG452" s="185" t="b">
        <f t="shared" si="345"/>
        <v>1</v>
      </c>
      <c r="AH452" s="185" t="b">
        <f t="shared" si="346"/>
        <v>1</v>
      </c>
      <c r="AI452" s="185" t="b">
        <f t="shared" si="347"/>
        <v>1</v>
      </c>
      <c r="AJ452" s="185" t="b">
        <f t="shared" si="348"/>
        <v>1</v>
      </c>
      <c r="AK452" s="185" t="b">
        <f t="shared" si="349"/>
        <v>1</v>
      </c>
      <c r="AL452" s="185" t="b">
        <f>IFERROR(IF($D449="",TRUE,IF(MID(BC452,LEN(BC452)-2,1)*1&gt;=MID($D449,LEN($D449)-2,1)*1,TRUE,FALSE)),FALSE)</f>
        <v>1</v>
      </c>
      <c r="AM452" s="185" t="b">
        <f>IF(D448="",TRUE,IF(BB452&gt;=D448,TRUE,FALSE))</f>
        <v>1</v>
      </c>
      <c r="AN452" s="185"/>
      <c r="AO452" s="185"/>
      <c r="AP452" s="185" t="s">
        <v>552</v>
      </c>
      <c r="AQ452" s="185">
        <v>1</v>
      </c>
      <c r="AR452" s="185" t="str">
        <f t="shared" ca="1" si="357"/>
        <v>1920x1080</v>
      </c>
      <c r="AS452" s="185" t="str">
        <f t="shared" ca="1" si="357"/>
        <v>AMD Ryzen 5</v>
      </c>
      <c r="AT452" s="185">
        <f t="shared" ca="1" si="357"/>
        <v>8</v>
      </c>
      <c r="AU452" s="185">
        <f t="shared" ca="1" si="357"/>
        <v>256</v>
      </c>
      <c r="AV452" s="185">
        <f t="shared" ca="1" si="357"/>
        <v>14</v>
      </c>
      <c r="AW452" s="185">
        <f t="shared" ca="1" si="357"/>
        <v>4</v>
      </c>
      <c r="AX452" s="185">
        <f t="shared" ca="1" si="357"/>
        <v>1</v>
      </c>
      <c r="AY452" s="185" t="str">
        <f t="shared" ca="1" si="357"/>
        <v>Ja, HDMI-port finns</v>
      </c>
      <c r="AZ452" s="185" t="str">
        <f t="shared" ca="1" si="357"/>
        <v>802.11a/b/g/n/ac/ax</v>
      </c>
      <c r="BA452" s="185">
        <f t="shared" ca="1" si="357"/>
        <v>5</v>
      </c>
      <c r="BB452" s="185">
        <f t="shared" ca="1" si="358"/>
        <v>11</v>
      </c>
      <c r="BC452" s="185" t="str">
        <f t="shared" ca="1" si="358"/>
        <v>Version 8.0</v>
      </c>
      <c r="BD452" s="185" t="str">
        <f t="shared" ca="1" si="358"/>
        <v>Ja</v>
      </c>
      <c r="BE452" s="185" t="str">
        <f t="shared" ca="1" si="358"/>
        <v>Windows 10 Pro</v>
      </c>
      <c r="BF452" s="185" t="str">
        <f t="shared" ca="1" si="358"/>
        <v>ProBook 445 G8</v>
      </c>
      <c r="BG452" s="185">
        <f t="shared" ca="1" si="358"/>
        <v>6420</v>
      </c>
      <c r="BH452" s="192">
        <f t="shared" ca="1" si="358"/>
        <v>79</v>
      </c>
      <c r="BI452" s="192">
        <f t="shared" ca="1" si="358"/>
        <v>199</v>
      </c>
      <c r="BJ452" s="192">
        <f t="shared" ca="1" si="358"/>
        <v>106</v>
      </c>
      <c r="BK452" s="192">
        <f t="shared" ca="1" si="358"/>
        <v>949</v>
      </c>
      <c r="BL452" s="192">
        <f t="shared" ca="1" si="359"/>
        <v>151</v>
      </c>
      <c r="BM452" s="192">
        <f t="shared" ca="1" si="359"/>
        <v>70</v>
      </c>
      <c r="BN452" s="192">
        <f t="shared" ca="1" si="359"/>
        <v>25</v>
      </c>
      <c r="BO452" s="192">
        <f t="shared" ca="1" si="359"/>
        <v>25</v>
      </c>
      <c r="BP452" s="192" t="str">
        <f t="shared" ca="1" si="359"/>
        <v>HP</v>
      </c>
      <c r="BQ452" s="192" t="str">
        <f t="shared" ca="1" si="359"/>
        <v>HP</v>
      </c>
      <c r="BR452" s="192" t="str">
        <f t="shared" ca="1" si="359"/>
        <v>HP</v>
      </c>
      <c r="BS452" s="192" t="str">
        <f t="shared" ca="1" si="359"/>
        <v>HP</v>
      </c>
      <c r="BT452" s="192" t="str">
        <f t="shared" ca="1" si="359"/>
        <v>GBX2UW01AA</v>
      </c>
      <c r="BU452" s="192" t="str">
        <f t="shared" ca="1" si="359"/>
        <v>GBXJ6E65AA</v>
      </c>
      <c r="BV452" s="192" t="str">
        <f t="shared" ca="1" si="359"/>
        <v>GBXH6Y88AA</v>
      </c>
      <c r="BW452" s="192" t="str">
        <f t="shared" ca="1" si="359"/>
        <v>GBX5TW10AA</v>
      </c>
      <c r="BX452" s="192"/>
      <c r="BY452" s="192" t="str">
        <f t="shared" ca="1" si="353"/>
        <v>Qlosr Göteborg AB</v>
      </c>
      <c r="BZ452" s="192" t="str">
        <f t="shared" ca="1" si="353"/>
        <v>HP</v>
      </c>
      <c r="CA452" s="185"/>
      <c r="CB452" s="185"/>
      <c r="CC452" s="185"/>
      <c r="CD452" s="185"/>
      <c r="CE452" s="185"/>
      <c r="CF452" s="185"/>
      <c r="CG452" s="185"/>
      <c r="CH452" s="185"/>
      <c r="CI452" s="185"/>
      <c r="CJ452" s="185"/>
      <c r="CK452" s="185"/>
      <c r="CL452" s="185"/>
      <c r="CM452" s="185"/>
      <c r="CN452" s="185"/>
    </row>
    <row r="453" spans="2:92" ht="26.25" customHeight="1" outlineLevel="1" x14ac:dyDescent="0.35">
      <c r="B453" s="69" t="s">
        <v>53</v>
      </c>
      <c r="C453" s="115" t="s">
        <v>363</v>
      </c>
      <c r="D453" s="70"/>
      <c r="F453" s="161" t="str">
        <f t="shared" ref="F453:F464" si="360">IF(F$434="Inget antal angivet","",IFERROR(INDEX($AR$435:$BZ$462,MATCH(F$431,$AP$435:$AP$462,0),MATCH($B453,$AR$435:$BZ$435,0)),""))</f>
        <v/>
      </c>
      <c r="G453" s="162">
        <f t="shared" ref="G453:I464" ca="1" si="361">IFERROR(INDEX($AR$435:$BZ$462,MATCH(G$431,$AP$435:$AP$462,0),MATCH($B453,$AR$435:$BZ$435,0)),"")</f>
        <v>79</v>
      </c>
      <c r="H453" s="162">
        <f t="shared" ca="1" si="361"/>
        <v>123</v>
      </c>
      <c r="I453" s="162">
        <f t="shared" ca="1" si="361"/>
        <v>79</v>
      </c>
      <c r="J453" s="62"/>
      <c r="Q453" s="185">
        <f t="shared" si="332"/>
        <v>0</v>
      </c>
      <c r="R453" s="185">
        <f t="shared" si="333"/>
        <v>0</v>
      </c>
      <c r="S453" s="185">
        <f t="shared" si="334"/>
        <v>0</v>
      </c>
      <c r="T453" s="185">
        <f t="shared" si="335"/>
        <v>0</v>
      </c>
      <c r="U453" s="185">
        <f t="shared" si="336"/>
        <v>0</v>
      </c>
      <c r="V453" s="185">
        <f t="shared" si="337"/>
        <v>0</v>
      </c>
      <c r="W453" s="185">
        <f t="shared" si="338"/>
        <v>0</v>
      </c>
      <c r="X453" s="185">
        <f t="shared" si="339"/>
        <v>0</v>
      </c>
      <c r="Y453" s="185">
        <f t="shared" si="340"/>
        <v>0</v>
      </c>
      <c r="Z453" s="196">
        <f t="shared" ca="1" si="341"/>
        <v>9600</v>
      </c>
      <c r="AA453" s="185" t="str">
        <f t="shared" ca="1" si="342"/>
        <v>Offererad produktnr. 02Qlosr Göteborg AB</v>
      </c>
      <c r="AB453" s="185"/>
      <c r="AC453" s="185" t="b">
        <f ca="1">IFERROR(IF(D440="",TRUE,
IF(OR(D440=$CB$12,D440=$CB$13),IF(LEFT(AS453,FIND(" ",AS453)-1)=D440,TRUE,FALSE),
IF(OFFSET(Processor!$AB$1,MATCH($AS453,Processor!$AA$2:$AA$23,0),MATCH(LEFT(D440,FIND(" ",D440)-1),Processor!$AC$1:$AG$1,0))&gt;=
OFFSET(Processor!$AB$1,MATCH(D440,Processor!$AA$2:$AA$23,0),MATCH(LEFT(D440,FIND(" ",D440)-1),Processor!$AC$1:$AG$1,0)),TRUE,FALSE))),FALSE)</f>
        <v>1</v>
      </c>
      <c r="AD453" s="185" t="b">
        <f t="shared" si="343"/>
        <v>1</v>
      </c>
      <c r="AE453" s="185" t="b">
        <f t="shared" si="344"/>
        <v>1</v>
      </c>
      <c r="AF453" s="185" t="b">
        <f>IF($D$438="",TRUE,IF(COUNTIF(Processor!$I$2:$I$9,$D$438)&gt;0,AND(AV453&gt;INDEX(Processor!$J$2:$J$9,MATCH($D$438,Processor!$I$2:$I$9,0)),AV453&lt;INDEX(Processor!$K$2:$K$9,MATCH($D$438,Processor!$I$2:$I$9,0))),IF(AV453=$D$438,TRUE,FALSE)))</f>
        <v>1</v>
      </c>
      <c r="AG453" s="185" t="b">
        <f t="shared" si="345"/>
        <v>1</v>
      </c>
      <c r="AH453" s="185" t="b">
        <f t="shared" si="346"/>
        <v>1</v>
      </c>
      <c r="AI453" s="185" t="b">
        <f t="shared" si="347"/>
        <v>1</v>
      </c>
      <c r="AJ453" s="185" t="b">
        <f t="shared" si="348"/>
        <v>1</v>
      </c>
      <c r="AK453" s="185" t="b">
        <f t="shared" si="349"/>
        <v>1</v>
      </c>
      <c r="AL453" s="185" t="b">
        <f>IFERROR(IF($D449="",TRUE,IF(MID(BC453,LEN(BC453)-2,1)*1&gt;=MID($D449,LEN($D449)-2,1)*1,TRUE,FALSE)),FALSE)</f>
        <v>1</v>
      </c>
      <c r="AM453" s="185" t="b">
        <f>IF(D448="",TRUE,IF(BB453&gt;=D448,TRUE,FALSE))</f>
        <v>1</v>
      </c>
      <c r="AN453" s="185"/>
      <c r="AO453" s="185"/>
      <c r="AP453" s="185" t="s">
        <v>553</v>
      </c>
      <c r="AQ453" s="185">
        <v>1</v>
      </c>
      <c r="AR453" s="185" t="str">
        <f t="shared" ca="1" si="357"/>
        <v>1920x1080</v>
      </c>
      <c r="AS453" s="185" t="str">
        <f t="shared" ca="1" si="357"/>
        <v>Intel i5</v>
      </c>
      <c r="AT453" s="185">
        <f t="shared" ca="1" si="357"/>
        <v>8</v>
      </c>
      <c r="AU453" s="185">
        <f t="shared" ca="1" si="357"/>
        <v>256</v>
      </c>
      <c r="AV453" s="185">
        <f t="shared" ca="1" si="357"/>
        <v>14</v>
      </c>
      <c r="AW453" s="185">
        <f t="shared" ca="1" si="357"/>
        <v>2</v>
      </c>
      <c r="AX453" s="185">
        <f t="shared" ca="1" si="357"/>
        <v>2</v>
      </c>
      <c r="AY453" s="185" t="str">
        <f t="shared" ca="1" si="357"/>
        <v>Ja, HDMI-port finns</v>
      </c>
      <c r="AZ453" s="185" t="str">
        <f t="shared" ca="1" si="357"/>
        <v>802.11a/b/g/n/ac/ax</v>
      </c>
      <c r="BA453" s="185">
        <f t="shared" ca="1" si="357"/>
        <v>5.3</v>
      </c>
      <c r="BB453" s="185">
        <f t="shared" ca="1" si="358"/>
        <v>11</v>
      </c>
      <c r="BC453" s="185" t="str">
        <f t="shared" ca="1" si="358"/>
        <v>Version 8.0</v>
      </c>
      <c r="BD453" s="185" t="str">
        <f t="shared" ca="1" si="358"/>
        <v>Ja</v>
      </c>
      <c r="BE453" s="185" t="str">
        <f t="shared" ca="1" si="358"/>
        <v>Windows 11 Pro</v>
      </c>
      <c r="BF453" s="185" t="str">
        <f t="shared" ca="1" si="358"/>
        <v>Dell Latitude 5440</v>
      </c>
      <c r="BG453" s="185">
        <f t="shared" ca="1" si="358"/>
        <v>9600</v>
      </c>
      <c r="BH453" s="192">
        <f t="shared" ca="1" si="358"/>
        <v>79</v>
      </c>
      <c r="BI453" s="192">
        <f t="shared" ca="1" si="358"/>
        <v>199</v>
      </c>
      <c r="BJ453" s="192">
        <f t="shared" ca="1" si="358"/>
        <v>182</v>
      </c>
      <c r="BK453" s="192">
        <f t="shared" ca="1" si="358"/>
        <v>1138</v>
      </c>
      <c r="BL453" s="192">
        <f t="shared" ca="1" si="359"/>
        <v>151</v>
      </c>
      <c r="BM453" s="192">
        <f t="shared" ca="1" si="359"/>
        <v>70</v>
      </c>
      <c r="BN453" s="192">
        <f t="shared" ca="1" si="359"/>
        <v>25</v>
      </c>
      <c r="BO453" s="192">
        <f t="shared" ca="1" si="359"/>
        <v>25</v>
      </c>
      <c r="BP453" s="192" t="str">
        <f t="shared" ca="1" si="359"/>
        <v>HP</v>
      </c>
      <c r="BQ453" s="192" t="str">
        <f t="shared" ca="1" si="359"/>
        <v>HP</v>
      </c>
      <c r="BR453" s="192" t="str">
        <f t="shared" ca="1" si="359"/>
        <v>Dell</v>
      </c>
      <c r="BS453" s="192" t="str">
        <f t="shared" ca="1" si="359"/>
        <v>HP</v>
      </c>
      <c r="BT453" s="192" t="str">
        <f t="shared" ca="1" si="359"/>
        <v>GBX3E2U7AA</v>
      </c>
      <c r="BU453" s="192" t="str">
        <f t="shared" ca="1" si="359"/>
        <v>GBXJ6E65AA</v>
      </c>
      <c r="BV453" s="192" t="str">
        <f t="shared" ca="1" si="359"/>
        <v>GBXUSBC65W-2</v>
      </c>
      <c r="BW453" s="192" t="str">
        <f t="shared" ca="1" si="359"/>
        <v>GBX5TW10AA</v>
      </c>
      <c r="BX453" s="192"/>
      <c r="BY453" s="192" t="str">
        <f t="shared" ca="1" si="353"/>
        <v>Qlosr Göteborg AB</v>
      </c>
      <c r="BZ453" s="192" t="str">
        <f t="shared" ca="1" si="353"/>
        <v>Dell</v>
      </c>
      <c r="CA453" s="185"/>
      <c r="CB453" s="185"/>
      <c r="CC453" s="185"/>
      <c r="CD453" s="185"/>
      <c r="CE453" s="185"/>
      <c r="CF453" s="185"/>
      <c r="CG453" s="185"/>
      <c r="CH453" s="185"/>
      <c r="CI453" s="185"/>
      <c r="CJ453" s="185"/>
      <c r="CK453" s="185"/>
      <c r="CL453" s="185"/>
      <c r="CM453" s="185"/>
      <c r="CN453" s="185"/>
    </row>
    <row r="454" spans="2:92" ht="26.25" customHeight="1" outlineLevel="1" x14ac:dyDescent="0.35">
      <c r="B454" s="69" t="s">
        <v>340</v>
      </c>
      <c r="C454" s="96" t="s">
        <v>51</v>
      </c>
      <c r="D454" s="131" t="str">
        <f>IF("Ska Ingå"=D453,"Ska Ingå","")</f>
        <v/>
      </c>
      <c r="F454" s="84" t="str">
        <f t="shared" si="360"/>
        <v/>
      </c>
      <c r="G454" s="85" t="str">
        <f t="shared" ca="1" si="361"/>
        <v>HP</v>
      </c>
      <c r="H454" s="85" t="str">
        <f t="shared" ca="1" si="361"/>
        <v>Cirafon</v>
      </c>
      <c r="I454" s="85" t="str">
        <f t="shared" ca="1" si="361"/>
        <v>HP</v>
      </c>
      <c r="J454" s="62"/>
      <c r="Q454" s="185">
        <f t="shared" si="332"/>
        <v>0</v>
      </c>
      <c r="R454" s="185">
        <f t="shared" si="333"/>
        <v>0</v>
      </c>
      <c r="S454" s="185">
        <f t="shared" si="334"/>
        <v>0</v>
      </c>
      <c r="T454" s="185">
        <f t="shared" si="335"/>
        <v>0</v>
      </c>
      <c r="U454" s="185">
        <f t="shared" si="336"/>
        <v>0</v>
      </c>
      <c r="V454" s="185">
        <f t="shared" si="337"/>
        <v>0</v>
      </c>
      <c r="W454" s="185">
        <f t="shared" si="338"/>
        <v>0</v>
      </c>
      <c r="X454" s="185">
        <f t="shared" si="339"/>
        <v>0</v>
      </c>
      <c r="Y454" s="185">
        <f t="shared" si="340"/>
        <v>0</v>
      </c>
      <c r="Z454" s="196">
        <f t="shared" ca="1" si="341"/>
        <v>7640</v>
      </c>
      <c r="AA454" s="185" t="str">
        <f t="shared" ca="1" si="342"/>
        <v>Offererad produktnr. 03Qlosr Göteborg AB</v>
      </c>
      <c r="AB454" s="185"/>
      <c r="AC454" s="185" t="b">
        <f ca="1">IFERROR(IF(D440="",TRUE,
IF(OR(D440=$CB$12,D440=$CB$13),IF(LEFT(AS454,FIND(" ",AS454)-1)=D440,TRUE,FALSE),
IF(OFFSET(Processor!$AB$1,MATCH($AS454,Processor!$AA$2:$AA$23,0),MATCH(LEFT(D440,FIND(" ",D440)-1),Processor!$AC$1:$AG$1,0))&gt;=
OFFSET(Processor!$AB$1,MATCH(D440,Processor!$AA$2:$AA$23,0),MATCH(LEFT(D440,FIND(" ",D440)-1),Processor!$AC$1:$AG$1,0)),TRUE,FALSE))),FALSE)</f>
        <v>1</v>
      </c>
      <c r="AD454" s="185" t="b">
        <f t="shared" si="343"/>
        <v>1</v>
      </c>
      <c r="AE454" s="185" t="b">
        <f t="shared" si="344"/>
        <v>1</v>
      </c>
      <c r="AF454" s="185" t="b">
        <f>IF($D$438="",TRUE,IF(COUNTIF(Processor!$I$2:$I$9,$D$438)&gt;0,AND(AV454&gt;INDEX(Processor!$J$2:$J$9,MATCH($D$438,Processor!$I$2:$I$9,0)),AV454&lt;INDEX(Processor!$K$2:$K$9,MATCH($D$438,Processor!$I$2:$I$9,0))),IF(AV454=$D$438,TRUE,FALSE)))</f>
        <v>1</v>
      </c>
      <c r="AG454" s="185" t="b">
        <f t="shared" si="345"/>
        <v>1</v>
      </c>
      <c r="AH454" s="185" t="b">
        <f t="shared" si="346"/>
        <v>1</v>
      </c>
      <c r="AI454" s="185" t="b">
        <f t="shared" si="347"/>
        <v>1</v>
      </c>
      <c r="AJ454" s="185" t="b">
        <f t="shared" si="348"/>
        <v>1</v>
      </c>
      <c r="AK454" s="185" t="b">
        <f t="shared" si="349"/>
        <v>1</v>
      </c>
      <c r="AL454" s="185" t="b">
        <f>IFERROR(IF($D449="",TRUE,IF(MID(BC454,LEN(BC454)-2,1)*1&gt;=MID($D449,LEN($D449)-2,1)*1,TRUE,FALSE)),FALSE)</f>
        <v>1</v>
      </c>
      <c r="AM454" s="185" t="b">
        <f>IF(D448="",TRUE,IF(BB454&gt;=D448,TRUE,FALSE))</f>
        <v>1</v>
      </c>
      <c r="AN454" s="185"/>
      <c r="AO454" s="185"/>
      <c r="AP454" s="185" t="s">
        <v>554</v>
      </c>
      <c r="AQ454" s="185">
        <v>1</v>
      </c>
      <c r="AR454" s="185" t="str">
        <f t="shared" ca="1" si="357"/>
        <v>1920x1080</v>
      </c>
      <c r="AS454" s="185" t="str">
        <f t="shared" ca="1" si="357"/>
        <v>AMD Ryzen 7</v>
      </c>
      <c r="AT454" s="185">
        <f t="shared" ca="1" si="357"/>
        <v>16</v>
      </c>
      <c r="AU454" s="185">
        <f t="shared" ca="1" si="357"/>
        <v>512</v>
      </c>
      <c r="AV454" s="185">
        <f t="shared" ca="1" si="357"/>
        <v>14</v>
      </c>
      <c r="AW454" s="185">
        <f t="shared" ca="1" si="357"/>
        <v>4</v>
      </c>
      <c r="AX454" s="185">
        <f t="shared" ca="1" si="357"/>
        <v>1</v>
      </c>
      <c r="AY454" s="185" t="str">
        <f t="shared" ca="1" si="357"/>
        <v>Ja, HDMI-port finns</v>
      </c>
      <c r="AZ454" s="185" t="str">
        <f t="shared" ca="1" si="357"/>
        <v>802.11a/b/g/n/ac/ax</v>
      </c>
      <c r="BA454" s="185">
        <f t="shared" ca="1" si="357"/>
        <v>5</v>
      </c>
      <c r="BB454" s="185">
        <f t="shared" ca="1" si="358"/>
        <v>11</v>
      </c>
      <c r="BC454" s="185" t="str">
        <f t="shared" ca="1" si="358"/>
        <v>Version 8.0</v>
      </c>
      <c r="BD454" s="185" t="str">
        <f t="shared" ca="1" si="358"/>
        <v>Ja</v>
      </c>
      <c r="BE454" s="185" t="str">
        <f t="shared" ca="1" si="358"/>
        <v>Windows 10 Pro</v>
      </c>
      <c r="BF454" s="185" t="str">
        <f t="shared" ca="1" si="358"/>
        <v>ProBook 445 G8</v>
      </c>
      <c r="BG454" s="185">
        <f t="shared" ca="1" si="358"/>
        <v>7640</v>
      </c>
      <c r="BH454" s="192">
        <f t="shared" ca="1" si="358"/>
        <v>79</v>
      </c>
      <c r="BI454" s="192">
        <f t="shared" ca="1" si="358"/>
        <v>199</v>
      </c>
      <c r="BJ454" s="192">
        <f t="shared" ca="1" si="358"/>
        <v>106</v>
      </c>
      <c r="BK454" s="192">
        <f t="shared" ca="1" si="358"/>
        <v>949</v>
      </c>
      <c r="BL454" s="192">
        <f t="shared" ca="1" si="359"/>
        <v>151</v>
      </c>
      <c r="BM454" s="192">
        <f t="shared" ca="1" si="359"/>
        <v>70</v>
      </c>
      <c r="BN454" s="192">
        <f t="shared" ca="1" si="359"/>
        <v>25</v>
      </c>
      <c r="BO454" s="192">
        <f t="shared" ca="1" si="359"/>
        <v>25</v>
      </c>
      <c r="BP454" s="192" t="str">
        <f t="shared" ca="1" si="359"/>
        <v>HP</v>
      </c>
      <c r="BQ454" s="192" t="str">
        <f t="shared" ca="1" si="359"/>
        <v>HP</v>
      </c>
      <c r="BR454" s="192" t="str">
        <f t="shared" ca="1" si="359"/>
        <v>HP</v>
      </c>
      <c r="BS454" s="192" t="str">
        <f t="shared" ca="1" si="359"/>
        <v>HP</v>
      </c>
      <c r="BT454" s="192" t="str">
        <f t="shared" ca="1" si="359"/>
        <v>GBX2UW01AA</v>
      </c>
      <c r="BU454" s="192" t="str">
        <f t="shared" ca="1" si="359"/>
        <v>GBXJ6E65AA</v>
      </c>
      <c r="BV454" s="192" t="str">
        <f t="shared" ca="1" si="359"/>
        <v>GBXH6Y88AA</v>
      </c>
      <c r="BW454" s="192" t="str">
        <f t="shared" ca="1" si="359"/>
        <v>GBX5TW10AA</v>
      </c>
      <c r="BX454" s="192"/>
      <c r="BY454" s="192" t="str">
        <f t="shared" ca="1" si="353"/>
        <v>Qlosr Göteborg AB</v>
      </c>
      <c r="BZ454" s="192" t="str">
        <f t="shared" ca="1" si="353"/>
        <v>HP</v>
      </c>
      <c r="CA454" s="185"/>
      <c r="CB454" s="185"/>
      <c r="CC454" s="185"/>
      <c r="CD454" s="185"/>
      <c r="CE454" s="185"/>
      <c r="CF454" s="185"/>
      <c r="CG454" s="185"/>
      <c r="CH454" s="185"/>
      <c r="CI454" s="185"/>
      <c r="CJ454" s="185"/>
      <c r="CK454" s="185"/>
      <c r="CL454" s="185"/>
      <c r="CM454" s="185"/>
      <c r="CN454" s="185"/>
    </row>
    <row r="455" spans="2:92" ht="67.5" customHeight="1" outlineLevel="1" x14ac:dyDescent="0.35">
      <c r="B455" s="69" t="s">
        <v>345</v>
      </c>
      <c r="C455" s="97" t="s">
        <v>52</v>
      </c>
      <c r="D455" s="132" t="str">
        <f>IF("Ska Ingå"=D453,"Ska Ingå","")</f>
        <v/>
      </c>
      <c r="F455" s="86" t="str">
        <f t="shared" si="360"/>
        <v/>
      </c>
      <c r="G455" s="87" t="str">
        <f t="shared" ca="1" si="361"/>
        <v>GBX2UW01AA</v>
      </c>
      <c r="H455" s="87" t="str">
        <f t="shared" ca="1" si="361"/>
        <v>LSN8696R2-14.1</v>
      </c>
      <c r="I455" s="87" t="str">
        <f t="shared" ca="1" si="361"/>
        <v>GBX2UW01AA</v>
      </c>
      <c r="J455" s="62"/>
      <c r="Q455" s="185">
        <f t="shared" si="332"/>
        <v>0</v>
      </c>
      <c r="R455" s="185">
        <f t="shared" si="333"/>
        <v>0</v>
      </c>
      <c r="S455" s="185">
        <f t="shared" si="334"/>
        <v>0</v>
      </c>
      <c r="T455" s="185">
        <f t="shared" si="335"/>
        <v>0</v>
      </c>
      <c r="U455" s="185">
        <f t="shared" si="336"/>
        <v>0</v>
      </c>
      <c r="V455" s="185">
        <f t="shared" si="337"/>
        <v>0</v>
      </c>
      <c r="W455" s="185">
        <f t="shared" si="338"/>
        <v>0</v>
      </c>
      <c r="X455" s="185">
        <f t="shared" si="339"/>
        <v>0</v>
      </c>
      <c r="Y455" s="185">
        <f t="shared" si="340"/>
        <v>0</v>
      </c>
      <c r="Z455" s="196">
        <f t="shared" ca="1" si="341"/>
        <v>8299</v>
      </c>
      <c r="AA455" s="185" t="str">
        <f t="shared" ca="1" si="342"/>
        <v>Offererad produktnr. 04Qlosr Göteborg AB</v>
      </c>
      <c r="AB455" s="185"/>
      <c r="AC455" s="185" t="b">
        <f ca="1">IFERROR(IF(D440="",TRUE,
IF(OR(D440=$CB$12,D440=$CB$13),IF(LEFT(AS455,FIND(" ",AS455)-1)=D440,TRUE,FALSE),
IF(OFFSET(Processor!$AB$1,MATCH($AS455,Processor!$AA$2:$AA$23,0),MATCH(LEFT(D440,FIND(" ",D440)-1),Processor!$AC$1:$AG$1,0))&gt;=
OFFSET(Processor!$AB$1,MATCH(D440,Processor!$AA$2:$AA$23,0),MATCH(LEFT(D440,FIND(" ",D440)-1),Processor!$AC$1:$AG$1,0)),TRUE,FALSE))),FALSE)</f>
        <v>1</v>
      </c>
      <c r="AD455" s="185" t="b">
        <f t="shared" si="343"/>
        <v>1</v>
      </c>
      <c r="AE455" s="185" t="b">
        <f t="shared" si="344"/>
        <v>1</v>
      </c>
      <c r="AF455" s="185" t="b">
        <f>IF($D$438="",TRUE,IF(COUNTIF(Processor!$I$2:$I$9,$D$438)&gt;0,AND(AV455&gt;INDEX(Processor!$J$2:$J$9,MATCH($D$438,Processor!$I$2:$I$9,0)),AV455&lt;INDEX(Processor!$K$2:$K$9,MATCH($D$438,Processor!$I$2:$I$9,0))),IF(AV455=$D$438,TRUE,FALSE)))</f>
        <v>1</v>
      </c>
      <c r="AG455" s="185" t="b">
        <f t="shared" si="345"/>
        <v>1</v>
      </c>
      <c r="AH455" s="185" t="b">
        <f t="shared" si="346"/>
        <v>1</v>
      </c>
      <c r="AI455" s="185" t="b">
        <f t="shared" si="347"/>
        <v>1</v>
      </c>
      <c r="AJ455" s="185" t="b">
        <f t="shared" si="348"/>
        <v>1</v>
      </c>
      <c r="AK455" s="185" t="b">
        <f t="shared" si="349"/>
        <v>1</v>
      </c>
      <c r="AL455" s="185" t="b">
        <f>IFERROR(IF($D449="",TRUE,IF(MID(BC455,LEN(BC455)-2,1)*1&gt;=MID($D449,LEN($D449)-2,1)*1,TRUE,FALSE)),FALSE)</f>
        <v>1</v>
      </c>
      <c r="AM455" s="185" t="b">
        <f>IF(D448="",TRUE,IF(BB455&gt;=D448,TRUE,FALSE))</f>
        <v>1</v>
      </c>
      <c r="AN455" s="185"/>
      <c r="AO455" s="185"/>
      <c r="AP455" s="185" t="s">
        <v>555</v>
      </c>
      <c r="AQ455" s="185">
        <v>1</v>
      </c>
      <c r="AR455" s="185" t="str">
        <f t="shared" ca="1" si="357"/>
        <v>1920x1080</v>
      </c>
      <c r="AS455" s="185" t="str">
        <f t="shared" ca="1" si="357"/>
        <v>Intel i7</v>
      </c>
      <c r="AT455" s="185">
        <f t="shared" ca="1" si="357"/>
        <v>16</v>
      </c>
      <c r="AU455" s="185">
        <f t="shared" ca="1" si="357"/>
        <v>512</v>
      </c>
      <c r="AV455" s="185">
        <f t="shared" ca="1" si="357"/>
        <v>14</v>
      </c>
      <c r="AW455" s="185">
        <f t="shared" ca="1" si="357"/>
        <v>4</v>
      </c>
      <c r="AX455" s="185">
        <f t="shared" ca="1" si="357"/>
        <v>1</v>
      </c>
      <c r="AY455" s="185" t="str">
        <f t="shared" ca="1" si="357"/>
        <v>Ja, HDMI-port finns</v>
      </c>
      <c r="AZ455" s="185" t="str">
        <f t="shared" ca="1" si="357"/>
        <v>802.11a/b/g/n/ac/ax</v>
      </c>
      <c r="BA455" s="185">
        <f t="shared" ca="1" si="357"/>
        <v>5</v>
      </c>
      <c r="BB455" s="185">
        <f t="shared" ca="1" si="358"/>
        <v>11</v>
      </c>
      <c r="BC455" s="185" t="str">
        <f t="shared" ca="1" si="358"/>
        <v>Version 8.0</v>
      </c>
      <c r="BD455" s="185" t="str">
        <f t="shared" ca="1" si="358"/>
        <v>Ja</v>
      </c>
      <c r="BE455" s="185" t="str">
        <f t="shared" ca="1" si="358"/>
        <v>Windows 10 Pro</v>
      </c>
      <c r="BF455" s="185" t="str">
        <f t="shared" ca="1" si="358"/>
        <v>ProBook 440 G8</v>
      </c>
      <c r="BG455" s="185">
        <f t="shared" ca="1" si="358"/>
        <v>8299</v>
      </c>
      <c r="BH455" s="192">
        <f t="shared" ca="1" si="358"/>
        <v>79</v>
      </c>
      <c r="BI455" s="192">
        <f t="shared" ca="1" si="358"/>
        <v>199</v>
      </c>
      <c r="BJ455" s="192">
        <f t="shared" ca="1" si="358"/>
        <v>106</v>
      </c>
      <c r="BK455" s="192">
        <f t="shared" ca="1" si="358"/>
        <v>949</v>
      </c>
      <c r="BL455" s="192">
        <f t="shared" ca="1" si="359"/>
        <v>151</v>
      </c>
      <c r="BM455" s="192">
        <f t="shared" ca="1" si="359"/>
        <v>70</v>
      </c>
      <c r="BN455" s="192">
        <f t="shared" ca="1" si="359"/>
        <v>25</v>
      </c>
      <c r="BO455" s="192">
        <f t="shared" ca="1" si="359"/>
        <v>25</v>
      </c>
      <c r="BP455" s="192" t="str">
        <f t="shared" ca="1" si="359"/>
        <v>HP</v>
      </c>
      <c r="BQ455" s="192" t="str">
        <f t="shared" ca="1" si="359"/>
        <v>HP</v>
      </c>
      <c r="BR455" s="192" t="str">
        <f t="shared" ca="1" si="359"/>
        <v>HP</v>
      </c>
      <c r="BS455" s="192" t="str">
        <f t="shared" ca="1" si="359"/>
        <v>HP</v>
      </c>
      <c r="BT455" s="192" t="str">
        <f t="shared" ca="1" si="359"/>
        <v>GBX2UW01AA</v>
      </c>
      <c r="BU455" s="192" t="str">
        <f t="shared" ca="1" si="359"/>
        <v>GBXJ6E65AA</v>
      </c>
      <c r="BV455" s="192" t="str">
        <f t="shared" ca="1" si="359"/>
        <v>GBXH6Y88AA</v>
      </c>
      <c r="BW455" s="192" t="str">
        <f t="shared" ca="1" si="359"/>
        <v>GBX5TW10AA</v>
      </c>
      <c r="BX455" s="192"/>
      <c r="BY455" s="192" t="str">
        <f t="shared" ca="1" si="353"/>
        <v>Qlosr Göteborg AB</v>
      </c>
      <c r="BZ455" s="192" t="str">
        <f t="shared" ca="1" si="353"/>
        <v>HP</v>
      </c>
      <c r="CA455" s="185"/>
      <c r="CB455" s="185"/>
      <c r="CC455" s="185"/>
      <c r="CD455" s="185"/>
      <c r="CE455" s="185"/>
      <c r="CF455" s="185"/>
      <c r="CG455" s="185"/>
      <c r="CH455" s="185"/>
      <c r="CI455" s="185"/>
      <c r="CJ455" s="185"/>
      <c r="CK455" s="185"/>
      <c r="CL455" s="185"/>
      <c r="CM455" s="185"/>
      <c r="CN455" s="185"/>
    </row>
    <row r="456" spans="2:92" ht="26.25" customHeight="1" outlineLevel="1" x14ac:dyDescent="0.35">
      <c r="B456" s="69" t="s">
        <v>54</v>
      </c>
      <c r="C456" s="98" t="s">
        <v>77</v>
      </c>
      <c r="D456" s="70"/>
      <c r="F456" s="157" t="str">
        <f t="shared" si="360"/>
        <v/>
      </c>
      <c r="G456" s="158">
        <f t="shared" ca="1" si="361"/>
        <v>199</v>
      </c>
      <c r="H456" s="158">
        <f t="shared" ca="1" si="361"/>
        <v>425</v>
      </c>
      <c r="I456" s="158">
        <f t="shared" ca="1" si="361"/>
        <v>199</v>
      </c>
      <c r="J456" s="62"/>
      <c r="BH456" s="63"/>
      <c r="BI456" s="63"/>
      <c r="BJ456" s="63"/>
      <c r="BK456" s="63"/>
      <c r="BL456" s="63"/>
      <c r="BM456" s="63"/>
      <c r="BN456" s="63"/>
      <c r="BO456" s="63"/>
      <c r="BP456" s="63"/>
      <c r="BQ456" s="63"/>
      <c r="BR456" s="63"/>
      <c r="BS456" s="63"/>
      <c r="BT456" s="63"/>
      <c r="BU456" s="63"/>
      <c r="BV456" s="63"/>
      <c r="BW456" s="63"/>
      <c r="BX456" s="63"/>
      <c r="BY456" s="63"/>
      <c r="BZ456" s="63"/>
      <c r="CA456" s="185"/>
      <c r="CB456" s="185"/>
      <c r="CC456" s="185"/>
      <c r="CD456" s="185"/>
      <c r="CE456" s="185"/>
      <c r="CF456" s="185"/>
      <c r="CG456" s="185"/>
      <c r="CH456" s="185"/>
      <c r="CI456" s="185"/>
      <c r="CJ456" s="185"/>
      <c r="CK456" s="185"/>
      <c r="CL456" s="185"/>
      <c r="CM456" s="185"/>
      <c r="CN456" s="185"/>
    </row>
    <row r="457" spans="2:92" ht="26.25" customHeight="1" outlineLevel="1" x14ac:dyDescent="0.35">
      <c r="B457" s="69" t="s">
        <v>341</v>
      </c>
      <c r="C457" s="61" t="s">
        <v>51</v>
      </c>
      <c r="D457" s="131" t="str">
        <f>IF("Ska Ingå"=D456,"Ska Ingå","")</f>
        <v/>
      </c>
      <c r="F457" s="88" t="str">
        <f t="shared" si="360"/>
        <v/>
      </c>
      <c r="G457" s="89" t="str">
        <f t="shared" ca="1" si="361"/>
        <v>HP</v>
      </c>
      <c r="H457" s="89" t="str">
        <f t="shared" ca="1" si="361"/>
        <v>Cirafon</v>
      </c>
      <c r="I457" s="89" t="str">
        <f t="shared" ca="1" si="361"/>
        <v>HP</v>
      </c>
      <c r="J457" s="62"/>
      <c r="BH457" s="63"/>
      <c r="BI457" s="63"/>
      <c r="BJ457" s="63"/>
      <c r="BK457" s="63"/>
      <c r="BL457" s="63"/>
      <c r="BM457" s="63"/>
      <c r="BN457" s="63"/>
      <c r="BO457" s="63"/>
      <c r="BP457" s="63"/>
      <c r="BQ457" s="63"/>
      <c r="BR457" s="63"/>
      <c r="BS457" s="63"/>
      <c r="BT457" s="63"/>
      <c r="BU457" s="63"/>
      <c r="BV457" s="63"/>
      <c r="BW457" s="63"/>
      <c r="BX457" s="63"/>
      <c r="BY457" s="63"/>
      <c r="BZ457" s="63"/>
      <c r="CA457" s="185"/>
      <c r="CB457" s="185"/>
      <c r="CC457" s="185"/>
      <c r="CD457" s="185"/>
      <c r="CE457" s="185"/>
      <c r="CF457" s="185"/>
      <c r="CG457" s="185"/>
      <c r="CH457" s="185"/>
      <c r="CI457" s="185"/>
      <c r="CJ457" s="185"/>
      <c r="CK457" s="185"/>
      <c r="CL457" s="185"/>
      <c r="CM457" s="185"/>
      <c r="CN457" s="185"/>
    </row>
    <row r="458" spans="2:92" ht="68.25" customHeight="1" outlineLevel="1" x14ac:dyDescent="0.35">
      <c r="B458" s="69" t="s">
        <v>346</v>
      </c>
      <c r="C458" s="99" t="s">
        <v>52</v>
      </c>
      <c r="D458" s="132" t="str">
        <f>IF("Ska Ingå"=D456,"Ska Ingå","")</f>
        <v/>
      </c>
      <c r="F458" s="90" t="str">
        <f t="shared" si="360"/>
        <v/>
      </c>
      <c r="G458" s="91" t="str">
        <f t="shared" ca="1" si="361"/>
        <v>GBXJ6E65AA</v>
      </c>
      <c r="H458" s="91" t="str">
        <f t="shared" ca="1" si="361"/>
        <v>DPF14-9</v>
      </c>
      <c r="I458" s="91" t="str">
        <f t="shared" ca="1" si="361"/>
        <v>GBXJ6E65AA</v>
      </c>
      <c r="J458" s="62"/>
      <c r="BH458" s="63"/>
      <c r="BI458" s="63"/>
      <c r="BJ458" s="63"/>
      <c r="BK458" s="63"/>
      <c r="BL458" s="63"/>
      <c r="BM458" s="63"/>
      <c r="BN458" s="63"/>
      <c r="BO458" s="63"/>
      <c r="BP458" s="63"/>
      <c r="BQ458" s="63"/>
      <c r="BR458" s="63"/>
      <c r="BS458" s="63"/>
      <c r="BT458" s="63"/>
      <c r="BU458" s="63"/>
      <c r="BV458" s="63"/>
      <c r="BW458" s="63"/>
      <c r="BX458" s="63"/>
      <c r="BY458" s="63"/>
      <c r="BZ458" s="63"/>
      <c r="CA458" s="185"/>
      <c r="CB458" s="185"/>
      <c r="CC458" s="185"/>
      <c r="CD458" s="185"/>
      <c r="CE458" s="185"/>
      <c r="CF458" s="185"/>
      <c r="CG458" s="185"/>
      <c r="CH458" s="185"/>
      <c r="CI458" s="185"/>
      <c r="CJ458" s="185"/>
      <c r="CK458" s="185"/>
      <c r="CL458" s="185"/>
      <c r="CM458" s="185"/>
      <c r="CN458" s="185"/>
    </row>
    <row r="459" spans="2:92" ht="31.5" customHeight="1" outlineLevel="1" x14ac:dyDescent="0.35">
      <c r="B459" s="69" t="s">
        <v>55</v>
      </c>
      <c r="C459" s="95" t="s">
        <v>371</v>
      </c>
      <c r="D459" s="70"/>
      <c r="F459" s="159" t="str">
        <f t="shared" si="360"/>
        <v/>
      </c>
      <c r="G459" s="160">
        <f t="shared" ca="1" si="361"/>
        <v>106</v>
      </c>
      <c r="H459" s="160">
        <f t="shared" ca="1" si="361"/>
        <v>149</v>
      </c>
      <c r="I459" s="160">
        <f t="shared" ca="1" si="361"/>
        <v>106</v>
      </c>
      <c r="J459" s="62"/>
      <c r="BH459" s="63"/>
      <c r="BI459" s="63"/>
      <c r="BJ459" s="63"/>
      <c r="BK459" s="63"/>
      <c r="BL459" s="63"/>
      <c r="BM459" s="63"/>
      <c r="BN459" s="63"/>
      <c r="BO459" s="63"/>
      <c r="BP459" s="63"/>
      <c r="BQ459" s="63"/>
      <c r="BR459" s="63"/>
      <c r="BS459" s="63"/>
      <c r="BT459" s="63"/>
      <c r="BU459" s="63"/>
      <c r="BV459" s="63"/>
      <c r="BW459" s="63"/>
      <c r="BX459" s="63"/>
      <c r="BY459" s="63"/>
      <c r="BZ459" s="63"/>
      <c r="CA459" s="185"/>
      <c r="CB459" s="185"/>
      <c r="CC459" s="185"/>
      <c r="CD459" s="185"/>
      <c r="CE459" s="185"/>
      <c r="CF459" s="185"/>
      <c r="CG459" s="185"/>
      <c r="CH459" s="185"/>
      <c r="CI459" s="185"/>
      <c r="CJ459" s="185"/>
      <c r="CK459" s="185"/>
      <c r="CL459" s="185"/>
      <c r="CM459" s="185"/>
      <c r="CN459" s="185"/>
    </row>
    <row r="460" spans="2:92" ht="26.25" customHeight="1" outlineLevel="1" x14ac:dyDescent="0.35">
      <c r="B460" s="69" t="s">
        <v>342</v>
      </c>
      <c r="C460" s="96" t="s">
        <v>51</v>
      </c>
      <c r="D460" s="131" t="str">
        <f>IF("Ska Ingå"=D459,"Ska Ingå","")</f>
        <v/>
      </c>
      <c r="F460" s="84" t="str">
        <f t="shared" si="360"/>
        <v/>
      </c>
      <c r="G460" s="85" t="str">
        <f t="shared" ca="1" si="361"/>
        <v>HP</v>
      </c>
      <c r="H460" s="85" t="str">
        <f t="shared" ca="1" si="361"/>
        <v>HP</v>
      </c>
      <c r="I460" s="85" t="str">
        <f t="shared" ca="1" si="361"/>
        <v>HP</v>
      </c>
      <c r="J460" s="62"/>
    </row>
    <row r="461" spans="2:92" ht="67.5" customHeight="1" outlineLevel="1" x14ac:dyDescent="0.35">
      <c r="B461" s="69" t="s">
        <v>347</v>
      </c>
      <c r="C461" s="97" t="s">
        <v>52</v>
      </c>
      <c r="D461" s="132" t="str">
        <f>IF("Ska Ingå"=D459,"Ska Ingå","")</f>
        <v/>
      </c>
      <c r="F461" s="86" t="str">
        <f t="shared" si="360"/>
        <v/>
      </c>
      <c r="G461" s="87" t="str">
        <f t="shared" ca="1" si="361"/>
        <v>GBXH6Y88AA</v>
      </c>
      <c r="H461" s="87" t="str">
        <f t="shared" ca="1" si="361"/>
        <v xml:space="preserve">1MZ01AA </v>
      </c>
      <c r="I461" s="87" t="str">
        <f t="shared" ca="1" si="361"/>
        <v>GBXH6Y88AA</v>
      </c>
      <c r="J461" s="62"/>
    </row>
    <row r="462" spans="2:92" ht="26.25" customHeight="1" outlineLevel="1" x14ac:dyDescent="0.35">
      <c r="B462" s="69" t="s">
        <v>59</v>
      </c>
      <c r="C462" s="98" t="s">
        <v>364</v>
      </c>
      <c r="D462" s="70"/>
      <c r="F462" s="157" t="str">
        <f t="shared" si="360"/>
        <v/>
      </c>
      <c r="G462" s="158">
        <f t="shared" ca="1" si="361"/>
        <v>949</v>
      </c>
      <c r="H462" s="158">
        <f t="shared" ca="1" si="361"/>
        <v>1185</v>
      </c>
      <c r="I462" s="158">
        <f t="shared" ca="1" si="361"/>
        <v>949</v>
      </c>
      <c r="J462" s="62"/>
      <c r="BH462" s="63"/>
      <c r="BI462" s="63"/>
      <c r="BJ462" s="63"/>
      <c r="BK462" s="63"/>
      <c r="BL462" s="63"/>
      <c r="BM462" s="63"/>
      <c r="BN462" s="63"/>
      <c r="BO462" s="63"/>
      <c r="BP462" s="63"/>
      <c r="BQ462" s="63"/>
      <c r="BR462" s="63"/>
      <c r="BS462" s="63"/>
      <c r="BT462" s="63"/>
      <c r="BU462" s="63"/>
      <c r="BV462" s="63"/>
      <c r="BW462" s="63"/>
      <c r="BX462" s="63"/>
      <c r="BY462" s="63"/>
      <c r="BZ462" s="63"/>
    </row>
    <row r="463" spans="2:92" ht="26.25" customHeight="1" outlineLevel="1" x14ac:dyDescent="0.35">
      <c r="B463" s="69" t="s">
        <v>343</v>
      </c>
      <c r="C463" s="61" t="s">
        <v>51</v>
      </c>
      <c r="D463" s="131" t="str">
        <f>IF("Ska Ingå"=D462,"Ska Ingå","")</f>
        <v/>
      </c>
      <c r="F463" s="88" t="str">
        <f t="shared" si="360"/>
        <v/>
      </c>
      <c r="G463" s="89" t="str">
        <f t="shared" ca="1" si="361"/>
        <v>HP</v>
      </c>
      <c r="H463" s="89" t="str">
        <f t="shared" ca="1" si="361"/>
        <v>HP</v>
      </c>
      <c r="I463" s="89" t="str">
        <f t="shared" ca="1" si="361"/>
        <v>HP</v>
      </c>
      <c r="J463" s="62"/>
    </row>
    <row r="464" spans="2:92" ht="67.5" customHeight="1" outlineLevel="1" x14ac:dyDescent="0.35">
      <c r="B464" s="69" t="s">
        <v>348</v>
      </c>
      <c r="C464" s="99" t="s">
        <v>52</v>
      </c>
      <c r="D464" s="132" t="str">
        <f>IF("Ska Ingå"=D462,"Ska Ingå","")</f>
        <v/>
      </c>
      <c r="F464" s="90" t="str">
        <f t="shared" si="360"/>
        <v/>
      </c>
      <c r="G464" s="91" t="str">
        <f t="shared" ca="1" si="361"/>
        <v>GBX5TW10AA</v>
      </c>
      <c r="H464" s="91" t="str">
        <f t="shared" ca="1" si="361"/>
        <v>72C71AA</v>
      </c>
      <c r="I464" s="91" t="str">
        <f t="shared" ca="1" si="361"/>
        <v>GBX5TW10AA</v>
      </c>
      <c r="J464" s="62"/>
      <c r="BH464" s="63"/>
      <c r="BI464" s="63"/>
      <c r="BJ464" s="63"/>
      <c r="BK464" s="63"/>
      <c r="BL464" s="63"/>
      <c r="BM464" s="63"/>
      <c r="BN464" s="63"/>
      <c r="BO464" s="63"/>
      <c r="BP464" s="63"/>
      <c r="BQ464" s="63"/>
      <c r="BR464" s="63"/>
      <c r="BS464" s="63"/>
      <c r="BT464" s="63"/>
      <c r="BU464" s="63"/>
      <c r="BV464" s="63"/>
      <c r="BW464" s="63"/>
      <c r="BX464" s="63"/>
      <c r="BY464" s="63"/>
      <c r="BZ464" s="63"/>
    </row>
    <row r="465" spans="2:78" ht="26.25" customHeight="1" outlineLevel="1" x14ac:dyDescent="0.35">
      <c r="B465" s="69"/>
      <c r="C465" s="212" t="s">
        <v>365</v>
      </c>
      <c r="D465" s="215"/>
      <c r="E465" s="213"/>
      <c r="F465" s="213"/>
      <c r="G465" s="213"/>
      <c r="H465" s="213"/>
      <c r="I465" s="214"/>
      <c r="J465" s="62"/>
      <c r="BH465" s="63"/>
      <c r="BI465" s="63"/>
      <c r="BJ465" s="63"/>
      <c r="BK465" s="63"/>
      <c r="BL465" s="63"/>
      <c r="BM465" s="63"/>
      <c r="BN465" s="63"/>
      <c r="BO465" s="63"/>
      <c r="BP465" s="63"/>
      <c r="BQ465" s="63"/>
      <c r="BR465" s="63"/>
      <c r="BS465" s="63"/>
      <c r="BT465" s="63"/>
      <c r="BU465" s="63"/>
      <c r="BV465" s="63"/>
      <c r="BW465" s="63"/>
      <c r="BX465" s="63"/>
      <c r="BY465" s="63"/>
      <c r="BZ465" s="63"/>
    </row>
    <row r="466" spans="2:78" ht="26.25" customHeight="1" outlineLevel="1" x14ac:dyDescent="0.35">
      <c r="B466" s="71" t="s">
        <v>228</v>
      </c>
      <c r="C466" s="115" t="s">
        <v>367</v>
      </c>
      <c r="D466" s="70"/>
      <c r="F466" s="151" t="str">
        <f>IF(F$434="Inget antal angivet","",IFERROR(INDEX($AR$435:$BZ$462,MATCH(F$431,$AP$435:$AP$462,0),MATCH($B466,$AR$435:$BZ$435,0)),""))</f>
        <v/>
      </c>
      <c r="G466" s="152">
        <f t="shared" ref="G466:I469" ca="1" si="362">IFERROR(INDEX($AR$435:$BZ$462,MATCH(G$431,$AP$435:$AP$462,0),MATCH($B466,$AR$435:$BZ$435,0)),"")</f>
        <v>151</v>
      </c>
      <c r="H466" s="152">
        <f t="shared" ca="1" si="362"/>
        <v>450</v>
      </c>
      <c r="I466" s="152">
        <f t="shared" ca="1" si="362"/>
        <v>151</v>
      </c>
      <c r="J466" s="62"/>
    </row>
    <row r="467" spans="2:78" ht="26.25" customHeight="1" outlineLevel="1" x14ac:dyDescent="0.35">
      <c r="B467" s="71" t="s">
        <v>229</v>
      </c>
      <c r="C467" s="61" t="s">
        <v>368</v>
      </c>
      <c r="D467" s="70"/>
      <c r="F467" s="153" t="str">
        <f>IF(F$434="Inget antal angivet","",IFERROR(INDEX($AR$435:$BZ$462,MATCH(F$431,$AP$435:$AP$462,0),MATCH($B467,$AR$435:$BZ$435,0)),""))</f>
        <v/>
      </c>
      <c r="G467" s="154">
        <f t="shared" ca="1" si="362"/>
        <v>70</v>
      </c>
      <c r="H467" s="154">
        <f t="shared" ca="1" si="362"/>
        <v>133</v>
      </c>
      <c r="I467" s="154">
        <f t="shared" ca="1" si="362"/>
        <v>70</v>
      </c>
      <c r="J467" s="62"/>
    </row>
    <row r="468" spans="2:78" ht="26.25" customHeight="1" outlineLevel="1" x14ac:dyDescent="0.35">
      <c r="B468" s="71" t="s">
        <v>230</v>
      </c>
      <c r="C468" s="96" t="s">
        <v>369</v>
      </c>
      <c r="D468" s="70"/>
      <c r="F468" s="155" t="str">
        <f>IF(F$434="Inget antal angivet","",IFERROR(INDEX($AR$435:$BZ$462,MATCH(F$431,$AP$435:$AP$462,0),MATCH($B468,$AR$435:$BZ$435,0)),""))</f>
        <v/>
      </c>
      <c r="G468" s="156">
        <f t="shared" ca="1" si="362"/>
        <v>25</v>
      </c>
      <c r="H468" s="156">
        <f t="shared" ca="1" si="362"/>
        <v>20</v>
      </c>
      <c r="I468" s="156">
        <f t="shared" ca="1" si="362"/>
        <v>25</v>
      </c>
      <c r="J468" s="62"/>
    </row>
    <row r="469" spans="2:78" ht="26.25" customHeight="1" outlineLevel="1" x14ac:dyDescent="0.35">
      <c r="B469" s="71" t="s">
        <v>231</v>
      </c>
      <c r="C469" s="61" t="s">
        <v>370</v>
      </c>
      <c r="D469" s="70"/>
      <c r="F469" s="153" t="str">
        <f>IF(F$434="Inget antal angivet","",IFERROR(INDEX($AR$435:$BZ$462,MATCH(F$431,$AP$435:$AP$462,0),MATCH($B469,$AR$435:$BZ$435,0)),""))</f>
        <v/>
      </c>
      <c r="G469" s="154">
        <f t="shared" ca="1" si="362"/>
        <v>25</v>
      </c>
      <c r="H469" s="154">
        <f t="shared" ca="1" si="362"/>
        <v>20</v>
      </c>
      <c r="I469" s="154">
        <f t="shared" ca="1" si="362"/>
        <v>25</v>
      </c>
      <c r="J469" s="62"/>
    </row>
    <row r="470" spans="2:78" ht="24" customHeight="1" outlineLevel="1" x14ac:dyDescent="0.35"/>
    <row r="471" spans="2:78" ht="24" customHeight="1" x14ac:dyDescent="0.35"/>
    <row r="472" spans="2:78" ht="24" customHeight="1" x14ac:dyDescent="0.35">
      <c r="D472" s="72" t="s">
        <v>233</v>
      </c>
      <c r="F472" s="216" t="s">
        <v>362</v>
      </c>
      <c r="G472" s="216"/>
      <c r="H472" s="216"/>
      <c r="I472" s="217"/>
      <c r="J472" s="73"/>
    </row>
    <row r="473" spans="2:78" ht="24" customHeight="1" x14ac:dyDescent="0.35">
      <c r="D473" s="74"/>
      <c r="F473" s="202" t="str">
        <f ca="1">IFERROR(INDEX($Z$436:$Z$462,MATCH(F431,$AA$436:$AA$462,0)) *D473,"")</f>
        <v/>
      </c>
      <c r="G473" s="202">
        <f ca="1">IFERROR(P436 *D473,"")</f>
        <v>0</v>
      </c>
      <c r="H473" s="202">
        <f ca="1">IFERROR(P437 *D473,"")</f>
        <v>0</v>
      </c>
      <c r="I473" s="202">
        <f ca="1">IFERROR(P438 * D473,"")</f>
        <v>0</v>
      </c>
      <c r="J473" s="54"/>
    </row>
    <row r="475" spans="2:78" ht="15" thickBot="1" x14ac:dyDescent="0.4">
      <c r="C475" s="174"/>
      <c r="D475" s="174"/>
      <c r="E475" s="174"/>
      <c r="F475" s="174"/>
      <c r="G475" s="174"/>
      <c r="H475" s="174"/>
      <c r="I475" s="174"/>
    </row>
    <row r="476" spans="2:78" ht="15" thickTop="1" x14ac:dyDescent="0.35"/>
  </sheetData>
  <sheetProtection algorithmName="SHA-512" hashValue="Tp7V5owJE7jxsEmE8zBnurQJ+L7mKcjdlpVWvGrKXGJ+WsYHGhL/ELj4m5tHFoWCcM1skHDTVte0AR0KlK1t0Q==" saltValue="3W/+guv5Lg26/BOwTRNAEQ==" spinCount="100000" sheet="1" formatRows="0"/>
  <autoFilter ref="Q11:CU476" xr:uid="{00000000-0001-0000-0100-000000000000}"/>
  <mergeCells count="80">
    <mergeCell ref="G8:I8"/>
    <mergeCell ref="F48:I48"/>
    <mergeCell ref="C12:D12"/>
    <mergeCell ref="C28:I28"/>
    <mergeCell ref="C9:D9"/>
    <mergeCell ref="C11:D11"/>
    <mergeCell ref="F9:I9"/>
    <mergeCell ref="C41:I41"/>
    <mergeCell ref="C88:I88"/>
    <mergeCell ref="F95:I95"/>
    <mergeCell ref="G55:I55"/>
    <mergeCell ref="C56:D56"/>
    <mergeCell ref="F56:I56"/>
    <mergeCell ref="C58:D58"/>
    <mergeCell ref="C59:D59"/>
    <mergeCell ref="C75:I75"/>
    <mergeCell ref="C153:D153"/>
    <mergeCell ref="C169:I169"/>
    <mergeCell ref="C182:I182"/>
    <mergeCell ref="F189:I189"/>
    <mergeCell ref="C135:I135"/>
    <mergeCell ref="F142:I142"/>
    <mergeCell ref="G149:I149"/>
    <mergeCell ref="C150:D150"/>
    <mergeCell ref="F150:I150"/>
    <mergeCell ref="C152:D152"/>
    <mergeCell ref="G102:I102"/>
    <mergeCell ref="C103:D103"/>
    <mergeCell ref="F103:I103"/>
    <mergeCell ref="C105:D105"/>
    <mergeCell ref="C106:D106"/>
    <mergeCell ref="C122:I122"/>
    <mergeCell ref="F377:I377"/>
    <mergeCell ref="C338:D338"/>
    <mergeCell ref="F338:I338"/>
    <mergeCell ref="C340:D340"/>
    <mergeCell ref="C341:D341"/>
    <mergeCell ref="C357:I357"/>
    <mergeCell ref="C370:I370"/>
    <mergeCell ref="C293:D293"/>
    <mergeCell ref="C294:D294"/>
    <mergeCell ref="C310:I310"/>
    <mergeCell ref="C323:I323"/>
    <mergeCell ref="F330:I330"/>
    <mergeCell ref="G337:I337"/>
    <mergeCell ref="C247:D247"/>
    <mergeCell ref="C263:I263"/>
    <mergeCell ref="C276:I276"/>
    <mergeCell ref="F283:I283"/>
    <mergeCell ref="G290:I290"/>
    <mergeCell ref="C291:D291"/>
    <mergeCell ref="F291:I291"/>
    <mergeCell ref="C246:D246"/>
    <mergeCell ref="G196:I196"/>
    <mergeCell ref="C197:D197"/>
    <mergeCell ref="F197:I197"/>
    <mergeCell ref="C199:D199"/>
    <mergeCell ref="C200:D200"/>
    <mergeCell ref="C216:I216"/>
    <mergeCell ref="C229:I229"/>
    <mergeCell ref="F236:I236"/>
    <mergeCell ref="G243:I243"/>
    <mergeCell ref="C244:D244"/>
    <mergeCell ref="F244:I244"/>
    <mergeCell ref="F472:I472"/>
    <mergeCell ref="C433:D433"/>
    <mergeCell ref="F433:I433"/>
    <mergeCell ref="C435:D435"/>
    <mergeCell ref="C436:D436"/>
    <mergeCell ref="C452:I452"/>
    <mergeCell ref="C465:I465"/>
    <mergeCell ref="G432:I432"/>
    <mergeCell ref="G385:I385"/>
    <mergeCell ref="C386:D386"/>
    <mergeCell ref="F386:I386"/>
    <mergeCell ref="C388:D388"/>
    <mergeCell ref="C389:D389"/>
    <mergeCell ref="C405:I405"/>
    <mergeCell ref="C418:I418"/>
    <mergeCell ref="F425:I425"/>
  </mergeCells>
  <phoneticPr fontId="7" type="noConversion"/>
  <conditionalFormatting sqref="C9:D9">
    <cfRule type="expression" dxfId="92" priority="34">
      <formula>C9= ""</formula>
    </cfRule>
  </conditionalFormatting>
  <conditionalFormatting sqref="C56:D56">
    <cfRule type="expression" dxfId="91" priority="28">
      <formula>C56= ""</formula>
    </cfRule>
  </conditionalFormatting>
  <conditionalFormatting sqref="C103:D103">
    <cfRule type="expression" dxfId="90" priority="27">
      <formula>C103= ""</formula>
    </cfRule>
  </conditionalFormatting>
  <conditionalFormatting sqref="C150:D150">
    <cfRule type="expression" dxfId="89" priority="26">
      <formula>C150= ""</formula>
    </cfRule>
  </conditionalFormatting>
  <conditionalFormatting sqref="C197:D197">
    <cfRule type="expression" dxfId="88" priority="25">
      <formula>C197= ""</formula>
    </cfRule>
  </conditionalFormatting>
  <conditionalFormatting sqref="C244:D244">
    <cfRule type="expression" dxfId="87" priority="24">
      <formula>C244= ""</formula>
    </cfRule>
  </conditionalFormatting>
  <conditionalFormatting sqref="C291:D291">
    <cfRule type="expression" dxfId="86" priority="23">
      <formula>C291= ""</formula>
    </cfRule>
  </conditionalFormatting>
  <conditionalFormatting sqref="C338:D338">
    <cfRule type="expression" dxfId="85" priority="22">
      <formula>C338= ""</formula>
    </cfRule>
  </conditionalFormatting>
  <conditionalFormatting sqref="C386:D386">
    <cfRule type="expression" dxfId="84" priority="21">
      <formula>C386= ""</formula>
    </cfRule>
  </conditionalFormatting>
  <conditionalFormatting sqref="C433:D433">
    <cfRule type="expression" dxfId="83" priority="20">
      <formula>C433= ""</formula>
    </cfRule>
  </conditionalFormatting>
  <conditionalFormatting sqref="AC12:AM31">
    <cfRule type="cellIs" dxfId="82" priority="19" operator="equal">
      <formula>FALSE</formula>
    </cfRule>
  </conditionalFormatting>
  <conditionalFormatting sqref="AC59:AM78">
    <cfRule type="cellIs" dxfId="81" priority="9" operator="equal">
      <formula>FALSE</formula>
    </cfRule>
  </conditionalFormatting>
  <conditionalFormatting sqref="AC106:AM125">
    <cfRule type="cellIs" dxfId="80" priority="8" operator="equal">
      <formula>FALSE</formula>
    </cfRule>
  </conditionalFormatting>
  <conditionalFormatting sqref="AC153:AM172">
    <cfRule type="cellIs" dxfId="79" priority="7" operator="equal">
      <formula>FALSE</formula>
    </cfRule>
  </conditionalFormatting>
  <conditionalFormatting sqref="AC200:AM219">
    <cfRule type="cellIs" dxfId="78" priority="6" operator="equal">
      <formula>FALSE</formula>
    </cfRule>
  </conditionalFormatting>
  <conditionalFormatting sqref="AC247:AM266">
    <cfRule type="cellIs" dxfId="77" priority="5" operator="equal">
      <formula>FALSE</formula>
    </cfRule>
  </conditionalFormatting>
  <conditionalFormatting sqref="AC294:AM313">
    <cfRule type="cellIs" dxfId="76" priority="4" operator="equal">
      <formula>FALSE</formula>
    </cfRule>
  </conditionalFormatting>
  <conditionalFormatting sqref="AC341:AM360">
    <cfRule type="cellIs" dxfId="75" priority="3" operator="equal">
      <formula>FALSE</formula>
    </cfRule>
  </conditionalFormatting>
  <conditionalFormatting sqref="AC389:AM408">
    <cfRule type="cellIs" dxfId="74" priority="2" operator="equal">
      <formula>FALSE</formula>
    </cfRule>
  </conditionalFormatting>
  <conditionalFormatting sqref="AC436:AM455">
    <cfRule type="cellIs" dxfId="73" priority="1" operator="equal">
      <formula>FALSE</formula>
    </cfRule>
  </conditionalFormatting>
  <dataValidations count="19">
    <dataValidation type="list" allowBlank="1" showInputMessage="1" showErrorMessage="1" sqref="D22 D399 D69 D116 D163 D210 D257 D304 D351 D446" xr:uid="{00000000-0002-0000-0100-000000000000}">
      <formula1>$CI$12:$CI$13</formula1>
    </dataValidation>
    <dataValidation type="list" allowBlank="1" showInputMessage="1" showErrorMessage="1" sqref="D26 D403 D73 D120 D167 D214 D261 D308 D355 D450" xr:uid="{00000000-0002-0000-0100-000001000000}">
      <formula1>$CM$12</formula1>
    </dataValidation>
    <dataValidation type="list" allowBlank="1" showInputMessage="1" showErrorMessage="1" sqref="D21 D398 D68 D115 D162 D209 D256 D303 D350 D445" xr:uid="{00000000-0002-0000-0100-000002000000}">
      <formula1>$CH$12</formula1>
    </dataValidation>
    <dataValidation type="list" allowBlank="1" showInputMessage="1" showErrorMessage="1" sqref="D451 D27 D309 D74 D404 D121 D262 D168 D356 D215" xr:uid="{00000000-0002-0000-0100-000003000000}">
      <formula1>$CN$12</formula1>
    </dataValidation>
    <dataValidation type="list" allowBlank="1" showInputMessage="1" showErrorMessage="1" sqref="D23 D400 D70 D117 D164 D211 D258 D305 D352 D447" xr:uid="{00000000-0002-0000-0100-000004000000}">
      <formula1>$CJ$12:$CJ$14</formula1>
    </dataValidation>
    <dataValidation type="list" allowBlank="1" showInputMessage="1" showErrorMessage="1" sqref="D20 D397 D67 D114 D161 D208 D255 D302 D349 D444" xr:uid="{00000000-0002-0000-0100-000005000000}">
      <formula1>$CG$12:$CG$13</formula1>
    </dataValidation>
    <dataValidation type="list" allowBlank="1" showInputMessage="1" showErrorMessage="1" sqref="D14 D391 D61 D108 D155 D202 D249 D296 D343 D438" xr:uid="{00000000-0002-0000-0100-000006000000}">
      <formula1>$CE$12:$CE$14</formula1>
    </dataValidation>
    <dataValidation type="list" allowBlank="1" showInputMessage="1" showErrorMessage="1" sqref="D18 D395 D65 D112 D159 D206 D253 D300 D347 D442" xr:uid="{00000000-0002-0000-0100-000008000000}">
      <formula1>$CD$12:$CD$13</formula1>
    </dataValidation>
    <dataValidation type="list" allowBlank="1" showInputMessage="1" showErrorMessage="1" sqref="D42:D45 D29 D32 D35 D38 D89:D92 D76 D79 D82 D85 D136:D139 D123 D126 D129 D132 D183:D186 D170 D173 D176 D179 D230:D233 D217 D220 D223 D226 D277:D280 D264 D267 D270 D273 D324:D327 D311 D314 D317 D320 D371:D374 D358 D361 D364 D367 D419:D422 D406 D409 D412 D415 D466:D469 D453 D456 D459 D462" xr:uid="{00000000-0002-0000-0100-000009000000}">
      <formula1>"Ska Ingå,"</formula1>
    </dataValidation>
    <dataValidation type="whole" allowBlank="1" showInputMessage="1" showErrorMessage="1" sqref="D49 D96 D143 D190 D237 D284 D331 D378 D426 D473" xr:uid="{00000000-0002-0000-0100-00000B000000}">
      <formula1>0</formula1>
      <formula2>10000</formula2>
    </dataValidation>
    <dataValidation type="list" allowBlank="1" showInputMessage="1" showErrorMessage="1" sqref="D15 D392 D62 D109 D156 D203 D250 D297 D344 D439" xr:uid="{00000000-0002-0000-0100-00000C000000}">
      <formula1>$CA$12:$CA$13</formula1>
    </dataValidation>
    <dataValidation type="list" allowBlank="1" showInputMessage="1" showErrorMessage="1" sqref="D46:D47 D93:D94 D140:D141 D187:D188 D234:D235 D281:D282 D328:D329 D375:D376 D423:D424 D470:D471" xr:uid="{00000000-0002-0000-0100-00000D000000}">
      <formula1>CA$13:CA$19</formula1>
    </dataValidation>
    <dataValidation type="list" allowBlank="1" showInputMessage="1" showErrorMessage="1" sqref="D24 D401 D71 D118 D165 D212 D259 D306 D353 D448" xr:uid="{00000000-0002-0000-0100-00000E000000}">
      <formula1>$CK$12:$CK$13</formula1>
    </dataValidation>
    <dataValidation type="list" allowBlank="1" showInputMessage="1" showErrorMessage="1" sqref="D25 D402 D72 D119 D166 D213 D260 D307 D354 D449" xr:uid="{00000000-0002-0000-0100-000010000000}">
      <formula1>$CL$12:$CL$13</formula1>
    </dataValidation>
    <dataValidation allowBlank="1" showInputMessage="1" showErrorMessage="1" prompt="Om du väljer AMD då visas bara AMD-processorer, och väljder du Intel visas bara Intel-processorer. Om du väljer en specifik processor, då kommer de som är likvärdiga eller bättre från samma processor visas." sqref="C16" xr:uid="{E9B00626-FB90-4CFF-8E3F-381B7452D05F}"/>
    <dataValidation type="list" allowBlank="1" showInputMessage="1" showErrorMessage="1" sqref="D16 D63 D110 D157 D204 D251 D298 D345 D393 D440" xr:uid="{AF4CE8EF-9BF8-43FA-83BB-5A38FF21BDE5}">
      <formula1>$CB$12:$CB$25</formula1>
    </dataValidation>
    <dataValidation type="list" allowBlank="1" showInputMessage="1" showErrorMessage="1" sqref="D13 D60 D107 D154 D201 D248 D295 D342 D390 D437" xr:uid="{813D6CCC-6642-4C14-9A59-88B4F9B6FCAC}">
      <formula1>$CN$12:$CN$14</formula1>
    </dataValidation>
    <dataValidation type="list" allowBlank="1" showInputMessage="1" showErrorMessage="1" sqref="D17 D64 D111 D158 D205 D252 D299 D346 D394 D441" xr:uid="{7562CF0D-1D20-4D24-B9B4-E1CD591392B4}">
      <formula1>$CC$12:$CC$15</formula1>
    </dataValidation>
    <dataValidation type="list" allowBlank="1" showInputMessage="1" showErrorMessage="1" sqref="D19 D66 D113 D160 D207 D254 D301 D348 D396 D443" xr:uid="{540A9913-1331-45E0-A160-52F973E00DFF}">
      <formula1>$CF$12:$CF$15</formula1>
    </dataValidation>
  </dataValidations>
  <pageMargins left="0.7" right="0.7" top="0.75" bottom="0.75" header="0.3" footer="0.3"/>
  <pageSetup scale="7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J61"/>
  <sheetViews>
    <sheetView topLeftCell="C1" workbookViewId="0">
      <selection activeCell="F8" sqref="F8"/>
    </sheetView>
  </sheetViews>
  <sheetFormatPr defaultRowHeight="14.5" x14ac:dyDescent="0.35"/>
  <cols>
    <col min="1" max="1" width="21.1796875" customWidth="1"/>
    <col min="2" max="2" width="21" customWidth="1"/>
    <col min="3" max="3" width="36.81640625" customWidth="1"/>
    <col min="4" max="4" width="23" customWidth="1"/>
    <col min="6" max="6" width="27.7265625" customWidth="1"/>
    <col min="7" max="7" width="27.1796875" customWidth="1"/>
  </cols>
  <sheetData>
    <row r="1" spans="1:10" x14ac:dyDescent="0.35">
      <c r="I1" t="s">
        <v>455</v>
      </c>
      <c r="J1" t="s">
        <v>724</v>
      </c>
    </row>
    <row r="2" spans="1:10" ht="29" x14ac:dyDescent="0.35">
      <c r="A2" s="141" t="s">
        <v>226</v>
      </c>
      <c r="B2" s="142" t="s">
        <v>467</v>
      </c>
      <c r="C2" s="142" t="s">
        <v>449</v>
      </c>
      <c r="D2" s="142" t="s">
        <v>450</v>
      </c>
      <c r="E2" s="142" t="s">
        <v>451</v>
      </c>
      <c r="F2" s="142" t="s">
        <v>452</v>
      </c>
      <c r="I2" s="150" t="s">
        <v>456</v>
      </c>
    </row>
    <row r="3" spans="1:10" x14ac:dyDescent="0.35">
      <c r="A3" t="s">
        <v>162</v>
      </c>
      <c r="B3" t="s">
        <v>459</v>
      </c>
      <c r="C3" t="s">
        <v>460</v>
      </c>
      <c r="D3" t="s">
        <v>599</v>
      </c>
    </row>
    <row r="4" spans="1:10" x14ac:dyDescent="0.35">
      <c r="A4" t="s">
        <v>150</v>
      </c>
      <c r="B4" t="s">
        <v>511</v>
      </c>
      <c r="C4" t="s">
        <v>461</v>
      </c>
      <c r="D4" t="s">
        <v>512</v>
      </c>
      <c r="E4" t="s">
        <v>513</v>
      </c>
    </row>
    <row r="5" spans="1:10" x14ac:dyDescent="0.35">
      <c r="A5" t="s">
        <v>546</v>
      </c>
      <c r="B5" t="s">
        <v>565</v>
      </c>
      <c r="C5" t="s">
        <v>564</v>
      </c>
      <c r="D5" t="s">
        <v>566</v>
      </c>
    </row>
    <row r="6" spans="1:10" x14ac:dyDescent="0.35">
      <c r="A6" t="s">
        <v>128</v>
      </c>
      <c r="B6" t="s">
        <v>600</v>
      </c>
      <c r="C6" t="s">
        <v>462</v>
      </c>
      <c r="D6" t="s">
        <v>601</v>
      </c>
      <c r="E6" t="s">
        <v>602</v>
      </c>
    </row>
    <row r="7" spans="1:10" x14ac:dyDescent="0.35">
      <c r="A7" t="s">
        <v>169</v>
      </c>
      <c r="B7" t="s">
        <v>463</v>
      </c>
      <c r="C7" t="s">
        <v>464</v>
      </c>
      <c r="D7" t="s">
        <v>603</v>
      </c>
    </row>
    <row r="8" spans="1:10" x14ac:dyDescent="0.35">
      <c r="A8" t="s">
        <v>167</v>
      </c>
      <c r="C8" t="s">
        <v>465</v>
      </c>
      <c r="D8" t="s">
        <v>466</v>
      </c>
    </row>
    <row r="12" spans="1:10" ht="12.75" customHeight="1" x14ac:dyDescent="0.35"/>
    <row r="13" spans="1:10" ht="12.75" customHeight="1" x14ac:dyDescent="0.35"/>
    <row r="14" spans="1:10" ht="12.75" customHeight="1" x14ac:dyDescent="0.35"/>
    <row r="15" spans="1:10" ht="12.75" customHeight="1" x14ac:dyDescent="0.35"/>
    <row r="16" spans="1:10" ht="12.75" customHeight="1" x14ac:dyDescent="0.35"/>
    <row r="17" ht="12.75" customHeight="1" x14ac:dyDescent="0.35"/>
    <row r="18" ht="12.75" customHeight="1" x14ac:dyDescent="0.35"/>
    <row r="19" ht="12.75" customHeight="1" x14ac:dyDescent="0.35"/>
    <row r="20" ht="12.75" customHeight="1" x14ac:dyDescent="0.35"/>
    <row r="21" ht="12.75" customHeight="1" x14ac:dyDescent="0.35"/>
    <row r="22" ht="12.75" customHeight="1" x14ac:dyDescent="0.35"/>
    <row r="23" ht="12.75" customHeight="1" x14ac:dyDescent="0.35"/>
    <row r="24" ht="12.7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sheetData>
  <hyperlinks>
    <hyperlink ref="C3" r:id="rId1" display="mailto:wpavrop@advania.com"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FFF2CC"/>
    <outlinePr summaryBelow="0" summaryRight="0"/>
    <pageSetUpPr fitToPage="1"/>
  </sheetPr>
  <dimension ref="B1:CS430"/>
  <sheetViews>
    <sheetView showGridLines="0" topLeftCell="A6" zoomScale="90" zoomScaleNormal="90" workbookViewId="0">
      <selection activeCell="F32" sqref="F32"/>
    </sheetView>
  </sheetViews>
  <sheetFormatPr defaultColWidth="9.1796875" defaultRowHeight="14.5" outlineLevelRow="1" x14ac:dyDescent="0.35"/>
  <cols>
    <col min="1" max="1" width="2.81640625" customWidth="1"/>
    <col min="2" max="2" width="14.453125" hidden="1" customWidth="1"/>
    <col min="3" max="3" width="23.54296875" customWidth="1" collapsed="1"/>
    <col min="4" max="4" width="23.54296875" customWidth="1"/>
    <col min="5" max="5" width="2.81640625" customWidth="1"/>
    <col min="6" max="9" width="29" customWidth="1"/>
    <col min="10" max="10" width="3.453125" customWidth="1"/>
    <col min="11" max="37" width="8" hidden="1" customWidth="1"/>
    <col min="38" max="76" width="3.453125" hidden="1" customWidth="1"/>
    <col min="77" max="90" width="15.26953125" hidden="1" customWidth="1"/>
    <col min="91" max="91" width="3.453125" hidden="1" customWidth="1"/>
    <col min="92" max="92" width="3.453125" customWidth="1"/>
    <col min="93" max="93" width="10.26953125" customWidth="1"/>
    <col min="94" max="96" width="9.1796875" customWidth="1"/>
    <col min="97" max="97" width="9.1796875" collapsed="1"/>
  </cols>
  <sheetData>
    <row r="1" spans="2:91" ht="19.5" hidden="1" customHeight="1" x14ac:dyDescent="0.35">
      <c r="M1" s="195" t="s">
        <v>162</v>
      </c>
      <c r="O1" s="196">
        <f t="shared" ref="O1:O6" ca="1" si="0">SUMIF($M:$M,M1,K:K)</f>
        <v>0</v>
      </c>
      <c r="P1" t="b">
        <f t="shared" ref="P1:P6" si="1">IF(COUNTIFS(L:L,FALSE,M:M,M1)&gt;0,FALSE,TRUE)</f>
        <v>1</v>
      </c>
    </row>
    <row r="2" spans="2:91" ht="19.5" hidden="1" customHeight="1" x14ac:dyDescent="0.35">
      <c r="M2" s="195" t="s">
        <v>150</v>
      </c>
      <c r="O2" s="196">
        <f t="shared" ca="1" si="0"/>
        <v>0</v>
      </c>
      <c r="P2" t="b">
        <f t="shared" si="1"/>
        <v>1</v>
      </c>
    </row>
    <row r="3" spans="2:91" ht="19.5" hidden="1" customHeight="1" x14ac:dyDescent="0.35">
      <c r="M3" s="195" t="s">
        <v>128</v>
      </c>
      <c r="O3" s="196">
        <f t="shared" ca="1" si="0"/>
        <v>0</v>
      </c>
      <c r="P3" t="b">
        <f t="shared" si="1"/>
        <v>1</v>
      </c>
    </row>
    <row r="4" spans="2:91" ht="19.5" hidden="1" customHeight="1" x14ac:dyDescent="0.35">
      <c r="M4" s="195" t="s">
        <v>169</v>
      </c>
      <c r="O4" s="196">
        <f t="shared" ca="1" si="0"/>
        <v>0</v>
      </c>
      <c r="P4" t="b">
        <f t="shared" si="1"/>
        <v>1</v>
      </c>
    </row>
    <row r="5" spans="2:91" ht="19.5" hidden="1" customHeight="1" x14ac:dyDescent="0.35">
      <c r="M5" s="195" t="s">
        <v>167</v>
      </c>
      <c r="O5" s="196">
        <f t="shared" ca="1" si="0"/>
        <v>0</v>
      </c>
      <c r="P5" t="b">
        <f t="shared" si="1"/>
        <v>1</v>
      </c>
    </row>
    <row r="6" spans="2:91" ht="19.5" customHeight="1" x14ac:dyDescent="0.35">
      <c r="M6" s="195" t="s">
        <v>546</v>
      </c>
      <c r="O6" s="196">
        <f t="shared" ca="1" si="0"/>
        <v>0</v>
      </c>
      <c r="P6" t="b">
        <f t="shared" si="1"/>
        <v>1</v>
      </c>
    </row>
    <row r="7" spans="2:91" ht="19.5" customHeight="1" collapsed="1" x14ac:dyDescent="0.35">
      <c r="C7" s="53"/>
      <c r="D7" s="53"/>
      <c r="F7" s="50" t="e">
        <f ca="1">N11</f>
        <v>#N/A</v>
      </c>
      <c r="G7" s="50" t="str">
        <f ca="1">INDEX(Z12:Z35,MATCH(P12,Y12:Y35,0))</f>
        <v>Offererad produktnr. 05Qlosr Göteborg AB</v>
      </c>
      <c r="H7" s="50" t="str">
        <f ca="1">INDEX(Z11:Z34,MATCH(P13,Y11:Y34,0))</f>
        <v>Offererad produktnr. 05Dustin Sverige AB</v>
      </c>
      <c r="I7" s="50" t="str">
        <f ca="1">INDEX(Z11:Z34,MATCH(P14,Y11:Y34,0))</f>
        <v>Offererad produktnr. 06Qlosr Göteborg AB</v>
      </c>
      <c r="AP7" s="12" t="s">
        <v>124</v>
      </c>
      <c r="AQ7" s="12" t="s">
        <v>124</v>
      </c>
      <c r="AR7" s="12" t="s">
        <v>124</v>
      </c>
      <c r="AS7" s="12" t="s">
        <v>124</v>
      </c>
      <c r="AT7" s="12" t="s">
        <v>124</v>
      </c>
      <c r="AU7" s="12" t="s">
        <v>124</v>
      </c>
      <c r="AV7" s="12" t="s">
        <v>124</v>
      </c>
      <c r="AW7" s="12" t="s">
        <v>124</v>
      </c>
      <c r="AX7" s="12" t="s">
        <v>124</v>
      </c>
      <c r="AY7" s="12" t="s">
        <v>124</v>
      </c>
      <c r="AZ7" s="12" t="s">
        <v>124</v>
      </c>
      <c r="BA7" s="12" t="s">
        <v>124</v>
      </c>
      <c r="BB7" s="12" t="s">
        <v>124</v>
      </c>
      <c r="BC7" s="12" t="s">
        <v>124</v>
      </c>
      <c r="BD7" s="12" t="s">
        <v>124</v>
      </c>
      <c r="BE7" s="12" t="s">
        <v>124</v>
      </c>
      <c r="BF7" s="12" t="s">
        <v>124</v>
      </c>
      <c r="BG7" s="12" t="s">
        <v>124</v>
      </c>
      <c r="BH7" s="12" t="s">
        <v>124</v>
      </c>
      <c r="BI7" s="12" t="s">
        <v>124</v>
      </c>
      <c r="BJ7" s="12" t="s">
        <v>124</v>
      </c>
      <c r="BK7" s="12" t="s">
        <v>124</v>
      </c>
      <c r="BL7" s="12" t="s">
        <v>124</v>
      </c>
      <c r="BM7" s="12" t="s">
        <v>124</v>
      </c>
      <c r="BN7" s="12" t="s">
        <v>124</v>
      </c>
      <c r="BO7" s="12" t="s">
        <v>124</v>
      </c>
      <c r="BP7" s="12" t="s">
        <v>124</v>
      </c>
      <c r="BQ7" s="12" t="s">
        <v>124</v>
      </c>
      <c r="BR7" s="12" t="s">
        <v>124</v>
      </c>
      <c r="BS7" s="12" t="s">
        <v>124</v>
      </c>
      <c r="BT7" s="12" t="s">
        <v>124</v>
      </c>
      <c r="BU7" s="12"/>
      <c r="BV7" s="12"/>
      <c r="BW7" s="12" t="s">
        <v>124</v>
      </c>
      <c r="BX7" s="12" t="s">
        <v>124</v>
      </c>
      <c r="BY7" s="12"/>
      <c r="BZ7" s="12"/>
      <c r="CA7" s="12"/>
      <c r="CB7" s="12"/>
      <c r="CC7" s="12"/>
      <c r="CD7" s="12"/>
      <c r="CE7" s="12"/>
      <c r="CF7" s="12"/>
      <c r="CG7" s="12"/>
      <c r="CH7" s="12"/>
      <c r="CI7" s="12"/>
      <c r="CJ7" s="12"/>
      <c r="CK7" s="12"/>
      <c r="CL7" s="12"/>
    </row>
    <row r="8" spans="2:91" ht="26.25" customHeight="1" thickBot="1" x14ac:dyDescent="0.4">
      <c r="C8" s="53"/>
      <c r="D8" s="53"/>
      <c r="F8" s="140" t="s">
        <v>446</v>
      </c>
      <c r="G8" s="205" t="s">
        <v>447</v>
      </c>
      <c r="H8" s="205"/>
      <c r="I8" s="205"/>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row>
    <row r="9" spans="2:91" ht="22.5" customHeight="1" thickBot="1" x14ac:dyDescent="0.4">
      <c r="B9" t="str">
        <f ca="1" xml:space="preserve"> "Produkt "  &amp; B10</f>
        <v>Produkt 1</v>
      </c>
      <c r="C9" s="206" t="str">
        <f>IF(F10="Ingen produkt motsvarar","Felmeddelande",IF(COUNTIF($P$1:$P$6,TRUE)&gt;0,"","Felmeddelande"))</f>
        <v/>
      </c>
      <c r="D9" s="207"/>
      <c r="F9" s="218" t="s">
        <v>271</v>
      </c>
      <c r="G9" s="218"/>
      <c r="H9" s="218"/>
      <c r="I9" s="219"/>
      <c r="O9">
        <v>1</v>
      </c>
      <c r="AH9" t="s">
        <v>241</v>
      </c>
      <c r="AP9" s="13" t="str">
        <f>AP11</f>
        <v>Upplösning</v>
      </c>
      <c r="AQ9" s="13" t="str">
        <f t="shared" ref="AQ9:BD9" si="2">AQ11</f>
        <v>Processor</v>
      </c>
      <c r="AR9" s="13" t="str">
        <f t="shared" si="2"/>
        <v>Internminne (GB)</v>
      </c>
      <c r="AS9" s="13" t="str">
        <f t="shared" si="2"/>
        <v>Hårddisk</v>
      </c>
      <c r="AT9" s="13" t="str">
        <f t="shared" si="2"/>
        <v>Skärmstorlek (tum)</v>
      </c>
      <c r="AU9" s="13" t="str">
        <f t="shared" si="2"/>
        <v>Portar USB</v>
      </c>
      <c r="AV9" s="13" t="str">
        <f t="shared" si="2"/>
        <v>Portar USB C</v>
      </c>
      <c r="AW9" s="13" t="str">
        <f t="shared" si="2"/>
        <v>Portar HDMI/Display</v>
      </c>
      <c r="AX9" s="13" t="str">
        <f t="shared" si="2"/>
        <v>Kommunikation WLAN</v>
      </c>
      <c r="AY9" s="13" t="str">
        <f t="shared" si="2"/>
        <v>Kommunikation Bluetooth</v>
      </c>
      <c r="AZ9" s="13" t="str">
        <f t="shared" si="2"/>
        <v>Batteritid (tim)</v>
      </c>
      <c r="BA9" s="13" t="str">
        <f t="shared" si="2"/>
        <v>Energiprestanda</v>
      </c>
      <c r="BB9" s="13" t="str">
        <f t="shared" si="2"/>
        <v>Låsskydd</v>
      </c>
      <c r="BC9" s="13" t="str">
        <f t="shared" si="2"/>
        <v>Operativsystem</v>
      </c>
      <c r="BD9" s="13" t="str">
        <f t="shared" si="2"/>
        <v>Modellbenämning</v>
      </c>
      <c r="BE9" t="s">
        <v>224</v>
      </c>
      <c r="BF9" s="56" t="s">
        <v>53</v>
      </c>
      <c r="BG9" s="56" t="s">
        <v>54</v>
      </c>
      <c r="BH9" s="56" t="s">
        <v>55</v>
      </c>
      <c r="BI9" s="57" t="s">
        <v>228</v>
      </c>
      <c r="BJ9" s="57" t="s">
        <v>229</v>
      </c>
      <c r="BK9" s="57" t="s">
        <v>230</v>
      </c>
      <c r="BL9" s="57" t="s">
        <v>231</v>
      </c>
      <c r="BM9" s="57" t="s">
        <v>340</v>
      </c>
      <c r="BN9" s="57" t="s">
        <v>341</v>
      </c>
      <c r="BO9" s="57" t="s">
        <v>342</v>
      </c>
      <c r="BP9" s="57" t="s">
        <v>343</v>
      </c>
      <c r="BQ9" s="57" t="s">
        <v>345</v>
      </c>
      <c r="BR9" s="57" t="s">
        <v>346</v>
      </c>
      <c r="BS9" s="57" t="s">
        <v>347</v>
      </c>
      <c r="BT9" s="57" t="s">
        <v>348</v>
      </c>
      <c r="BU9" s="57"/>
      <c r="BV9" s="57"/>
      <c r="BW9" s="57" t="s">
        <v>6</v>
      </c>
      <c r="BX9" s="4" t="s">
        <v>51</v>
      </c>
      <c r="BY9" s="13"/>
      <c r="BZ9" s="13"/>
      <c r="CA9" s="13"/>
      <c r="CB9" s="13"/>
      <c r="CC9" s="13"/>
      <c r="CD9" s="13"/>
      <c r="CE9" s="13"/>
      <c r="CF9" s="13"/>
      <c r="CG9" s="13"/>
      <c r="CH9" s="13"/>
      <c r="CI9" s="13"/>
      <c r="CJ9" s="13"/>
      <c r="CK9" s="13"/>
      <c r="CL9" s="13"/>
    </row>
    <row r="10" spans="2:91" ht="22.5" customHeight="1" x14ac:dyDescent="0.35">
      <c r="B10">
        <f ca="1">COUNTIF($F$7:F13,"Produkt I varukorg*")</f>
        <v>1</v>
      </c>
      <c r="F10" s="51" t="str">
        <f>IF(D45&lt;1,"Inget antal angivet",IFERROR(INDEX($Y$12:$Y$23,MATCH(F7,$Z$12:$Z$23,0)),"Ingen produkt motsvarar"))</f>
        <v>Inget antal angivet</v>
      </c>
      <c r="G10" s="52">
        <f ca="1">IFERROR(P12,"Ingen produkt motsvarar")</f>
        <v>2950</v>
      </c>
      <c r="H10" s="52">
        <f ca="1">IFERROR(P13,"")</f>
        <v>3415</v>
      </c>
      <c r="I10" s="52">
        <f ca="1">IFERROR(P14,"")</f>
        <v>3610</v>
      </c>
      <c r="Z10" t="str">
        <f>IF(COUNTIF(AA10:AI10,FALSE)&gt;0,AN10,"")</f>
        <v/>
      </c>
      <c r="AN10" t="s">
        <v>126</v>
      </c>
      <c r="AP10" s="58" t="str">
        <f t="shared" ref="AP10:BT10" ca="1" si="3">IFERROR(INDEX(INDIRECT(AP$7&amp;"!$A$10:CC100000"),MATCH($AN10,INDIRECT(AP$7&amp;"!BH$10:BH100000"),0),MATCH(AP$9,INDIRECT(AP$7&amp;"!a10:CC10"),0)),"False")</f>
        <v>False</v>
      </c>
      <c r="AQ10" s="58" t="str">
        <f t="shared" ca="1" si="3"/>
        <v>False</v>
      </c>
      <c r="AR10" s="58" t="str">
        <f t="shared" ca="1" si="3"/>
        <v>False</v>
      </c>
      <c r="AS10" s="58" t="str">
        <f t="shared" ca="1" si="3"/>
        <v>False</v>
      </c>
      <c r="AT10" s="58" t="str">
        <f t="shared" ca="1" si="3"/>
        <v>False</v>
      </c>
      <c r="AU10" s="58" t="str">
        <f t="shared" ca="1" si="3"/>
        <v>False</v>
      </c>
      <c r="AV10" s="58" t="str">
        <f t="shared" ca="1" si="3"/>
        <v>False</v>
      </c>
      <c r="AW10" s="58" t="str">
        <f t="shared" ca="1" si="3"/>
        <v>False</v>
      </c>
      <c r="AX10" s="58" t="str">
        <f t="shared" ca="1" si="3"/>
        <v>False</v>
      </c>
      <c r="AY10" s="58" t="str">
        <f t="shared" ca="1" si="3"/>
        <v>False</v>
      </c>
      <c r="AZ10" s="58" t="str">
        <f t="shared" ca="1" si="3"/>
        <v>False</v>
      </c>
      <c r="BA10" s="58" t="str">
        <f t="shared" ca="1" si="3"/>
        <v>False</v>
      </c>
      <c r="BB10" s="58" t="str">
        <f t="shared" ca="1" si="3"/>
        <v>False</v>
      </c>
      <c r="BC10" s="58" t="str">
        <f t="shared" ca="1" si="3"/>
        <v>False</v>
      </c>
      <c r="BD10" s="58" t="str">
        <f t="shared" ca="1" si="3"/>
        <v>False</v>
      </c>
      <c r="BE10" s="58" t="str">
        <f t="shared" ca="1" si="3"/>
        <v>False</v>
      </c>
      <c r="BF10" s="58" t="str">
        <f t="shared" ca="1" si="3"/>
        <v>False</v>
      </c>
      <c r="BG10" s="58" t="str">
        <f t="shared" ca="1" si="3"/>
        <v>False</v>
      </c>
      <c r="BH10" s="58" t="str">
        <f t="shared" ca="1" si="3"/>
        <v>False</v>
      </c>
      <c r="BI10" s="58" t="str">
        <f t="shared" ca="1" si="3"/>
        <v>False</v>
      </c>
      <c r="BJ10" s="58" t="str">
        <f t="shared" ca="1" si="3"/>
        <v>False</v>
      </c>
      <c r="BK10" s="58" t="str">
        <f t="shared" ca="1" si="3"/>
        <v>False</v>
      </c>
      <c r="BL10" s="58" t="str">
        <f t="shared" ca="1" si="3"/>
        <v>False</v>
      </c>
      <c r="BM10" s="58" t="str">
        <f t="shared" ca="1" si="3"/>
        <v>False</v>
      </c>
      <c r="BN10" s="58" t="str">
        <f t="shared" ca="1" si="3"/>
        <v>False</v>
      </c>
      <c r="BO10" s="58" t="str">
        <f t="shared" ca="1" si="3"/>
        <v>False</v>
      </c>
      <c r="BP10" s="58" t="str">
        <f t="shared" ca="1" si="3"/>
        <v>False</v>
      </c>
      <c r="BQ10" s="58" t="str">
        <f t="shared" ca="1" si="3"/>
        <v>False</v>
      </c>
      <c r="BR10" s="58" t="str">
        <f t="shared" ca="1" si="3"/>
        <v>False</v>
      </c>
      <c r="BS10" s="58" t="str">
        <f t="shared" ca="1" si="3"/>
        <v>False</v>
      </c>
      <c r="BT10" s="58" t="str">
        <f t="shared" ca="1" si="3"/>
        <v>False</v>
      </c>
      <c r="BU10" s="58"/>
      <c r="BV10" s="58"/>
      <c r="BW10" s="58" t="str">
        <f ca="1">IFERROR(INDEX(INDIRECT(BW$7&amp;"!$A$10:CC100000"),MATCH($AN10,INDIRECT(BW$7&amp;"!BH$10:BH100000"),0),MATCH(BW$9,INDIRECT(BW$7&amp;"!a10:CC10"),0)),"False")</f>
        <v>False</v>
      </c>
      <c r="BX10" s="58" t="str">
        <f ca="1">IFERROR(INDEX(INDIRECT(BX$7&amp;"!$A$10:CC100000"),MATCH($AN10,INDIRECT(BX$7&amp;"!BH$10:BH100000"),0),MATCH(BX$9,INDIRECT(BX$7&amp;"!a10:CC10"),0)),"False")</f>
        <v>False</v>
      </c>
      <c r="BY10" s="58"/>
      <c r="BZ10" s="58"/>
      <c r="CA10" s="58"/>
      <c r="CB10" s="58"/>
      <c r="CC10" s="58"/>
      <c r="CD10" s="58"/>
      <c r="CE10" s="58"/>
      <c r="CF10" s="58"/>
      <c r="CG10" s="58"/>
      <c r="CH10" s="58"/>
      <c r="CI10" s="58"/>
      <c r="CJ10" s="58"/>
      <c r="CK10" s="58"/>
      <c r="CL10" s="58"/>
    </row>
    <row r="11" spans="2:91" ht="22.5" customHeight="1" x14ac:dyDescent="0.35">
      <c r="C11" s="210" t="str">
        <f ca="1" xml:space="preserve"> "Bärbar dator (B) "  &amp; RIGHT("00" &amp; B10,2)</f>
        <v>Bärbar dator (B) 01</v>
      </c>
      <c r="D11" s="211"/>
      <c r="F11" s="92" t="str">
        <f>IF(F10="Inget antal angivet","",IFERROR(INDEX($AP$11:$BX$35,MATCH(F$7,$AN$11:$AN$35,0),MATCH("Modellbenämning",$AP$11:$BX$11,0)),""))</f>
        <v/>
      </c>
      <c r="G11" s="92" t="str">
        <f ca="1">IFERROR(INDEX($AP$11:$BX$35,MATCH(G$7,$AN$11:$AN$35,0),MATCH("Modellbenämning",$AP$11:$BX$11,0)),"")</f>
        <v>Chromebook 3110</v>
      </c>
      <c r="H11" s="92" t="str">
        <f ca="1">IFERROR(INDEX($AP$11:$BX$35,MATCH(H$7,$AN$11:$AN$35,0),MATCH("Modellbenämning",$AP$11:$BX$11,0)),"")</f>
        <v>ChromeBook 11 G9 EE</v>
      </c>
      <c r="I11" s="92" t="str">
        <f ca="1">IFERROR(INDEX($AP$11:$BX$35,MATCH(I$7,$AN$11:$AN$35,0),MATCH("Modellbenämning",$AP$11:$BX$11,0)),"")</f>
        <v>Chromebook 14 G7</v>
      </c>
      <c r="J11" s="93"/>
      <c r="K11" s="92"/>
      <c r="L11" s="92"/>
      <c r="M11" s="92"/>
      <c r="N11" s="92" t="e">
        <f ca="1">INDEX($N$12:$N$17,MATCH(Överblick!$L$2,$M$12:$M$17,0))</f>
        <v>#N/A</v>
      </c>
      <c r="O11" s="92"/>
      <c r="P11" s="92"/>
      <c r="Q11" s="92"/>
      <c r="R11" s="92">
        <v>1</v>
      </c>
      <c r="S11" s="92">
        <v>2</v>
      </c>
      <c r="T11" s="92">
        <v>3</v>
      </c>
      <c r="U11" s="92">
        <v>5</v>
      </c>
      <c r="V11" s="92">
        <v>6</v>
      </c>
      <c r="W11" s="92">
        <v>7</v>
      </c>
      <c r="X11" s="92">
        <v>8</v>
      </c>
      <c r="Y11" s="92"/>
      <c r="Z11" s="92" t="s">
        <v>122</v>
      </c>
      <c r="AA11" s="92" t="s">
        <v>2</v>
      </c>
      <c r="AB11" s="92" t="s">
        <v>4</v>
      </c>
      <c r="AC11" s="92" t="s">
        <v>119</v>
      </c>
      <c r="AD11" s="92" t="s">
        <v>16</v>
      </c>
      <c r="AE11" s="92" t="s">
        <v>7</v>
      </c>
      <c r="AF11" s="92" t="s">
        <v>67</v>
      </c>
      <c r="AG11" s="92" t="s">
        <v>74</v>
      </c>
      <c r="AH11" s="92" t="s">
        <v>103</v>
      </c>
      <c r="AI11" s="92" t="s">
        <v>75</v>
      </c>
      <c r="AJ11" s="92" t="s">
        <v>38</v>
      </c>
      <c r="AK11" s="92"/>
      <c r="AL11" s="92"/>
      <c r="AM11" s="92"/>
      <c r="AN11" s="92" t="s">
        <v>222</v>
      </c>
      <c r="AO11" s="92">
        <v>1</v>
      </c>
      <c r="AP11" s="92" t="s">
        <v>2</v>
      </c>
      <c r="AQ11" s="92" t="s">
        <v>4</v>
      </c>
      <c r="AR11" s="92" t="s">
        <v>119</v>
      </c>
      <c r="AS11" s="92" t="s">
        <v>16</v>
      </c>
      <c r="AT11" s="92" t="s">
        <v>7</v>
      </c>
      <c r="AU11" s="92" t="s">
        <v>67</v>
      </c>
      <c r="AV11" s="92" t="s">
        <v>74</v>
      </c>
      <c r="AW11" s="92" t="s">
        <v>97</v>
      </c>
      <c r="AX11" s="92" t="s">
        <v>103</v>
      </c>
      <c r="AY11" s="92" t="s">
        <v>75</v>
      </c>
      <c r="AZ11" s="92" t="s">
        <v>120</v>
      </c>
      <c r="BA11" s="92" t="s">
        <v>38</v>
      </c>
      <c r="BB11" s="92" t="s">
        <v>37</v>
      </c>
      <c r="BC11" s="92" t="s">
        <v>3</v>
      </c>
      <c r="BD11" s="92" t="s">
        <v>52</v>
      </c>
      <c r="BE11" s="92" t="s">
        <v>25</v>
      </c>
      <c r="BF11" s="92" t="s">
        <v>53</v>
      </c>
      <c r="BG11" s="92" t="s">
        <v>54</v>
      </c>
      <c r="BH11" s="92" t="s">
        <v>55</v>
      </c>
      <c r="BI11" s="92" t="s">
        <v>228</v>
      </c>
      <c r="BJ11" s="92" t="s">
        <v>229</v>
      </c>
      <c r="BK11" s="92" t="s">
        <v>230</v>
      </c>
      <c r="BL11" s="92" t="s">
        <v>231</v>
      </c>
      <c r="BM11" s="92" t="s">
        <v>340</v>
      </c>
      <c r="BN11" s="92" t="s">
        <v>341</v>
      </c>
      <c r="BO11" s="92" t="s">
        <v>342</v>
      </c>
      <c r="BP11" s="92" t="s">
        <v>343</v>
      </c>
      <c r="BQ11" s="92" t="s">
        <v>345</v>
      </c>
      <c r="BR11" s="92" t="s">
        <v>346</v>
      </c>
      <c r="BS11" s="92" t="s">
        <v>347</v>
      </c>
      <c r="BT11" s="92" t="s">
        <v>348</v>
      </c>
      <c r="BU11" s="92"/>
      <c r="BV11" s="92"/>
      <c r="BW11" s="92" t="s">
        <v>6</v>
      </c>
      <c r="BX11" s="92" t="s">
        <v>51</v>
      </c>
      <c r="BY11" s="92" t="s">
        <v>2</v>
      </c>
      <c r="BZ11" s="92" t="s">
        <v>4</v>
      </c>
      <c r="CA11" s="92" t="s">
        <v>119</v>
      </c>
      <c r="CB11" s="92" t="s">
        <v>16</v>
      </c>
      <c r="CC11" s="92" t="s">
        <v>7</v>
      </c>
      <c r="CD11" s="92" t="s">
        <v>67</v>
      </c>
      <c r="CE11" s="92" t="s">
        <v>74</v>
      </c>
      <c r="CF11" s="92" t="s">
        <v>75</v>
      </c>
      <c r="CG11" s="92" t="s">
        <v>75</v>
      </c>
      <c r="CH11" s="92" t="s">
        <v>120</v>
      </c>
      <c r="CI11" s="92" t="s">
        <v>38</v>
      </c>
      <c r="CJ11" s="92" t="s">
        <v>37</v>
      </c>
      <c r="CK11" s="92" t="s">
        <v>3</v>
      </c>
      <c r="CL11" s="92"/>
      <c r="CM11" s="92"/>
    </row>
    <row r="12" spans="2:91" ht="22.5" customHeight="1" outlineLevel="1" x14ac:dyDescent="0.35">
      <c r="C12" s="210" t="s">
        <v>261</v>
      </c>
      <c r="D12" s="211"/>
      <c r="F12" s="76" t="str">
        <f>IF(F10="Inget antal angivet","",IFERROR(INDEX($AP$11:$BX$35,MATCH(F$7,$AN$11:$AN$35,0),MATCH("Varumärke",$AP$11:$BX$11,0)),""))</f>
        <v/>
      </c>
      <c r="G12" s="77" t="str">
        <f ca="1">IFERROR(INDEX($AP$11:$BX$35,MATCH(G$7,$AN$11:$AN$35,0),MATCH("Varumärke",$AP$11:$BX$11,0)),"")</f>
        <v>Dell</v>
      </c>
      <c r="H12" s="77" t="str">
        <f ca="1">IFERROR(INDEX($AP$11:$BX$35,MATCH(H$7,$AN$11:$AN$35,0),MATCH("Varumärke",$AP$11:$BX$11,0)),"")</f>
        <v>HP</v>
      </c>
      <c r="I12" s="119" t="str">
        <f ca="1">IFERROR(INDEX($AP$11:$BX$35,MATCH(I$7,$AN$11:$AN$35,0),MATCH("Varumärke",$AP$11:$BX$11,0)),"")</f>
        <v>HP</v>
      </c>
      <c r="K12" s="185">
        <f t="shared" ref="K12:K17" ca="1" si="4">O12*$D$45</f>
        <v>0</v>
      </c>
      <c r="L12" s="185" t="b">
        <f t="shared" ref="L12:L17" si="5">IF($D$45=0,TRUE,IF(K12=0,FALSE,TRUE))</f>
        <v>1</v>
      </c>
      <c r="M12" s="185" t="s">
        <v>162</v>
      </c>
      <c r="N12" s="185" t="str">
        <f t="shared" ref="N12:N17" ca="1" si="6">INDEX($Z$12:$Z$23,MATCH(O12,$Y$12:$Y$23,0))</f>
        <v>Offererad produktnr. 05Advania Sverige AB</v>
      </c>
      <c r="O12" s="185" cm="1">
        <f t="array" aca="1" ref="O12" ca="1">MIN(IF(($BW$12:$BW$33=M12)*($AO$12:$AO$33=$O$9),$Y$12:$Y$33))</f>
        <v>3996</v>
      </c>
      <c r="P12" s="197">
        <f ca="1">SMALL($Y$12:$Y$35,1)</f>
        <v>2950</v>
      </c>
      <c r="Q12" s="185">
        <f t="shared" ref="Q12:Q18" si="7">SUM(R12:X12)</f>
        <v>0</v>
      </c>
      <c r="R12" s="185">
        <f t="shared" ref="R12:R18" si="8">IF($D$28="",0,BF12)</f>
        <v>0</v>
      </c>
      <c r="S12" s="185">
        <f t="shared" ref="S12:S18" si="9">IF($D$31="",0,BG12)</f>
        <v>0</v>
      </c>
      <c r="T12" s="185">
        <f t="shared" ref="T12:T18" si="10">IF($D$34="",0,BH12)</f>
        <v>0</v>
      </c>
      <c r="U12" s="185">
        <f t="shared" ref="U12:U18" si="11">IF($D$38="",0,BI12)</f>
        <v>0</v>
      </c>
      <c r="V12" s="185">
        <f t="shared" ref="V12:V18" si="12">IF($D$39="",0,BJ12)</f>
        <v>0</v>
      </c>
      <c r="W12" s="185">
        <f t="shared" ref="W12:W18" si="13">IF($D$40="",0,BK12)</f>
        <v>0</v>
      </c>
      <c r="X12" s="185">
        <f t="shared" ref="X12:X18" si="14">IF($D$41="",0,BL12)</f>
        <v>0</v>
      </c>
      <c r="Y12" s="185">
        <f t="shared" ref="Y12:Y21" ca="1" si="15">IF(Z12="","",SUM(BE12,R12:X12))</f>
        <v>3996</v>
      </c>
      <c r="Z12" s="185" t="str">
        <f t="shared" ref="Z12:Z18" si="16">IF(COUNTIF(AA12:AM12,FALSE)&gt;0,"",AN12)</f>
        <v>Offererad produktnr. 05Advania Sverige AB</v>
      </c>
      <c r="AA12" s="185" t="b">
        <f>IF(" 1366x768"=$D$15,TRUE,IF($D$15=0,TRUE,IF($D$15=AP12,TRUE,FALSE)))</f>
        <v>1</v>
      </c>
      <c r="AB12" s="185" t="b">
        <f>IF($D$16="",TRUE,IF(AQ12=$D$16,TRUE,FALSE))</f>
        <v>1</v>
      </c>
      <c r="AC12" s="185" t="b">
        <f t="shared" ref="AC12:AC18" si="17">IF($D$17="",TRUE,IF(AR12&gt;=$D$17,TRUE,FALSE))</f>
        <v>1</v>
      </c>
      <c r="AD12" s="185" t="b">
        <f t="shared" ref="AD12:AD18" si="18">IF($D$18="",TRUE,IF(AS12&gt;=$D$18,TRUE,FALSE))</f>
        <v>1</v>
      </c>
      <c r="AE12" s="185" t="b">
        <f>IF($D$14="",TRUE,IF(COUNTIF(Processor!$I$2:$I$9,$D$14)&gt;0,AND(AT12&gt;INDEX(Processor!$J$2:$J$9,MATCH($D$14,Processor!$I$2:$I$9,0)),AT12&lt;INDEX(Processor!$K$2:$K$9,MATCH($D$14,Processor!$I$2:$I$9,0))),IF(AT12=$D$14,TRUE,FALSE)))</f>
        <v>1</v>
      </c>
      <c r="AF12" s="185" t="b">
        <f t="shared" ref="AF12:AF18" si="19">IF($D$19="",TRUE,IF(AU12&gt;=$D$19,TRUE,FALSE))</f>
        <v>1</v>
      </c>
      <c r="AG12" s="185" t="b">
        <f t="shared" ref="AG12:AG18" si="20">IF($D$20="",TRUE,IF(AV12&gt;=$D$20,TRUE,FALSE))</f>
        <v>1</v>
      </c>
      <c r="AH12" s="185" t="b">
        <f>IF($D$21="",TRUE,IF($D$21="802.11a/b/g/n/ac",TRUE,IF(AX12&gt;=$D$21,TRUE,FALSE)))</f>
        <v>1</v>
      </c>
      <c r="AI12" s="185" t="b">
        <f t="shared" ref="AI12:AI18" si="21">IF($D$22="",TRUE,IF(AY12&gt;=$D$22,TRUE,FALSE))</f>
        <v>1</v>
      </c>
      <c r="AJ12" s="185" t="b">
        <f>IFERROR(IF($D24="",TRUE,IF(MID(BA12,LEN(BA12)-2,1)*1&gt;=MID($D24,LEN($D24)-2,1)*1,TRUE,FALSE)),FALSE)</f>
        <v>1</v>
      </c>
      <c r="AK12" s="185"/>
      <c r="AL12" s="185"/>
      <c r="AM12" s="185"/>
      <c r="AN12" s="185" t="s">
        <v>202</v>
      </c>
      <c r="AO12" s="185">
        <v>1</v>
      </c>
      <c r="AP12" s="185" t="str">
        <f t="shared" ref="AP12:AY18" ca="1" si="22">IFERROR(INDEX(INDIRECT(AP$7&amp;"!$A$10:CC100000"),MATCH($AN12,INDIRECT(AP$7&amp;"!BH$10:BH100000"),0),MATCH(AP$9,INDIRECT(AP$7&amp;"!a10:CC10"),0)),"False")</f>
        <v>1366x768</v>
      </c>
      <c r="AQ12" s="185" t="str">
        <f t="shared" ca="1" si="22"/>
        <v>Intel Celeron</v>
      </c>
      <c r="AR12" s="185">
        <f t="shared" ca="1" si="22"/>
        <v>4</v>
      </c>
      <c r="AS12" s="185">
        <f t="shared" ca="1" si="22"/>
        <v>32</v>
      </c>
      <c r="AT12" s="185">
        <f t="shared" ca="1" si="22"/>
        <v>11.6</v>
      </c>
      <c r="AU12" s="185">
        <f t="shared" ca="1" si="22"/>
        <v>3</v>
      </c>
      <c r="AV12" s="185">
        <f t="shared" ca="1" si="22"/>
        <v>1</v>
      </c>
      <c r="AW12" s="185">
        <f t="shared" ca="1" si="22"/>
        <v>0</v>
      </c>
      <c r="AX12" s="185" t="str">
        <f t="shared" ca="1" si="22"/>
        <v>802.11a/b/g/n/ac</v>
      </c>
      <c r="AY12" s="185">
        <f t="shared" ca="1" si="22"/>
        <v>5</v>
      </c>
      <c r="AZ12" s="185">
        <f t="shared" ref="AZ12:BI18" ca="1" si="23">IFERROR(INDEX(INDIRECT(AZ$7&amp;"!$A$10:CC100000"),MATCH($AN12,INDIRECT(AZ$7&amp;"!BH$10:BH100000"),0),MATCH(AZ$9,INDIRECT(AZ$7&amp;"!a10:CC10"),0)),"False")</f>
        <v>11</v>
      </c>
      <c r="BA12" s="185" t="str">
        <f t="shared" ca="1" si="23"/>
        <v>Version 8.0</v>
      </c>
      <c r="BB12" s="185" t="str">
        <f t="shared" ca="1" si="23"/>
        <v>Ja</v>
      </c>
      <c r="BC12" s="185" t="str">
        <f t="shared" ca="1" si="23"/>
        <v>Google Chrome OS</v>
      </c>
      <c r="BD12" s="185" t="str">
        <f t="shared" ca="1" si="23"/>
        <v>ChromeBook 11 G9 EE</v>
      </c>
      <c r="BE12" s="185">
        <f t="shared" ca="1" si="23"/>
        <v>3996</v>
      </c>
      <c r="BF12" s="192">
        <f t="shared" ca="1" si="23"/>
        <v>64</v>
      </c>
      <c r="BG12" s="192">
        <f t="shared" ca="1" si="23"/>
        <v>213</v>
      </c>
      <c r="BH12" s="192">
        <f t="shared" ca="1" si="23"/>
        <v>251</v>
      </c>
      <c r="BI12" s="192">
        <f t="shared" ca="1" si="23"/>
        <v>594</v>
      </c>
      <c r="BJ12" s="192">
        <f t="shared" ref="BJ12:BT18" ca="1" si="24">IFERROR(INDEX(INDIRECT(BJ$7&amp;"!$A$10:CC100000"),MATCH($AN12,INDIRECT(BJ$7&amp;"!BH$10:BH100000"),0),MATCH(BJ$9,INDIRECT(BJ$7&amp;"!a10:CC10"),0)),"False")</f>
        <v>112</v>
      </c>
      <c r="BK12" s="192">
        <f t="shared" ca="1" si="24"/>
        <v>50</v>
      </c>
      <c r="BL12" s="192">
        <f t="shared" ca="1" si="24"/>
        <v>50</v>
      </c>
      <c r="BM12" s="192" t="str">
        <f t="shared" ca="1" si="24"/>
        <v>V7</v>
      </c>
      <c r="BN12" s="192" t="str">
        <f t="shared" ca="1" si="24"/>
        <v>PORT Designs</v>
      </c>
      <c r="BO12" s="192" t="str">
        <f t="shared" ca="1" si="24"/>
        <v>CoreParts</v>
      </c>
      <c r="BP12" s="192">
        <f t="shared" ca="1" si="24"/>
        <v>0</v>
      </c>
      <c r="BQ12" s="192" t="str">
        <f t="shared" ca="1" si="24"/>
        <v xml:space="preserve"> CSE12-BLK-3E  - Fodral för bärbar dator 12" - svart</v>
      </c>
      <c r="BR12" s="192" t="str">
        <f t="shared" ca="1" si="24"/>
        <v>900265 - Sekretessfilter till bärbar dator - 11.6" - guld</v>
      </c>
      <c r="BS12" s="192" t="str">
        <f t="shared" ca="1" si="24"/>
        <v>MBXUSBC-AC0005 - USB-C - strömadapter 45 Watt</v>
      </c>
      <c r="BT12" s="192">
        <f t="shared" ca="1" si="24"/>
        <v>0</v>
      </c>
      <c r="BU12" s="192"/>
      <c r="BV12" s="192"/>
      <c r="BW12" s="192" t="str">
        <f t="shared" ref="BW12:BX18" ca="1" si="25">IFERROR(INDEX(INDIRECT(BW$7&amp;"!$A$10:CC100000"),MATCH($AN12,INDIRECT(BW$7&amp;"!BH$10:BH100000"),0),MATCH(BW$9,INDIRECT(BW$7&amp;"!a10:CC10"),0)),"False")</f>
        <v>Advania Sverige AB</v>
      </c>
      <c r="BX12" s="192" t="str">
        <f t="shared" ca="1" si="25"/>
        <v>HP</v>
      </c>
      <c r="BY12" s="185" t="s">
        <v>706</v>
      </c>
      <c r="BZ12" s="185" t="s">
        <v>81</v>
      </c>
      <c r="CA12" s="185">
        <v>4</v>
      </c>
      <c r="CB12" s="185">
        <v>32</v>
      </c>
      <c r="CC12" s="191">
        <v>11.6</v>
      </c>
      <c r="CD12" s="185">
        <v>2</v>
      </c>
      <c r="CE12" s="185">
        <v>1</v>
      </c>
      <c r="CF12" s="185" t="s">
        <v>86</v>
      </c>
      <c r="CG12" s="186">
        <v>5</v>
      </c>
      <c r="CH12" s="186">
        <v>11</v>
      </c>
      <c r="CI12" s="185" t="s">
        <v>527</v>
      </c>
      <c r="CJ12" s="185" t="s">
        <v>69</v>
      </c>
      <c r="CK12" s="185" t="s">
        <v>82</v>
      </c>
      <c r="CL12" s="185"/>
      <c r="CM12" s="185"/>
    </row>
    <row r="13" spans="2:91" ht="22.5" customHeight="1" outlineLevel="1" x14ac:dyDescent="0.35">
      <c r="C13" s="61" t="s">
        <v>3</v>
      </c>
      <c r="D13" s="64"/>
      <c r="F13" s="78" t="str">
        <f t="shared" ref="F13:F25" si="26">IF(F$10="Inget antal angivet","",IFERROR(INDEX($AP$11:$BX$35,MATCH(F$7,$AN$11:$AN$35,0),MATCH($C13,$AP$11:$BX$11,0)),""))</f>
        <v/>
      </c>
      <c r="G13" s="79" t="str">
        <f t="shared" ref="G13:I25" ca="1" si="27">IFERROR(INDEX($AP$11:$BX$35,MATCH(G$7,$AN$11:$AN$35,0),MATCH($C13,$AP$11:$BX$11,0)),"")</f>
        <v>Google Chrome OS</v>
      </c>
      <c r="H13" s="79" t="str">
        <f t="shared" ca="1" si="27"/>
        <v>Google Chrome OS</v>
      </c>
      <c r="I13" s="120" t="str">
        <f t="shared" ca="1" si="27"/>
        <v>Google Chrome OS</v>
      </c>
      <c r="J13" s="62"/>
      <c r="K13" s="185">
        <f t="shared" ca="1" si="4"/>
        <v>0</v>
      </c>
      <c r="L13" s="185" t="b">
        <f t="shared" si="5"/>
        <v>1</v>
      </c>
      <c r="M13" s="185" t="s">
        <v>150</v>
      </c>
      <c r="N13" s="185" t="str">
        <f t="shared" ca="1" si="6"/>
        <v>Offererad produktnr. 05Atea Sverige AB</v>
      </c>
      <c r="O13" s="185" cm="1">
        <f t="array" aca="1" ref="O13" ca="1">MIN(IF(($BW$12:$BW$33=M13)*($AO$12:$AO$33=$O$9),$Y$12:$Y$33))</f>
        <v>4802</v>
      </c>
      <c r="P13" s="197">
        <f ca="1">SMALL($Y$12:$Y$35,2)</f>
        <v>3415</v>
      </c>
      <c r="Q13" s="185">
        <f t="shared" si="7"/>
        <v>0</v>
      </c>
      <c r="R13" s="185">
        <f t="shared" si="8"/>
        <v>0</v>
      </c>
      <c r="S13" s="185">
        <f t="shared" si="9"/>
        <v>0</v>
      </c>
      <c r="T13" s="185">
        <f t="shared" si="10"/>
        <v>0</v>
      </c>
      <c r="U13" s="185">
        <f t="shared" si="11"/>
        <v>0</v>
      </c>
      <c r="V13" s="185">
        <f t="shared" si="12"/>
        <v>0</v>
      </c>
      <c r="W13" s="185">
        <f t="shared" si="13"/>
        <v>0</v>
      </c>
      <c r="X13" s="185">
        <f t="shared" si="14"/>
        <v>0</v>
      </c>
      <c r="Y13" s="185">
        <f t="shared" ca="1" si="15"/>
        <v>4882</v>
      </c>
      <c r="Z13" s="185" t="str">
        <f t="shared" si="16"/>
        <v>Offererad produktnr. 06Advania Sverige AB</v>
      </c>
      <c r="AA13" s="185" t="b">
        <f t="shared" ref="AA13:AA18" si="28">IF(" 1366x768"=$D$15,TRUE,IF($D$15=0,TRUE,IF($D$15=AP13,TRUE,FALSE)))</f>
        <v>1</v>
      </c>
      <c r="AB13" s="185" t="b">
        <f t="shared" ref="AB13:AB18" si="29">IF($D$16="",TRUE,IF(AQ13=$D$16,TRUE,FALSE))</f>
        <v>1</v>
      </c>
      <c r="AC13" s="185" t="b">
        <f t="shared" si="17"/>
        <v>1</v>
      </c>
      <c r="AD13" s="185" t="b">
        <f t="shared" si="18"/>
        <v>1</v>
      </c>
      <c r="AE13" s="185" t="b">
        <f>IF($D$14="",TRUE,IF(COUNTIF(Processor!$I$2:$I$9,$D$14)&gt;0,AND(AT13&gt;INDEX(Processor!$J$2:$J$9,MATCH($D$14,Processor!$I$2:$I$9,0)),AT13&lt;INDEX(Processor!$K$2:$K$9,MATCH($D$14,Processor!$I$2:$I$9,0))),IF(AT13=$D$14,TRUE,FALSE)))</f>
        <v>1</v>
      </c>
      <c r="AF13" s="185" t="b">
        <f t="shared" si="19"/>
        <v>1</v>
      </c>
      <c r="AG13" s="185" t="b">
        <f t="shared" si="20"/>
        <v>1</v>
      </c>
      <c r="AH13" s="185" t="b">
        <f t="shared" ref="AH13:AH18" si="30">IF($D$21="",TRUE,IF($D$21="802.11a/b/g/n/ac",TRUE,IF(AX13&gt;=$D$21,TRUE,FALSE)))</f>
        <v>1</v>
      </c>
      <c r="AI13" s="185" t="b">
        <f t="shared" si="21"/>
        <v>1</v>
      </c>
      <c r="AJ13" s="185" t="b">
        <f>IFERROR(IF($D24="",TRUE,IF(MID(BA13,LEN(BA13)-2,1)*1&gt;=MID($D24,LEN($D24)-2,1)*1,TRUE,FALSE)),FALSE)</f>
        <v>1</v>
      </c>
      <c r="AK13" s="185"/>
      <c r="AL13" s="185"/>
      <c r="AM13" s="185"/>
      <c r="AN13" s="185" t="s">
        <v>203</v>
      </c>
      <c r="AO13" s="185">
        <v>1</v>
      </c>
      <c r="AP13" s="185" t="str">
        <f t="shared" ca="1" si="22"/>
        <v>1920x1080</v>
      </c>
      <c r="AQ13" s="185" t="str">
        <f t="shared" ca="1" si="22"/>
        <v>Intel Celeron</v>
      </c>
      <c r="AR13" s="185">
        <f t="shared" ca="1" si="22"/>
        <v>8</v>
      </c>
      <c r="AS13" s="185">
        <f t="shared" ca="1" si="22"/>
        <v>64</v>
      </c>
      <c r="AT13" s="185">
        <f t="shared" ca="1" si="22"/>
        <v>14</v>
      </c>
      <c r="AU13" s="185">
        <f t="shared" ca="1" si="22"/>
        <v>3</v>
      </c>
      <c r="AV13" s="185">
        <f t="shared" ca="1" si="22"/>
        <v>1</v>
      </c>
      <c r="AW13" s="185">
        <f t="shared" ca="1" si="22"/>
        <v>0</v>
      </c>
      <c r="AX13" s="185" t="str">
        <f t="shared" ca="1" si="22"/>
        <v>802.11a/b/g/n/ac/ax</v>
      </c>
      <c r="AY13" s="185">
        <f t="shared" ca="1" si="22"/>
        <v>5</v>
      </c>
      <c r="AZ13" s="185">
        <f t="shared" ca="1" si="23"/>
        <v>11</v>
      </c>
      <c r="BA13" s="185" t="str">
        <f t="shared" ca="1" si="23"/>
        <v>Version 8.0</v>
      </c>
      <c r="BB13" s="185" t="str">
        <f t="shared" ca="1" si="23"/>
        <v>Ja</v>
      </c>
      <c r="BC13" s="185" t="str">
        <f t="shared" ca="1" si="23"/>
        <v>Google Chrome OS</v>
      </c>
      <c r="BD13" s="185" t="str">
        <f t="shared" ca="1" si="23"/>
        <v>Chromebook 14 G7</v>
      </c>
      <c r="BE13" s="185">
        <f t="shared" ca="1" si="23"/>
        <v>4882</v>
      </c>
      <c r="BF13" s="192">
        <f t="shared" ca="1" si="23"/>
        <v>60</v>
      </c>
      <c r="BG13" s="192">
        <f t="shared" ca="1" si="23"/>
        <v>218</v>
      </c>
      <c r="BH13" s="192">
        <f t="shared" ca="1" si="23"/>
        <v>251</v>
      </c>
      <c r="BI13" s="192">
        <f t="shared" ca="1" si="23"/>
        <v>244</v>
      </c>
      <c r="BJ13" s="192">
        <f t="shared" ca="1" si="24"/>
        <v>112</v>
      </c>
      <c r="BK13" s="192">
        <f t="shared" ca="1" si="24"/>
        <v>50</v>
      </c>
      <c r="BL13" s="192">
        <f t="shared" ca="1" si="24"/>
        <v>50</v>
      </c>
      <c r="BM13" s="192" t="str">
        <f t="shared" ca="1" si="24"/>
        <v>V7</v>
      </c>
      <c r="BN13" s="192" t="str">
        <f t="shared" ca="1" si="24"/>
        <v>PORT Designs</v>
      </c>
      <c r="BO13" s="192" t="str">
        <f t="shared" ca="1" si="24"/>
        <v>CoreParts</v>
      </c>
      <c r="BP13" s="192">
        <f t="shared" ca="1" si="24"/>
        <v>0</v>
      </c>
      <c r="BQ13" s="192" t="str">
        <f t="shared" ca="1" si="24"/>
        <v xml:space="preserve"> CSE14-BLK-3E  -Fodral för bärbar dator - 14" - svart</v>
      </c>
      <c r="BR13" s="192" t="str">
        <f t="shared" ca="1" si="24"/>
        <v>900003 - Professional - filter för personlig integritet - 14"</v>
      </c>
      <c r="BS13" s="192" t="str">
        <f t="shared" ca="1" si="24"/>
        <v>MBXUSBC-AC0005 - USB-C - strömadapter 45 Watt</v>
      </c>
      <c r="BT13" s="192">
        <f t="shared" ca="1" si="24"/>
        <v>0</v>
      </c>
      <c r="BU13" s="192"/>
      <c r="BV13" s="192"/>
      <c r="BW13" s="192" t="str">
        <f t="shared" ca="1" si="25"/>
        <v>Advania Sverige AB</v>
      </c>
      <c r="BX13" s="192" t="str">
        <f t="shared" ca="1" si="25"/>
        <v>HP</v>
      </c>
      <c r="BY13" s="185" t="s">
        <v>71</v>
      </c>
      <c r="BZ13" s="185" t="s">
        <v>696</v>
      </c>
      <c r="CA13" s="185">
        <v>8</v>
      </c>
      <c r="CB13" s="185">
        <v>64</v>
      </c>
      <c r="CC13" s="191">
        <v>14</v>
      </c>
      <c r="CD13" s="185">
        <v>3</v>
      </c>
      <c r="CE13" s="185">
        <v>2</v>
      </c>
      <c r="CF13" s="185" t="s">
        <v>79</v>
      </c>
      <c r="CG13" s="186">
        <v>5.0999999999999996</v>
      </c>
      <c r="CH13" s="186"/>
      <c r="CI13" s="185"/>
      <c r="CJ13" s="185"/>
      <c r="CK13" s="185"/>
      <c r="CL13" s="185"/>
      <c r="CM13" s="185"/>
    </row>
    <row r="14" spans="2:91" ht="22.5" customHeight="1" outlineLevel="1" x14ac:dyDescent="0.35">
      <c r="C14" s="61" t="s">
        <v>7</v>
      </c>
      <c r="D14" s="64"/>
      <c r="F14" s="78" t="str">
        <f t="shared" si="26"/>
        <v/>
      </c>
      <c r="G14" s="79">
        <f t="shared" ca="1" si="27"/>
        <v>11.6</v>
      </c>
      <c r="H14" s="79">
        <f t="shared" ca="1" si="27"/>
        <v>11.6</v>
      </c>
      <c r="I14" s="120">
        <f t="shared" ca="1" si="27"/>
        <v>14</v>
      </c>
      <c r="J14" s="62"/>
      <c r="K14" s="185">
        <f t="shared" ca="1" si="4"/>
        <v>0</v>
      </c>
      <c r="L14" s="185" t="b">
        <f t="shared" si="5"/>
        <v>1</v>
      </c>
      <c r="M14" s="185" t="s">
        <v>128</v>
      </c>
      <c r="N14" s="185" t="str">
        <f t="shared" ca="1" si="6"/>
        <v>Offererad produktnr. 05Dustin Sverige AB</v>
      </c>
      <c r="O14" s="185" cm="1">
        <f t="array" aca="1" ref="O14" ca="1">MIN(IF(($BW$12:$BW$33=M14)*($AO$12:$AO$33=$O$9),$Y$12:$Y$33))</f>
        <v>3415</v>
      </c>
      <c r="P14" s="197">
        <f ca="1">SMALL($Y$12:$Y$35,3)</f>
        <v>3610</v>
      </c>
      <c r="Q14" s="185">
        <f t="shared" si="7"/>
        <v>0</v>
      </c>
      <c r="R14" s="185">
        <f t="shared" si="8"/>
        <v>0</v>
      </c>
      <c r="S14" s="185">
        <f t="shared" si="9"/>
        <v>0</v>
      </c>
      <c r="T14" s="185">
        <f t="shared" si="10"/>
        <v>0</v>
      </c>
      <c r="U14" s="185">
        <f t="shared" si="11"/>
        <v>0</v>
      </c>
      <c r="V14" s="185">
        <f t="shared" si="12"/>
        <v>0</v>
      </c>
      <c r="W14" s="185">
        <f t="shared" si="13"/>
        <v>0</v>
      </c>
      <c r="X14" s="185">
        <f t="shared" si="14"/>
        <v>0</v>
      </c>
      <c r="Y14" s="185">
        <f t="shared" ca="1" si="15"/>
        <v>4802</v>
      </c>
      <c r="Z14" s="185" t="str">
        <f t="shared" si="16"/>
        <v>Offererad produktnr. 05Atea Sverige AB</v>
      </c>
      <c r="AA14" s="185" t="b">
        <f t="shared" si="28"/>
        <v>1</v>
      </c>
      <c r="AB14" s="185" t="b">
        <f t="shared" si="29"/>
        <v>1</v>
      </c>
      <c r="AC14" s="185" t="b">
        <f t="shared" si="17"/>
        <v>1</v>
      </c>
      <c r="AD14" s="185" t="b">
        <f t="shared" si="18"/>
        <v>1</v>
      </c>
      <c r="AE14" s="185" t="b">
        <f>IF($D$14="",TRUE,IF(COUNTIF(Processor!$I$2:$I$9,$D$14)&gt;0,AND(AT14&gt;INDEX(Processor!$J$2:$J$9,MATCH($D$14,Processor!$I$2:$I$9,0)),AT14&lt;INDEX(Processor!$K$2:$K$9,MATCH($D$14,Processor!$I$2:$I$9,0))),IF(AT14=$D$14,TRUE,FALSE)))</f>
        <v>1</v>
      </c>
      <c r="AF14" s="185" t="b">
        <f t="shared" si="19"/>
        <v>1</v>
      </c>
      <c r="AG14" s="185" t="b">
        <f t="shared" si="20"/>
        <v>1</v>
      </c>
      <c r="AH14" s="185" t="b">
        <f t="shared" si="30"/>
        <v>1</v>
      </c>
      <c r="AI14" s="185" t="b">
        <f t="shared" si="21"/>
        <v>1</v>
      </c>
      <c r="AJ14" s="185" t="b">
        <f>IFERROR(IF($D24="",TRUE,IF(MID(BA14,LEN(BA14)-2,1)*1&gt;=MID($D24,LEN($D24)-2,1)*1,TRUE,FALSE)),FALSE)</f>
        <v>1</v>
      </c>
      <c r="AK14" s="185"/>
      <c r="AL14" s="185"/>
      <c r="AM14" s="185"/>
      <c r="AN14" s="185" t="s">
        <v>190</v>
      </c>
      <c r="AO14" s="185">
        <v>1</v>
      </c>
      <c r="AP14" s="185" t="str">
        <f t="shared" ca="1" si="22"/>
        <v>1366x768</v>
      </c>
      <c r="AQ14" s="185" t="str">
        <f t="shared" ca="1" si="22"/>
        <v>Intel Celeron</v>
      </c>
      <c r="AR14" s="185">
        <f t="shared" ca="1" si="22"/>
        <v>4</v>
      </c>
      <c r="AS14" s="185">
        <f t="shared" ca="1" si="22"/>
        <v>32</v>
      </c>
      <c r="AT14" s="185">
        <f t="shared" ca="1" si="22"/>
        <v>11.6</v>
      </c>
      <c r="AU14" s="185">
        <f t="shared" ca="1" si="22"/>
        <v>2</v>
      </c>
      <c r="AV14" s="185">
        <f t="shared" ca="1" si="22"/>
        <v>1</v>
      </c>
      <c r="AW14" s="185">
        <f t="shared" ca="1" si="22"/>
        <v>0</v>
      </c>
      <c r="AX14" s="185" t="str">
        <f t="shared" ca="1" si="22"/>
        <v>802.11a/b/g/n/ac/ax</v>
      </c>
      <c r="AY14" s="185">
        <f t="shared" ca="1" si="22"/>
        <v>5.0999999999999996</v>
      </c>
      <c r="AZ14" s="185">
        <f t="shared" ca="1" si="23"/>
        <v>11</v>
      </c>
      <c r="BA14" s="185" t="str">
        <f t="shared" ca="1" si="23"/>
        <v>Version 8.0</v>
      </c>
      <c r="BB14" s="185" t="str">
        <f t="shared" ca="1" si="23"/>
        <v>Ja</v>
      </c>
      <c r="BC14" s="185" t="str">
        <f t="shared" ca="1" si="23"/>
        <v>Google Chrome OS</v>
      </c>
      <c r="BD14" s="185" t="str">
        <f t="shared" ca="1" si="23"/>
        <v>100e Chr Gen3</v>
      </c>
      <c r="BE14" s="185">
        <f t="shared" ca="1" si="23"/>
        <v>4802</v>
      </c>
      <c r="BF14" s="192">
        <f t="shared" ca="1" si="23"/>
        <v>145</v>
      </c>
      <c r="BG14" s="192">
        <f t="shared" ca="1" si="23"/>
        <v>431</v>
      </c>
      <c r="BH14" s="192">
        <f t="shared" ca="1" si="23"/>
        <v>361</v>
      </c>
      <c r="BI14" s="192">
        <f t="shared" ca="1" si="23"/>
        <v>728</v>
      </c>
      <c r="BJ14" s="192">
        <f t="shared" ca="1" si="24"/>
        <v>120</v>
      </c>
      <c r="BK14" s="192">
        <f t="shared" ca="1" si="24"/>
        <v>85</v>
      </c>
      <c r="BL14" s="192">
        <f t="shared" ca="1" si="24"/>
        <v>100</v>
      </c>
      <c r="BM14" s="192" t="str">
        <f t="shared" ca="1" si="24"/>
        <v xml:space="preserve">Lenovo </v>
      </c>
      <c r="BN14" s="192" t="str">
        <f t="shared" ca="1" si="24"/>
        <v>Lenovo</v>
      </c>
      <c r="BO14" s="192" t="str">
        <f t="shared" ca="1" si="24"/>
        <v>Lenovo</v>
      </c>
      <c r="BP14" s="192">
        <f t="shared" ca="1" si="24"/>
        <v>0</v>
      </c>
      <c r="BQ14" s="192" t="str">
        <f t="shared" ca="1" si="24"/>
        <v>Basic Sleeve 11"</v>
      </c>
      <c r="BR14" s="192" t="str">
        <f t="shared" ca="1" si="24"/>
        <v>Lenovo 11.6" Privacy Filter</v>
      </c>
      <c r="BS14" s="192" t="str">
        <f t="shared" ca="1" si="24"/>
        <v>Power adapter USB-C 45w</v>
      </c>
      <c r="BT14" s="192">
        <f t="shared" ca="1" si="24"/>
        <v>0</v>
      </c>
      <c r="BU14" s="192"/>
      <c r="BV14" s="192"/>
      <c r="BW14" s="192" t="str">
        <f t="shared" ca="1" si="25"/>
        <v>Atea Sverige AB</v>
      </c>
      <c r="BX14" s="192" t="str">
        <f t="shared" ca="1" si="25"/>
        <v>Lenovo</v>
      </c>
      <c r="BY14" s="185"/>
      <c r="BZ14" s="185"/>
      <c r="CA14" s="185"/>
      <c r="CB14" s="185"/>
      <c r="CC14" s="185"/>
      <c r="CD14" s="185">
        <v>4</v>
      </c>
      <c r="CE14" s="185"/>
      <c r="CF14" s="185"/>
      <c r="CG14" s="186"/>
      <c r="CH14" s="186"/>
      <c r="CI14" s="185"/>
      <c r="CJ14" s="185"/>
      <c r="CK14" s="185"/>
      <c r="CL14" s="185"/>
      <c r="CM14" s="185"/>
    </row>
    <row r="15" spans="2:91" ht="22.5" customHeight="1" outlineLevel="1" x14ac:dyDescent="0.35">
      <c r="C15" s="61" t="s">
        <v>2</v>
      </c>
      <c r="D15" s="64"/>
      <c r="F15" s="78" t="str">
        <f t="shared" si="26"/>
        <v/>
      </c>
      <c r="G15" s="79" t="str">
        <f t="shared" ca="1" si="27"/>
        <v>1366x768</v>
      </c>
      <c r="H15" s="79" t="str">
        <f t="shared" ca="1" si="27"/>
        <v>1366x768</v>
      </c>
      <c r="I15" s="120" t="str">
        <f t="shared" ca="1" si="27"/>
        <v>1920x1080</v>
      </c>
      <c r="J15" s="62"/>
      <c r="K15" s="185">
        <f t="shared" ca="1" si="4"/>
        <v>0</v>
      </c>
      <c r="L15" s="185" t="b">
        <f t="shared" si="5"/>
        <v>1</v>
      </c>
      <c r="M15" s="185" t="s">
        <v>169</v>
      </c>
      <c r="N15" s="185" t="str">
        <f t="shared" ca="1" si="6"/>
        <v>Offererad produktnr. 05Foxway Education AB</v>
      </c>
      <c r="O15" s="185" cm="1">
        <f t="array" aca="1" ref="O15" ca="1">MIN(IF(($BW$12:$BW$33=M15)*($AO$12:$AO$33=$O$9),$Y$12:$Y$33))</f>
        <v>3636</v>
      </c>
      <c r="P15" s="197"/>
      <c r="Q15" s="185">
        <f t="shared" si="7"/>
        <v>0</v>
      </c>
      <c r="R15" s="185">
        <f t="shared" si="8"/>
        <v>0</v>
      </c>
      <c r="S15" s="185">
        <f t="shared" si="9"/>
        <v>0</v>
      </c>
      <c r="T15" s="185">
        <f t="shared" si="10"/>
        <v>0</v>
      </c>
      <c r="U15" s="185">
        <f t="shared" si="11"/>
        <v>0</v>
      </c>
      <c r="V15" s="185">
        <f t="shared" si="12"/>
        <v>0</v>
      </c>
      <c r="W15" s="185">
        <f t="shared" si="13"/>
        <v>0</v>
      </c>
      <c r="X15" s="185">
        <f t="shared" si="14"/>
        <v>0</v>
      </c>
      <c r="Y15" s="185">
        <f t="shared" ca="1" si="15"/>
        <v>6392</v>
      </c>
      <c r="Z15" s="185" t="str">
        <f t="shared" si="16"/>
        <v>Offererad produktnr. 06Atea Sverige AB</v>
      </c>
      <c r="AA15" s="185" t="b">
        <f t="shared" si="28"/>
        <v>1</v>
      </c>
      <c r="AB15" s="185" t="b">
        <f t="shared" si="29"/>
        <v>1</v>
      </c>
      <c r="AC15" s="185" t="b">
        <f t="shared" si="17"/>
        <v>1</v>
      </c>
      <c r="AD15" s="185" t="b">
        <f t="shared" si="18"/>
        <v>1</v>
      </c>
      <c r="AE15" s="185" t="b">
        <f>IF($D$14="",TRUE,IF(COUNTIF(Processor!$I$2:$I$9,$D$14)&gt;0,AND(AT15&gt;INDEX(Processor!$J$2:$J$9,MATCH($D$14,Processor!$I$2:$I$9,0)),AT15&lt;INDEX(Processor!$K$2:$K$9,MATCH($D$14,Processor!$I$2:$I$9,0))),IF(AT15=$D$14,TRUE,FALSE)))</f>
        <v>1</v>
      </c>
      <c r="AF15" s="185" t="b">
        <f t="shared" si="19"/>
        <v>1</v>
      </c>
      <c r="AG15" s="185" t="b">
        <f t="shared" si="20"/>
        <v>1</v>
      </c>
      <c r="AH15" s="185" t="b">
        <f t="shared" si="30"/>
        <v>1</v>
      </c>
      <c r="AI15" s="185" t="b">
        <f t="shared" si="21"/>
        <v>1</v>
      </c>
      <c r="AJ15" s="185" t="b">
        <f>IFERROR(IF($D24="",TRUE,IF(MID(BA15,LEN(BA15)-2,1)*1&gt;=MID($D24,LEN($D24)-2,1)*1,TRUE,FALSE)),FALSE)</f>
        <v>1</v>
      </c>
      <c r="AK15" s="185"/>
      <c r="AL15" s="185"/>
      <c r="AM15" s="185"/>
      <c r="AN15" s="185" t="s">
        <v>191</v>
      </c>
      <c r="AO15" s="185">
        <v>1</v>
      </c>
      <c r="AP15" s="185" t="str">
        <f t="shared" ca="1" si="22"/>
        <v>1920x1080</v>
      </c>
      <c r="AQ15" s="185" t="str">
        <f t="shared" ca="1" si="22"/>
        <v>Intel Celeron</v>
      </c>
      <c r="AR15" s="185">
        <f t="shared" ca="1" si="22"/>
        <v>8</v>
      </c>
      <c r="AS15" s="185">
        <f t="shared" ca="1" si="22"/>
        <v>64</v>
      </c>
      <c r="AT15" s="185">
        <f t="shared" ca="1" si="22"/>
        <v>14</v>
      </c>
      <c r="AU15" s="185">
        <f t="shared" ca="1" si="22"/>
        <v>3</v>
      </c>
      <c r="AV15" s="185">
        <f t="shared" ca="1" si="22"/>
        <v>1</v>
      </c>
      <c r="AW15" s="185">
        <f t="shared" ca="1" si="22"/>
        <v>0</v>
      </c>
      <c r="AX15" s="185" t="str">
        <f t="shared" ca="1" si="22"/>
        <v>802.11a/b/g/n/ac/ax</v>
      </c>
      <c r="AY15" s="185">
        <f t="shared" ca="1" si="22"/>
        <v>5</v>
      </c>
      <c r="AZ15" s="185">
        <f t="shared" ca="1" si="23"/>
        <v>11</v>
      </c>
      <c r="BA15" s="185" t="str">
        <f t="shared" ca="1" si="23"/>
        <v>Version 8.0</v>
      </c>
      <c r="BB15" s="185" t="str">
        <f t="shared" ca="1" si="23"/>
        <v>Ja</v>
      </c>
      <c r="BC15" s="185" t="str">
        <f t="shared" ca="1" si="23"/>
        <v>Google Chrome OS</v>
      </c>
      <c r="BD15" s="185" t="str">
        <f t="shared" ca="1" si="23"/>
        <v>Chromebook 14 G7</v>
      </c>
      <c r="BE15" s="185">
        <f t="shared" ca="1" si="23"/>
        <v>6392</v>
      </c>
      <c r="BF15" s="192">
        <f t="shared" ca="1" si="23"/>
        <v>134</v>
      </c>
      <c r="BG15" s="192">
        <f t="shared" ca="1" si="23"/>
        <v>449</v>
      </c>
      <c r="BH15" s="192">
        <f t="shared" ca="1" si="23"/>
        <v>389</v>
      </c>
      <c r="BI15" s="192">
        <f t="shared" ca="1" si="23"/>
        <v>276</v>
      </c>
      <c r="BJ15" s="192">
        <f t="shared" ca="1" si="24"/>
        <v>120</v>
      </c>
      <c r="BK15" s="192">
        <f t="shared" ca="1" si="24"/>
        <v>85</v>
      </c>
      <c r="BL15" s="192">
        <f t="shared" ca="1" si="24"/>
        <v>100</v>
      </c>
      <c r="BM15" s="192" t="str">
        <f t="shared" ca="1" si="24"/>
        <v>DELTACO</v>
      </c>
      <c r="BN15" s="192" t="str">
        <f t="shared" ca="1" si="24"/>
        <v>Targus</v>
      </c>
      <c r="BO15" s="192" t="str">
        <f t="shared" ca="1" si="24"/>
        <v>HP</v>
      </c>
      <c r="BP15" s="192">
        <f t="shared" ca="1" si="24"/>
        <v>0</v>
      </c>
      <c r="BQ15" s="192" t="str">
        <f t="shared" ca="1" si="24"/>
        <v xml:space="preserve">Fodral för bärbar dator </v>
      </c>
      <c r="BR15" s="192" t="str">
        <f t="shared" ca="1" si="24"/>
        <v>Targus Privacy Screen 14"</v>
      </c>
      <c r="BS15" s="192" t="str">
        <f t="shared" ca="1" si="24"/>
        <v>HP 45W USB-C Power Adapter G2</v>
      </c>
      <c r="BT15" s="192">
        <f t="shared" ca="1" si="24"/>
        <v>0</v>
      </c>
      <c r="BU15" s="192"/>
      <c r="BV15" s="192"/>
      <c r="BW15" s="192" t="str">
        <f t="shared" ca="1" si="25"/>
        <v>Atea Sverige AB</v>
      </c>
      <c r="BX15" s="192" t="str">
        <f t="shared" ca="1" si="25"/>
        <v>HP</v>
      </c>
      <c r="BY15" s="185"/>
      <c r="BZ15" s="185"/>
      <c r="CA15" s="185"/>
      <c r="CB15" s="185"/>
      <c r="CC15" s="185"/>
      <c r="CD15" s="185"/>
      <c r="CE15" s="185"/>
      <c r="CF15" s="185"/>
      <c r="CG15" s="186"/>
      <c r="CH15" s="186"/>
      <c r="CI15" s="185"/>
      <c r="CJ15" s="185"/>
      <c r="CK15" s="185"/>
      <c r="CL15" s="185"/>
      <c r="CM15" s="185"/>
    </row>
    <row r="16" spans="2:91" ht="22.5" customHeight="1" outlineLevel="1" x14ac:dyDescent="0.35">
      <c r="C16" s="61" t="s">
        <v>4</v>
      </c>
      <c r="D16" s="64"/>
      <c r="F16" s="78" t="str">
        <f t="shared" si="26"/>
        <v/>
      </c>
      <c r="G16" s="79" t="str">
        <f t="shared" ca="1" si="27"/>
        <v>Intel Celeron</v>
      </c>
      <c r="H16" s="79" t="str">
        <f t="shared" ca="1" si="27"/>
        <v>Intel Celeron</v>
      </c>
      <c r="I16" s="120" t="str">
        <f t="shared" ca="1" si="27"/>
        <v>Intel Celeron</v>
      </c>
      <c r="J16" s="62"/>
      <c r="K16" s="185">
        <f t="shared" ca="1" si="4"/>
        <v>0</v>
      </c>
      <c r="L16" s="185" t="b">
        <f t="shared" si="5"/>
        <v>1</v>
      </c>
      <c r="M16" s="185" t="s">
        <v>167</v>
      </c>
      <c r="N16" s="185" t="e">
        <f t="shared" ca="1" si="6"/>
        <v>#N/A</v>
      </c>
      <c r="O16" s="185" cm="1">
        <f t="array" aca="1" ref="O16" ca="1">MIN(IF(($BW$12:$BW$33=M16)*($AO$12:$AO$33=$O$9),$Y$12:$Y$33))</f>
        <v>0</v>
      </c>
      <c r="P16" s="197"/>
      <c r="Q16" s="185">
        <f t="shared" si="7"/>
        <v>0</v>
      </c>
      <c r="R16" s="185">
        <f t="shared" si="8"/>
        <v>0</v>
      </c>
      <c r="S16" s="185">
        <f t="shared" si="9"/>
        <v>0</v>
      </c>
      <c r="T16" s="185">
        <f t="shared" si="10"/>
        <v>0</v>
      </c>
      <c r="U16" s="185">
        <f t="shared" si="11"/>
        <v>0</v>
      </c>
      <c r="V16" s="185">
        <f t="shared" si="12"/>
        <v>0</v>
      </c>
      <c r="W16" s="185">
        <f t="shared" si="13"/>
        <v>0</v>
      </c>
      <c r="X16" s="185">
        <f t="shared" si="14"/>
        <v>0</v>
      </c>
      <c r="Y16" s="185">
        <f t="shared" ca="1" si="15"/>
        <v>3415</v>
      </c>
      <c r="Z16" s="185" t="str">
        <f t="shared" si="16"/>
        <v>Offererad produktnr. 05Dustin Sverige AB</v>
      </c>
      <c r="AA16" s="185" t="b">
        <f t="shared" si="28"/>
        <v>1</v>
      </c>
      <c r="AB16" s="185" t="b">
        <f t="shared" si="29"/>
        <v>1</v>
      </c>
      <c r="AC16" s="185" t="b">
        <f t="shared" si="17"/>
        <v>1</v>
      </c>
      <c r="AD16" s="185" t="b">
        <f t="shared" si="18"/>
        <v>1</v>
      </c>
      <c r="AE16" s="185" t="b">
        <f>IF($D$14="",TRUE,IF(COUNTIF(Processor!$I$2:$I$9,$D$14)&gt;0,AND(AT16&gt;INDEX(Processor!$J$2:$J$9,MATCH($D$14,Processor!$I$2:$I$9,0)),AT16&lt;INDEX(Processor!$K$2:$K$9,MATCH($D$14,Processor!$I$2:$I$9,0))),IF(AT16=$D$14,TRUE,FALSE)))</f>
        <v>1</v>
      </c>
      <c r="AF16" s="185" t="b">
        <f t="shared" si="19"/>
        <v>1</v>
      </c>
      <c r="AG16" s="185" t="b">
        <f t="shared" si="20"/>
        <v>1</v>
      </c>
      <c r="AH16" s="185" t="b">
        <f t="shared" si="30"/>
        <v>1</v>
      </c>
      <c r="AI16" s="185" t="b">
        <f t="shared" si="21"/>
        <v>1</v>
      </c>
      <c r="AJ16" s="185" t="b">
        <f>IFERROR(IF($D24="",TRUE,IF(MID(BA16,LEN(BA16)-2,1)*1&gt;=MID($D24,LEN($D24)-2,1)*1,TRUE,FALSE)),FALSE)</f>
        <v>1</v>
      </c>
      <c r="AK16" s="185"/>
      <c r="AL16" s="185"/>
      <c r="AM16" s="185"/>
      <c r="AN16" s="185" t="s">
        <v>178</v>
      </c>
      <c r="AO16" s="185">
        <v>1</v>
      </c>
      <c r="AP16" s="185" t="str">
        <f t="shared" ca="1" si="22"/>
        <v>1366x768</v>
      </c>
      <c r="AQ16" s="185" t="str">
        <f t="shared" ca="1" si="22"/>
        <v>Intel Celeron</v>
      </c>
      <c r="AR16" s="185">
        <f t="shared" ca="1" si="22"/>
        <v>4</v>
      </c>
      <c r="AS16" s="185">
        <f t="shared" ca="1" si="22"/>
        <v>32</v>
      </c>
      <c r="AT16" s="185">
        <f t="shared" ca="1" si="22"/>
        <v>11.6</v>
      </c>
      <c r="AU16" s="185">
        <f t="shared" ca="1" si="22"/>
        <v>4</v>
      </c>
      <c r="AV16" s="185">
        <f t="shared" ca="1" si="22"/>
        <v>2</v>
      </c>
      <c r="AW16" s="185">
        <f t="shared" ca="1" si="22"/>
        <v>0</v>
      </c>
      <c r="AX16" s="185" t="str">
        <f t="shared" ca="1" si="22"/>
        <v>802.11a/b/g/n/ac/ax</v>
      </c>
      <c r="AY16" s="185">
        <f t="shared" ca="1" si="22"/>
        <v>5</v>
      </c>
      <c r="AZ16" s="185">
        <f t="shared" ca="1" si="23"/>
        <v>11</v>
      </c>
      <c r="BA16" s="185" t="str">
        <f t="shared" ca="1" si="23"/>
        <v>Version 8.0</v>
      </c>
      <c r="BB16" s="185" t="str">
        <f t="shared" ca="1" si="23"/>
        <v>Ja</v>
      </c>
      <c r="BC16" s="185" t="str">
        <f t="shared" ca="1" si="23"/>
        <v>Google Chrome OS</v>
      </c>
      <c r="BD16" s="185" t="str">
        <f t="shared" ca="1" si="23"/>
        <v>ChromeBook 11 G9 EE</v>
      </c>
      <c r="BE16" s="185">
        <f t="shared" ca="1" si="23"/>
        <v>3415</v>
      </c>
      <c r="BF16" s="192">
        <f t="shared" ca="1" si="23"/>
        <v>87</v>
      </c>
      <c r="BG16" s="192">
        <f t="shared" ca="1" si="23"/>
        <v>123</v>
      </c>
      <c r="BH16" s="192">
        <f t="shared" ca="1" si="23"/>
        <v>249</v>
      </c>
      <c r="BI16" s="192">
        <f t="shared" ca="1" si="23"/>
        <v>131</v>
      </c>
      <c r="BJ16" s="192">
        <f t="shared" ca="1" si="24"/>
        <v>133</v>
      </c>
      <c r="BK16" s="192">
        <f t="shared" ca="1" si="24"/>
        <v>20</v>
      </c>
      <c r="BL16" s="192">
        <f t="shared" ca="1" si="24"/>
        <v>20</v>
      </c>
      <c r="BM16" s="192" t="str">
        <f t="shared" ca="1" si="24"/>
        <v>Cirafon</v>
      </c>
      <c r="BN16" s="192" t="str">
        <f t="shared" ca="1" si="24"/>
        <v>Cirafon</v>
      </c>
      <c r="BO16" s="192" t="str">
        <f t="shared" ca="1" si="24"/>
        <v>HP</v>
      </c>
      <c r="BP16" s="192">
        <f t="shared" ca="1" si="24"/>
        <v>0</v>
      </c>
      <c r="BQ16" s="192" t="str">
        <f t="shared" ca="1" si="24"/>
        <v>LSN9117-11</v>
      </c>
      <c r="BR16" s="192" t="str">
        <f t="shared" ca="1" si="24"/>
        <v>DPF11.6-9</v>
      </c>
      <c r="BS16" s="192" t="str">
        <f t="shared" ca="1" si="24"/>
        <v>1MZ01AA</v>
      </c>
      <c r="BT16" s="192">
        <f t="shared" ca="1" si="24"/>
        <v>0</v>
      </c>
      <c r="BU16" s="192"/>
      <c r="BV16" s="192"/>
      <c r="BW16" s="192" t="str">
        <f t="shared" ca="1" si="25"/>
        <v>Dustin Sverige AB</v>
      </c>
      <c r="BX16" s="192" t="str">
        <f t="shared" ca="1" si="25"/>
        <v>HP</v>
      </c>
      <c r="BY16" s="185"/>
      <c r="BZ16" s="185"/>
      <c r="CA16" s="185"/>
      <c r="CB16" s="185"/>
      <c r="CC16" s="185"/>
      <c r="CD16" s="185"/>
      <c r="CE16" s="185"/>
      <c r="CF16" s="185"/>
      <c r="CG16" s="186"/>
      <c r="CH16" s="185"/>
      <c r="CI16" s="185"/>
      <c r="CJ16" s="185"/>
      <c r="CK16" s="185"/>
      <c r="CL16" s="185"/>
      <c r="CM16" s="185"/>
    </row>
    <row r="17" spans="2:91" ht="22.5" customHeight="1" outlineLevel="1" x14ac:dyDescent="0.35">
      <c r="C17" s="61" t="s">
        <v>119</v>
      </c>
      <c r="D17" s="64"/>
      <c r="F17" s="78" t="str">
        <f t="shared" si="26"/>
        <v/>
      </c>
      <c r="G17" s="79">
        <f t="shared" ca="1" si="27"/>
        <v>4</v>
      </c>
      <c r="H17" s="79">
        <f t="shared" ca="1" si="27"/>
        <v>4</v>
      </c>
      <c r="I17" s="120">
        <f t="shared" ca="1" si="27"/>
        <v>8</v>
      </c>
      <c r="J17" s="62"/>
      <c r="K17" s="185">
        <f t="shared" ca="1" si="4"/>
        <v>0</v>
      </c>
      <c r="L17" s="185" t="b">
        <f t="shared" si="5"/>
        <v>1</v>
      </c>
      <c r="M17" s="185" t="s">
        <v>546</v>
      </c>
      <c r="N17" s="185" t="str">
        <f t="shared" ca="1" si="6"/>
        <v>Offererad produktnr. 05Qlosr Göteborg AB</v>
      </c>
      <c r="O17" s="185" cm="1">
        <f t="array" aca="1" ref="O17" ca="1">MIN(IF(($BW$12:$BW$33=M17)*($AO$12:$AO$33=$O$9),$Y$12:$Y$33))</f>
        <v>2950</v>
      </c>
      <c r="P17" s="197"/>
      <c r="Q17" s="185">
        <f t="shared" si="7"/>
        <v>0</v>
      </c>
      <c r="R17" s="185">
        <f t="shared" si="8"/>
        <v>0</v>
      </c>
      <c r="S17" s="185">
        <f t="shared" si="9"/>
        <v>0</v>
      </c>
      <c r="T17" s="185">
        <f t="shared" si="10"/>
        <v>0</v>
      </c>
      <c r="U17" s="185">
        <f t="shared" si="11"/>
        <v>0</v>
      </c>
      <c r="V17" s="185">
        <f t="shared" si="12"/>
        <v>0</v>
      </c>
      <c r="W17" s="185">
        <f t="shared" si="13"/>
        <v>0</v>
      </c>
      <c r="X17" s="185">
        <f t="shared" si="14"/>
        <v>0</v>
      </c>
      <c r="Y17" s="185">
        <f t="shared" ca="1" si="15"/>
        <v>4088</v>
      </c>
      <c r="Z17" s="185" t="str">
        <f t="shared" si="16"/>
        <v>Offererad produktnr. 06Dustin Sverige AB</v>
      </c>
      <c r="AA17" s="185" t="b">
        <f t="shared" si="28"/>
        <v>1</v>
      </c>
      <c r="AB17" s="185" t="b">
        <f t="shared" si="29"/>
        <v>1</v>
      </c>
      <c r="AC17" s="185" t="b">
        <f t="shared" si="17"/>
        <v>1</v>
      </c>
      <c r="AD17" s="185" t="b">
        <f t="shared" si="18"/>
        <v>1</v>
      </c>
      <c r="AE17" s="185" t="b">
        <f>IF($D$14="",TRUE,IF(COUNTIF(Processor!$I$2:$I$9,$D$14)&gt;0,AND(AT17&gt;INDEX(Processor!$J$2:$J$9,MATCH($D$14,Processor!$I$2:$I$9,0)),AT17&lt;INDEX(Processor!$K$2:$K$9,MATCH($D$14,Processor!$I$2:$I$9,0))),IF(AT17=$D$14,TRUE,FALSE)))</f>
        <v>1</v>
      </c>
      <c r="AF17" s="185" t="b">
        <f t="shared" si="19"/>
        <v>1</v>
      </c>
      <c r="AG17" s="185" t="b">
        <f t="shared" si="20"/>
        <v>1</v>
      </c>
      <c r="AH17" s="185" t="b">
        <f t="shared" si="30"/>
        <v>1</v>
      </c>
      <c r="AI17" s="185" t="b">
        <f t="shared" si="21"/>
        <v>1</v>
      </c>
      <c r="AJ17" s="185" t="b">
        <f>IFERROR(IF($D24="",TRUE,IF(MID(BA17,LEN(BA17)-2,1)*1&gt;=MID($D24,LEN($D24)-2,1)*1,TRUE,FALSE)),FALSE)</f>
        <v>1</v>
      </c>
      <c r="AK17" s="185"/>
      <c r="AL17" s="185"/>
      <c r="AM17" s="185"/>
      <c r="AN17" s="185" t="s">
        <v>179</v>
      </c>
      <c r="AO17" s="185">
        <v>1</v>
      </c>
      <c r="AP17" s="185" t="str">
        <f t="shared" ca="1" si="22"/>
        <v>1920x1080</v>
      </c>
      <c r="AQ17" s="185" t="str">
        <f t="shared" ca="1" si="22"/>
        <v>Intel Celeron</v>
      </c>
      <c r="AR17" s="185">
        <f t="shared" ca="1" si="22"/>
        <v>8</v>
      </c>
      <c r="AS17" s="185">
        <f t="shared" ca="1" si="22"/>
        <v>64</v>
      </c>
      <c r="AT17" s="185">
        <f t="shared" ca="1" si="22"/>
        <v>14</v>
      </c>
      <c r="AU17" s="185">
        <f t="shared" ca="1" si="22"/>
        <v>3</v>
      </c>
      <c r="AV17" s="185">
        <f t="shared" ca="1" si="22"/>
        <v>1</v>
      </c>
      <c r="AW17" s="185">
        <f t="shared" ca="1" si="22"/>
        <v>0</v>
      </c>
      <c r="AX17" s="185" t="str">
        <f t="shared" ca="1" si="22"/>
        <v>802.11a/b/g/n/ac/ax</v>
      </c>
      <c r="AY17" s="185">
        <f t="shared" ca="1" si="22"/>
        <v>5.0999999999999996</v>
      </c>
      <c r="AZ17" s="185">
        <f t="shared" ca="1" si="23"/>
        <v>11</v>
      </c>
      <c r="BA17" s="185" t="str">
        <f t="shared" ca="1" si="23"/>
        <v>Version 8.0</v>
      </c>
      <c r="BB17" s="185" t="str">
        <f t="shared" ca="1" si="23"/>
        <v>Ja</v>
      </c>
      <c r="BC17" s="185" t="str">
        <f t="shared" ca="1" si="23"/>
        <v>Google Chrome OS</v>
      </c>
      <c r="BD17" s="185" t="str">
        <f t="shared" ca="1" si="23"/>
        <v>Chromebook 14 G7</v>
      </c>
      <c r="BE17" s="185">
        <f t="shared" ca="1" si="23"/>
        <v>4088</v>
      </c>
      <c r="BF17" s="192">
        <f t="shared" ca="1" si="23"/>
        <v>123</v>
      </c>
      <c r="BG17" s="192">
        <f t="shared" ca="1" si="23"/>
        <v>425</v>
      </c>
      <c r="BH17" s="192">
        <f t="shared" ca="1" si="23"/>
        <v>249</v>
      </c>
      <c r="BI17" s="192">
        <f t="shared" ca="1" si="23"/>
        <v>131</v>
      </c>
      <c r="BJ17" s="192">
        <f t="shared" ca="1" si="24"/>
        <v>133</v>
      </c>
      <c r="BK17" s="192">
        <f t="shared" ca="1" si="24"/>
        <v>20</v>
      </c>
      <c r="BL17" s="192">
        <f t="shared" ca="1" si="24"/>
        <v>20</v>
      </c>
      <c r="BM17" s="192" t="str">
        <f t="shared" ca="1" si="24"/>
        <v>Cirafon</v>
      </c>
      <c r="BN17" s="192" t="str">
        <f t="shared" ca="1" si="24"/>
        <v>Cirafon</v>
      </c>
      <c r="BO17" s="192" t="str">
        <f t="shared" ca="1" si="24"/>
        <v>HP</v>
      </c>
      <c r="BP17" s="192">
        <f t="shared" ca="1" si="24"/>
        <v>0</v>
      </c>
      <c r="BQ17" s="192" t="str">
        <f t="shared" ca="1" si="24"/>
        <v>LSN8696R2-14.1</v>
      </c>
      <c r="BR17" s="192" t="str">
        <f t="shared" ca="1" si="24"/>
        <v>DPF14-9</v>
      </c>
      <c r="BS17" s="192" t="str">
        <f t="shared" ca="1" si="24"/>
        <v>1MZ01AA</v>
      </c>
      <c r="BT17" s="192">
        <f t="shared" ca="1" si="24"/>
        <v>0</v>
      </c>
      <c r="BU17" s="192"/>
      <c r="BV17" s="192"/>
      <c r="BW17" s="192" t="str">
        <f t="shared" ca="1" si="25"/>
        <v>Dustin Sverige AB</v>
      </c>
      <c r="BX17" s="192" t="str">
        <f t="shared" ca="1" si="25"/>
        <v>HP</v>
      </c>
      <c r="BY17" s="185"/>
      <c r="BZ17" s="185"/>
      <c r="CA17" s="185"/>
      <c r="CB17" s="185"/>
      <c r="CC17" s="185"/>
      <c r="CD17" s="185"/>
      <c r="CE17" s="185"/>
      <c r="CF17" s="185"/>
      <c r="CG17" s="185"/>
      <c r="CH17" s="185"/>
      <c r="CI17" s="185"/>
      <c r="CJ17" s="185"/>
      <c r="CK17" s="185"/>
      <c r="CL17" s="185"/>
      <c r="CM17" s="185"/>
    </row>
    <row r="18" spans="2:91" ht="22.5" customHeight="1" outlineLevel="1" x14ac:dyDescent="0.35">
      <c r="C18" s="61" t="s">
        <v>16</v>
      </c>
      <c r="D18" s="64"/>
      <c r="F18" s="78" t="str">
        <f t="shared" si="26"/>
        <v/>
      </c>
      <c r="G18" s="79">
        <f t="shared" ca="1" si="27"/>
        <v>32</v>
      </c>
      <c r="H18" s="79">
        <f t="shared" ca="1" si="27"/>
        <v>32</v>
      </c>
      <c r="I18" s="120">
        <f t="shared" ca="1" si="27"/>
        <v>64</v>
      </c>
      <c r="J18" s="62"/>
      <c r="Q18" s="185">
        <f t="shared" si="7"/>
        <v>0</v>
      </c>
      <c r="R18" s="185">
        <f t="shared" si="8"/>
        <v>0</v>
      </c>
      <c r="S18" s="185">
        <f t="shared" si="9"/>
        <v>0</v>
      </c>
      <c r="T18" s="185">
        <f t="shared" si="10"/>
        <v>0</v>
      </c>
      <c r="U18" s="185">
        <f t="shared" si="11"/>
        <v>0</v>
      </c>
      <c r="V18" s="185">
        <f t="shared" si="12"/>
        <v>0</v>
      </c>
      <c r="W18" s="185">
        <f t="shared" si="13"/>
        <v>0</v>
      </c>
      <c r="X18" s="185">
        <f t="shared" si="14"/>
        <v>0</v>
      </c>
      <c r="Y18" s="185">
        <f t="shared" ca="1" si="15"/>
        <v>3636</v>
      </c>
      <c r="Z18" s="185" t="str">
        <f t="shared" si="16"/>
        <v>Offererad produktnr. 05Foxway Education AB</v>
      </c>
      <c r="AA18" s="185" t="b">
        <f t="shared" si="28"/>
        <v>1</v>
      </c>
      <c r="AB18" s="185" t="b">
        <f t="shared" si="29"/>
        <v>1</v>
      </c>
      <c r="AC18" s="185" t="b">
        <f t="shared" si="17"/>
        <v>1</v>
      </c>
      <c r="AD18" s="185" t="b">
        <f t="shared" si="18"/>
        <v>1</v>
      </c>
      <c r="AE18" s="185" t="b">
        <f>IF($D$14="",TRUE,IF(COUNTIF(Processor!$I$2:$I$9,$D$14)&gt;0,AND(AT18&gt;INDEX(Processor!$J$2:$J$9,MATCH($D$14,Processor!$I$2:$I$9,0)),AT18&lt;INDEX(Processor!$K$2:$K$9,MATCH($D$14,Processor!$I$2:$I$9,0))),IF(AT18=$D$14,TRUE,FALSE)))</f>
        <v>1</v>
      </c>
      <c r="AF18" s="185" t="b">
        <f t="shared" si="19"/>
        <v>1</v>
      </c>
      <c r="AG18" s="185" t="b">
        <f t="shared" si="20"/>
        <v>1</v>
      </c>
      <c r="AH18" s="185" t="b">
        <f t="shared" si="30"/>
        <v>1</v>
      </c>
      <c r="AI18" s="185" t="b">
        <f t="shared" si="21"/>
        <v>1</v>
      </c>
      <c r="AJ18" s="185" t="b">
        <f>IFERROR(IF($D24="",TRUE,IF(MID(BA18,LEN(BA18)-2,1)*1&gt;=MID($D24,LEN($D24)-2,1)*1,TRUE,FALSE)),FALSE)</f>
        <v>1</v>
      </c>
      <c r="AK18" s="185"/>
      <c r="AL18" s="185"/>
      <c r="AM18" s="185"/>
      <c r="AN18" s="185" t="s">
        <v>214</v>
      </c>
      <c r="AO18" s="185">
        <v>1</v>
      </c>
      <c r="AP18" s="185" t="str">
        <f t="shared" ca="1" si="22"/>
        <v>1366x768</v>
      </c>
      <c r="AQ18" s="185" t="str">
        <f t="shared" ca="1" si="22"/>
        <v>MT8186</v>
      </c>
      <c r="AR18" s="185">
        <f t="shared" ca="1" si="22"/>
        <v>4</v>
      </c>
      <c r="AS18" s="185">
        <f t="shared" ca="1" si="22"/>
        <v>32</v>
      </c>
      <c r="AT18" s="185">
        <f t="shared" ca="1" si="22"/>
        <v>11.6</v>
      </c>
      <c r="AU18" s="185">
        <f t="shared" ca="1" si="22"/>
        <v>3</v>
      </c>
      <c r="AV18" s="185">
        <f t="shared" ca="1" si="22"/>
        <v>1</v>
      </c>
      <c r="AW18" s="185">
        <f t="shared" ca="1" si="22"/>
        <v>0</v>
      </c>
      <c r="AX18" s="185" t="str">
        <f t="shared" ca="1" si="22"/>
        <v>802.11a/b/g/n/ac</v>
      </c>
      <c r="AY18" s="185">
        <f t="shared" ca="1" si="22"/>
        <v>5.0999999999999996</v>
      </c>
      <c r="AZ18" s="185">
        <f t="shared" ca="1" si="23"/>
        <v>11</v>
      </c>
      <c r="BA18" s="185" t="str">
        <f t="shared" ca="1" si="23"/>
        <v>Version 8.0</v>
      </c>
      <c r="BB18" s="185" t="str">
        <f t="shared" ca="1" si="23"/>
        <v>Ja</v>
      </c>
      <c r="BC18" s="185" t="str">
        <f t="shared" ca="1" si="23"/>
        <v>Google Chrome OS</v>
      </c>
      <c r="BD18" s="185" t="str">
        <f t="shared" ca="1" si="23"/>
        <v>100e Chr Gen4</v>
      </c>
      <c r="BE18" s="185">
        <f t="shared" ca="1" si="23"/>
        <v>3636</v>
      </c>
      <c r="BF18" s="192">
        <f t="shared" ca="1" si="23"/>
        <v>78</v>
      </c>
      <c r="BG18" s="192">
        <f t="shared" ca="1" si="23"/>
        <v>240</v>
      </c>
      <c r="BH18" s="192">
        <f t="shared" ca="1" si="23"/>
        <v>210</v>
      </c>
      <c r="BI18" s="192">
        <f t="shared" ca="1" si="23"/>
        <v>405</v>
      </c>
      <c r="BJ18" s="192">
        <f t="shared" ca="1" si="24"/>
        <v>185</v>
      </c>
      <c r="BK18" s="192">
        <f t="shared" ca="1" si="24"/>
        <v>60</v>
      </c>
      <c r="BL18" s="192">
        <f t="shared" ca="1" si="24"/>
        <v>50</v>
      </c>
      <c r="BM18" s="192" t="str">
        <f t="shared" ca="1" si="24"/>
        <v>V7</v>
      </c>
      <c r="BN18" s="192" t="str">
        <f t="shared" ca="1" si="24"/>
        <v>Lenovo</v>
      </c>
      <c r="BO18" s="192" t="str">
        <f t="shared" ca="1" si="24"/>
        <v>Lenovo</v>
      </c>
      <c r="BP18" s="192">
        <f t="shared" ca="1" si="24"/>
        <v>0</v>
      </c>
      <c r="BQ18" s="192" t="str">
        <f t="shared" ca="1" si="24"/>
        <v>V7 Elite Sleeve 12"</v>
      </c>
      <c r="BR18" s="192" t="str">
        <f t="shared" ca="1" si="24"/>
        <v>Lenovo 11.6" Privacy Filter</v>
      </c>
      <c r="BS18" s="192" t="str">
        <f t="shared" ca="1" si="24"/>
        <v>Power adapter USB-C 45w</v>
      </c>
      <c r="BT18" s="192">
        <f t="shared" ca="1" si="24"/>
        <v>0</v>
      </c>
      <c r="BU18" s="192"/>
      <c r="BV18" s="192"/>
      <c r="BW18" s="192" t="str">
        <f t="shared" ca="1" si="25"/>
        <v>Foxway Education AB</v>
      </c>
      <c r="BX18" s="192" t="str">
        <f t="shared" ca="1" si="25"/>
        <v>Lenovo</v>
      </c>
      <c r="BY18" s="185"/>
      <c r="BZ18" s="185"/>
      <c r="CA18" s="185"/>
      <c r="CB18" s="185"/>
      <c r="CC18" s="185"/>
      <c r="CD18" s="185"/>
      <c r="CE18" s="185"/>
      <c r="CF18" s="185"/>
      <c r="CG18" s="185"/>
      <c r="CH18" s="185"/>
      <c r="CI18" s="185"/>
      <c r="CJ18" s="185"/>
      <c r="CK18" s="185"/>
      <c r="CL18" s="185"/>
      <c r="CM18" s="185"/>
    </row>
    <row r="19" spans="2:91" ht="22.5" customHeight="1" outlineLevel="1" x14ac:dyDescent="0.35">
      <c r="C19" s="61" t="s">
        <v>67</v>
      </c>
      <c r="D19" s="64"/>
      <c r="F19" s="78" t="str">
        <f t="shared" si="26"/>
        <v/>
      </c>
      <c r="G19" s="79">
        <f t="shared" ca="1" si="27"/>
        <v>2</v>
      </c>
      <c r="H19" s="79">
        <f t="shared" ca="1" si="27"/>
        <v>4</v>
      </c>
      <c r="I19" s="120">
        <f t="shared" ca="1" si="27"/>
        <v>3</v>
      </c>
      <c r="J19" s="62"/>
      <c r="Q19" s="185">
        <f t="shared" ref="Q19:Q21" si="31">SUM(R19:X19)</f>
        <v>0</v>
      </c>
      <c r="R19" s="185">
        <f t="shared" ref="R19:R21" si="32">IF($D$28="",0,BF19)</f>
        <v>0</v>
      </c>
      <c r="S19" s="185">
        <f t="shared" ref="S19:S21" si="33">IF($D$31="",0,BG19)</f>
        <v>0</v>
      </c>
      <c r="T19" s="185">
        <f t="shared" ref="T19:T21" si="34">IF($D$34="",0,BH19)</f>
        <v>0</v>
      </c>
      <c r="U19" s="185">
        <f t="shared" ref="U19:U21" si="35">IF($D$38="",0,BI19)</f>
        <v>0</v>
      </c>
      <c r="V19" s="185">
        <f t="shared" ref="V19:V21" si="36">IF($D$39="",0,BJ19)</f>
        <v>0</v>
      </c>
      <c r="W19" s="185">
        <f t="shared" ref="W19:W21" si="37">IF($D$40="",0,BK19)</f>
        <v>0</v>
      </c>
      <c r="X19" s="185">
        <f t="shared" ref="X19:X21" si="38">IF($D$41="",0,BL19)</f>
        <v>0</v>
      </c>
      <c r="Y19" s="185">
        <f t="shared" ca="1" si="15"/>
        <v>5133</v>
      </c>
      <c r="Z19" s="185" t="str">
        <f t="shared" ref="Z19:Z21" si="39">IF(COUNTIF(AA19:AM19,FALSE)&gt;0,"",AN19)</f>
        <v>Offererad produktnr. 06Foxway Education AB</v>
      </c>
      <c r="AA19" s="185" t="b">
        <f t="shared" ref="AA19:AA21" si="40">IF(" 1366x768"=$D$15,TRUE,IF($D$15=0,TRUE,IF($D$15=AP19,TRUE,FALSE)))</f>
        <v>1</v>
      </c>
      <c r="AB19" s="185" t="b">
        <f t="shared" ref="AB19:AB21" si="41">IF($D$16="",TRUE,IF(AQ19=$D$16,TRUE,FALSE))</f>
        <v>1</v>
      </c>
      <c r="AC19" s="185" t="b">
        <f t="shared" ref="AC19:AC21" si="42">IF($D$17="",TRUE,IF(AR19&gt;=$D$17,TRUE,FALSE))</f>
        <v>1</v>
      </c>
      <c r="AD19" s="185" t="b">
        <f t="shared" ref="AD19:AD21" si="43">IF($D$18="",TRUE,IF(AS19&gt;=$D$18,TRUE,FALSE))</f>
        <v>1</v>
      </c>
      <c r="AE19" s="185" t="b">
        <f>IF($D$14="",TRUE,IF(COUNTIF(Processor!$I$2:$I$9,$D$14)&gt;0,AND(AT19&gt;INDEX(Processor!$J$2:$J$9,MATCH($D$14,Processor!$I$2:$I$9,0)),AT19&lt;INDEX(Processor!$K$2:$K$9,MATCH($D$14,Processor!$I$2:$I$9,0))),IF(AT19=$D$14,TRUE,FALSE)))</f>
        <v>1</v>
      </c>
      <c r="AF19" s="185" t="b">
        <f t="shared" ref="AF19:AF21" si="44">IF($D$19="",TRUE,IF(AU19&gt;=$D$19,TRUE,FALSE))</f>
        <v>1</v>
      </c>
      <c r="AG19" s="185" t="b">
        <f t="shared" ref="AG19:AG21" si="45">IF($D$20="",TRUE,IF(AV19&gt;=$D$20,TRUE,FALSE))</f>
        <v>1</v>
      </c>
      <c r="AH19" s="185" t="b">
        <f t="shared" ref="AH19:AH21" si="46">IF($D$21="",TRUE,IF($D$21="802.11a/b/g/n/ac",TRUE,IF(AX19&gt;=$D$21,TRUE,FALSE)))</f>
        <v>1</v>
      </c>
      <c r="AI19" s="185" t="b">
        <f t="shared" ref="AI19:AI21" si="47">IF($D$22="",TRUE,IF(AY19&gt;=$D$22,TRUE,FALSE))</f>
        <v>1</v>
      </c>
      <c r="AJ19" s="185" t="b">
        <f>IFERROR(IF($D24="",TRUE,IF(MID(BA19,LEN(BA19)-2,1)*1&gt;=MID($D24,LEN($D24)-2,1)*1,TRUE,FALSE)),FALSE)</f>
        <v>1</v>
      </c>
      <c r="AK19" s="185"/>
      <c r="AL19" s="185"/>
      <c r="AM19" s="185"/>
      <c r="AN19" s="185" t="s">
        <v>215</v>
      </c>
      <c r="AO19" s="185">
        <v>1</v>
      </c>
      <c r="AP19" s="185" t="str">
        <f t="shared" ref="AP19:BE21" ca="1" si="48">IFERROR(INDEX(INDIRECT(AP$7&amp;"!$A$10:CC100000"),MATCH($AN19,INDIRECT(AP$7&amp;"!BH$10:BH100000"),0),MATCH(AP$9,INDIRECT(AP$7&amp;"!a10:CC10"),0)),"False")</f>
        <v>1920x1080</v>
      </c>
      <c r="AQ19" s="185" t="str">
        <f t="shared" ca="1" si="48"/>
        <v>Intel Celeron</v>
      </c>
      <c r="AR19" s="185">
        <f t="shared" ca="1" si="48"/>
        <v>8</v>
      </c>
      <c r="AS19" s="185">
        <f ca="1">IFERROR(INDEX(INDIRECT(AS$7&amp;"!$A$10:CC100000"),MATCH($AN19,INDIRECT(AS$7&amp;"!BH$10:BH100000"),0),MATCH(AS$9,INDIRECT(AS$7&amp;"!a10:CC10"),0)),"False")</f>
        <v>64</v>
      </c>
      <c r="AT19" s="185">
        <f t="shared" ca="1" si="48"/>
        <v>14</v>
      </c>
      <c r="AU19" s="185">
        <f t="shared" ca="1" si="48"/>
        <v>3</v>
      </c>
      <c r="AV19" s="185">
        <f t="shared" ca="1" si="48"/>
        <v>1</v>
      </c>
      <c r="AW19" s="185">
        <f t="shared" ca="1" si="48"/>
        <v>0</v>
      </c>
      <c r="AX19" s="185" t="str">
        <f t="shared" ca="1" si="48"/>
        <v>802.11a/b/g/n/ac/ax</v>
      </c>
      <c r="AY19" s="185">
        <f t="shared" ca="1" si="48"/>
        <v>5</v>
      </c>
      <c r="AZ19" s="185">
        <f t="shared" ca="1" si="48"/>
        <v>11</v>
      </c>
      <c r="BA19" s="185" t="str">
        <f t="shared" ca="1" si="48"/>
        <v>Version 8.0</v>
      </c>
      <c r="BB19" s="185" t="str">
        <f t="shared" ca="1" si="48"/>
        <v>Ja</v>
      </c>
      <c r="BC19" s="185" t="str">
        <f t="shared" ca="1" si="48"/>
        <v>Google Chrome OS</v>
      </c>
      <c r="BD19" s="185" t="str">
        <f t="shared" ca="1" si="48"/>
        <v>Chromebook 14 G7</v>
      </c>
      <c r="BE19" s="185">
        <f t="shared" ca="1" si="48"/>
        <v>5133</v>
      </c>
      <c r="BF19" s="192">
        <f t="shared" ref="BF19:BT21" ca="1" si="49">IFERROR(INDEX(INDIRECT(BF$7&amp;"!$A$10:CC100000"),MATCH($AN19,INDIRECT(BF$7&amp;"!BH$10:BH100000"),0),MATCH(BF$9,INDIRECT(BF$7&amp;"!a10:CC10"),0)),"False")</f>
        <v>78</v>
      </c>
      <c r="BG19" s="192">
        <f t="shared" ca="1" si="49"/>
        <v>276</v>
      </c>
      <c r="BH19" s="192">
        <f t="shared" ca="1" si="49"/>
        <v>240</v>
      </c>
      <c r="BI19" s="192">
        <f t="shared" ca="1" si="49"/>
        <v>162</v>
      </c>
      <c r="BJ19" s="192">
        <f t="shared" ca="1" si="49"/>
        <v>185</v>
      </c>
      <c r="BK19" s="192">
        <f t="shared" ca="1" si="49"/>
        <v>60</v>
      </c>
      <c r="BL19" s="192">
        <f t="shared" ca="1" si="49"/>
        <v>50</v>
      </c>
      <c r="BM19" s="192" t="str">
        <f t="shared" ca="1" si="49"/>
        <v>V7</v>
      </c>
      <c r="BN19" s="192" t="str">
        <f t="shared" ca="1" si="49"/>
        <v>Targus</v>
      </c>
      <c r="BO19" s="192" t="str">
        <f t="shared" ca="1" si="49"/>
        <v>HP</v>
      </c>
      <c r="BP19" s="192">
        <f t="shared" ca="1" si="49"/>
        <v>0</v>
      </c>
      <c r="BQ19" s="192" t="str">
        <f t="shared" ca="1" si="49"/>
        <v>V7 Elite Sleeve 12"</v>
      </c>
      <c r="BR19" s="192" t="str">
        <f t="shared" ca="1" si="49"/>
        <v>Targus Privacy Screen 14"</v>
      </c>
      <c r="BS19" s="192" t="str">
        <f t="shared" ca="1" si="49"/>
        <v>HP 45W USB-C Power Adapter G2</v>
      </c>
      <c r="BT19" s="192">
        <f t="shared" ca="1" si="49"/>
        <v>0</v>
      </c>
      <c r="BU19" s="192"/>
      <c r="BV19" s="192"/>
      <c r="BW19" s="192" t="str">
        <f t="shared" ref="BW19:BX21" ca="1" si="50">IFERROR(INDEX(INDIRECT(BW$7&amp;"!$A$10:CC100000"),MATCH($AN19,INDIRECT(BW$7&amp;"!BH$10:BH100000"),0),MATCH(BW$9,INDIRECT(BW$7&amp;"!a10:CC10"),0)),"False")</f>
        <v>Foxway Education AB</v>
      </c>
      <c r="BX19" s="192" t="str">
        <f t="shared" ca="1" si="50"/>
        <v>HP</v>
      </c>
      <c r="BY19" s="185"/>
      <c r="BZ19" s="185"/>
      <c r="CA19" s="185"/>
      <c r="CB19" s="185"/>
      <c r="CC19" s="185"/>
      <c r="CD19" s="185"/>
      <c r="CE19" s="185"/>
      <c r="CF19" s="185"/>
      <c r="CG19" s="185"/>
      <c r="CH19" s="185"/>
      <c r="CI19" s="185"/>
      <c r="CJ19" s="185"/>
      <c r="CK19" s="185"/>
      <c r="CL19" s="185"/>
      <c r="CM19" s="185"/>
    </row>
    <row r="20" spans="2:91" ht="22.5" customHeight="1" outlineLevel="1" x14ac:dyDescent="0.35">
      <c r="C20" s="61" t="s">
        <v>74</v>
      </c>
      <c r="D20" s="64"/>
      <c r="F20" s="78" t="str">
        <f t="shared" si="26"/>
        <v/>
      </c>
      <c r="G20" s="79">
        <f t="shared" ca="1" si="27"/>
        <v>1</v>
      </c>
      <c r="H20" s="79">
        <f t="shared" ca="1" si="27"/>
        <v>2</v>
      </c>
      <c r="I20" s="120">
        <f t="shared" ca="1" si="27"/>
        <v>1</v>
      </c>
      <c r="J20" s="62"/>
      <c r="Q20" s="185">
        <f t="shared" si="31"/>
        <v>0</v>
      </c>
      <c r="R20" s="185">
        <f t="shared" si="32"/>
        <v>0</v>
      </c>
      <c r="S20" s="185">
        <f t="shared" si="33"/>
        <v>0</v>
      </c>
      <c r="T20" s="185">
        <f t="shared" si="34"/>
        <v>0</v>
      </c>
      <c r="U20" s="185">
        <f t="shared" si="35"/>
        <v>0</v>
      </c>
      <c r="V20" s="185">
        <f t="shared" si="36"/>
        <v>0</v>
      </c>
      <c r="W20" s="185">
        <f t="shared" si="37"/>
        <v>0</v>
      </c>
      <c r="X20" s="185">
        <f t="shared" si="38"/>
        <v>0</v>
      </c>
      <c r="Y20" s="185">
        <f t="shared" ca="1" si="15"/>
        <v>2950</v>
      </c>
      <c r="Z20" s="185" t="str">
        <f t="shared" si="39"/>
        <v>Offererad produktnr. 05Qlosr Göteborg AB</v>
      </c>
      <c r="AA20" s="185" t="b">
        <f t="shared" si="40"/>
        <v>1</v>
      </c>
      <c r="AB20" s="185" t="b">
        <f t="shared" si="41"/>
        <v>1</v>
      </c>
      <c r="AC20" s="185" t="b">
        <f t="shared" si="42"/>
        <v>1</v>
      </c>
      <c r="AD20" s="185" t="b">
        <f t="shared" si="43"/>
        <v>1</v>
      </c>
      <c r="AE20" s="185" t="b">
        <f>IF($D$14="",TRUE,IF(COUNTIF(Processor!$I$2:$I$9,$D$14)&gt;0,AND(AT20&gt;INDEX(Processor!$J$2:$J$9,MATCH($D$14,Processor!$I$2:$I$9,0)),AT20&lt;INDEX(Processor!$K$2:$K$9,MATCH($D$14,Processor!$I$2:$I$9,0))),IF(AT20=$D$14,TRUE,FALSE)))</f>
        <v>1</v>
      </c>
      <c r="AF20" s="185" t="b">
        <f t="shared" si="44"/>
        <v>1</v>
      </c>
      <c r="AG20" s="185" t="b">
        <f t="shared" si="45"/>
        <v>1</v>
      </c>
      <c r="AH20" s="185" t="b">
        <f t="shared" si="46"/>
        <v>1</v>
      </c>
      <c r="AI20" s="185" t="b">
        <f t="shared" si="47"/>
        <v>1</v>
      </c>
      <c r="AJ20" s="185" t="b">
        <f>IFERROR(IF($D24="",TRUE,IF(MID(BA20,LEN(BA20)-2,1)*1&gt;=MID($D24,LEN($D24)-2,1)*1,TRUE,FALSE)),FALSE)</f>
        <v>1</v>
      </c>
      <c r="AK20" s="185"/>
      <c r="AL20" s="185"/>
      <c r="AM20" s="185"/>
      <c r="AN20" s="185" t="s">
        <v>556</v>
      </c>
      <c r="AO20" s="185">
        <v>1</v>
      </c>
      <c r="AP20" s="185" t="str">
        <f t="shared" ca="1" si="48"/>
        <v>1366x768</v>
      </c>
      <c r="AQ20" s="185" t="str">
        <f t="shared" ca="1" si="48"/>
        <v>Intel Celeron</v>
      </c>
      <c r="AR20" s="185">
        <f t="shared" ca="1" si="48"/>
        <v>4</v>
      </c>
      <c r="AS20" s="185">
        <f t="shared" ca="1" si="48"/>
        <v>32</v>
      </c>
      <c r="AT20" s="185">
        <f t="shared" ca="1" si="48"/>
        <v>11.6</v>
      </c>
      <c r="AU20" s="185">
        <f t="shared" ca="1" si="48"/>
        <v>2</v>
      </c>
      <c r="AV20" s="185">
        <f t="shared" ca="1" si="48"/>
        <v>1</v>
      </c>
      <c r="AW20" s="185">
        <f t="shared" ca="1" si="48"/>
        <v>0</v>
      </c>
      <c r="AX20" s="185" t="str">
        <f t="shared" ca="1" si="48"/>
        <v>802.11a/b/g/n/ac/ax</v>
      </c>
      <c r="AY20" s="185">
        <f t="shared" ca="1" si="48"/>
        <v>5.0999999999999996</v>
      </c>
      <c r="AZ20" s="185">
        <f t="shared" ca="1" si="48"/>
        <v>11</v>
      </c>
      <c r="BA20" s="185" t="str">
        <f t="shared" ca="1" si="48"/>
        <v>Version 8.0</v>
      </c>
      <c r="BB20" s="185" t="str">
        <f t="shared" ca="1" si="48"/>
        <v>Ja</v>
      </c>
      <c r="BC20" s="185" t="str">
        <f t="shared" ca="1" si="48"/>
        <v>Google Chrome OS</v>
      </c>
      <c r="BD20" s="185" t="str">
        <f t="shared" ca="1" si="48"/>
        <v>Chromebook 3110</v>
      </c>
      <c r="BE20" s="185">
        <f t="shared" ca="1" si="48"/>
        <v>2950</v>
      </c>
      <c r="BF20" s="192">
        <f t="shared" ca="1" si="49"/>
        <v>59</v>
      </c>
      <c r="BG20" s="192">
        <f t="shared" ca="1" si="49"/>
        <v>287</v>
      </c>
      <c r="BH20" s="192">
        <f t="shared" ca="1" si="49"/>
        <v>240</v>
      </c>
      <c r="BI20" s="192">
        <f t="shared" ca="1" si="49"/>
        <v>275</v>
      </c>
      <c r="BJ20" s="192">
        <f t="shared" ca="1" si="49"/>
        <v>70</v>
      </c>
      <c r="BK20" s="192">
        <f t="shared" ca="1" si="49"/>
        <v>25</v>
      </c>
      <c r="BL20" s="192">
        <f t="shared" ca="1" si="49"/>
        <v>25</v>
      </c>
      <c r="BM20" s="192" t="str">
        <f t="shared" ca="1" si="49"/>
        <v>HP</v>
      </c>
      <c r="BN20" s="192" t="str">
        <f t="shared" ca="1" si="49"/>
        <v>Kapsolo</v>
      </c>
      <c r="BO20" s="192" t="str">
        <f t="shared" ca="1" si="49"/>
        <v>Dell</v>
      </c>
      <c r="BP20" s="192">
        <f t="shared" ca="1" si="49"/>
        <v>0</v>
      </c>
      <c r="BQ20" s="192" t="str">
        <f t="shared" ca="1" si="49"/>
        <v>GBX77E81AA</v>
      </c>
      <c r="BR20" s="192" t="str">
        <f t="shared" ca="1" si="49"/>
        <v>GBXKAP10145</v>
      </c>
      <c r="BS20" s="192" t="str">
        <f t="shared" ca="1" si="49"/>
        <v>DELL-921CW</v>
      </c>
      <c r="BT20" s="192">
        <f t="shared" ca="1" si="49"/>
        <v>0</v>
      </c>
      <c r="BU20" s="192"/>
      <c r="BV20" s="192"/>
      <c r="BW20" s="192" t="str">
        <f t="shared" ca="1" si="50"/>
        <v>Qlosr Göteborg AB</v>
      </c>
      <c r="BX20" s="192" t="str">
        <f t="shared" ca="1" si="50"/>
        <v>Dell</v>
      </c>
      <c r="BY20" s="185"/>
      <c r="BZ20" s="185"/>
      <c r="CA20" s="185"/>
      <c r="CB20" s="185"/>
      <c r="CC20" s="185"/>
      <c r="CD20" s="185"/>
      <c r="CE20" s="185"/>
      <c r="CF20" s="185"/>
      <c r="CG20" s="185"/>
      <c r="CH20" s="185"/>
      <c r="CI20" s="185"/>
      <c r="CJ20" s="185"/>
      <c r="CK20" s="185"/>
      <c r="CL20" s="185"/>
      <c r="CM20" s="185"/>
    </row>
    <row r="21" spans="2:91" ht="22.5" customHeight="1" outlineLevel="1" x14ac:dyDescent="0.35">
      <c r="C21" s="61" t="s">
        <v>103</v>
      </c>
      <c r="D21" s="64"/>
      <c r="F21" s="78" t="str">
        <f t="shared" si="26"/>
        <v/>
      </c>
      <c r="G21" s="79" t="str">
        <f t="shared" ca="1" si="27"/>
        <v>802.11a/b/g/n/ac/ax</v>
      </c>
      <c r="H21" s="79" t="str">
        <f t="shared" ca="1" si="27"/>
        <v>802.11a/b/g/n/ac/ax</v>
      </c>
      <c r="I21" s="120" t="str">
        <f t="shared" ca="1" si="27"/>
        <v>802.11a/b/g/n/ac/ax</v>
      </c>
      <c r="J21" s="62"/>
      <c r="Q21" s="185">
        <f t="shared" si="31"/>
        <v>0</v>
      </c>
      <c r="R21" s="185">
        <f t="shared" si="32"/>
        <v>0</v>
      </c>
      <c r="S21" s="185">
        <f t="shared" si="33"/>
        <v>0</v>
      </c>
      <c r="T21" s="185">
        <f t="shared" si="34"/>
        <v>0</v>
      </c>
      <c r="U21" s="185">
        <f t="shared" si="35"/>
        <v>0</v>
      </c>
      <c r="V21" s="185">
        <f t="shared" si="36"/>
        <v>0</v>
      </c>
      <c r="W21" s="185">
        <f t="shared" si="37"/>
        <v>0</v>
      </c>
      <c r="X21" s="185">
        <f t="shared" si="38"/>
        <v>0</v>
      </c>
      <c r="Y21" s="185">
        <f t="shared" ca="1" si="15"/>
        <v>3610</v>
      </c>
      <c r="Z21" s="185" t="str">
        <f t="shared" si="39"/>
        <v>Offererad produktnr. 06Qlosr Göteborg AB</v>
      </c>
      <c r="AA21" s="185" t="b">
        <f t="shared" si="40"/>
        <v>1</v>
      </c>
      <c r="AB21" s="185" t="b">
        <f t="shared" si="41"/>
        <v>1</v>
      </c>
      <c r="AC21" s="185" t="b">
        <f t="shared" si="42"/>
        <v>1</v>
      </c>
      <c r="AD21" s="185" t="b">
        <f t="shared" si="43"/>
        <v>1</v>
      </c>
      <c r="AE21" s="185" t="b">
        <f>IF($D$14="",TRUE,IF(COUNTIF(Processor!$I$2:$I$9,$D$14)&gt;0,AND(AT21&gt;INDEX(Processor!$J$2:$J$9,MATCH($D$14,Processor!$I$2:$I$9,0)),AT21&lt;INDEX(Processor!$K$2:$K$9,MATCH($D$14,Processor!$I$2:$I$9,0))),IF(AT21=$D$14,TRUE,FALSE)))</f>
        <v>1</v>
      </c>
      <c r="AF21" s="185" t="b">
        <f t="shared" si="44"/>
        <v>1</v>
      </c>
      <c r="AG21" s="185" t="b">
        <f t="shared" si="45"/>
        <v>1</v>
      </c>
      <c r="AH21" s="185" t="b">
        <f t="shared" si="46"/>
        <v>1</v>
      </c>
      <c r="AI21" s="185" t="b">
        <f t="shared" si="47"/>
        <v>1</v>
      </c>
      <c r="AJ21" s="185" t="b">
        <f>IFERROR(IF($D24="",TRUE,IF(MID(BA21,LEN(BA21)-2,1)*1&gt;=MID($D24,LEN($D24)-2,1)*1,TRUE,FALSE)),FALSE)</f>
        <v>1</v>
      </c>
      <c r="AK21" s="185"/>
      <c r="AL21" s="185"/>
      <c r="AM21" s="185"/>
      <c r="AN21" s="185" t="s">
        <v>557</v>
      </c>
      <c r="AO21" s="185">
        <v>1</v>
      </c>
      <c r="AP21" s="185" t="str">
        <f t="shared" ca="1" si="48"/>
        <v>1920x1080</v>
      </c>
      <c r="AQ21" s="185" t="str">
        <f t="shared" ca="1" si="48"/>
        <v>Intel Celeron</v>
      </c>
      <c r="AR21" s="185">
        <f t="shared" ca="1" si="48"/>
        <v>8</v>
      </c>
      <c r="AS21" s="185">
        <f t="shared" ca="1" si="48"/>
        <v>64</v>
      </c>
      <c r="AT21" s="185">
        <f t="shared" ca="1" si="48"/>
        <v>14</v>
      </c>
      <c r="AU21" s="185">
        <f t="shared" ca="1" si="48"/>
        <v>3</v>
      </c>
      <c r="AV21" s="185">
        <f t="shared" ca="1" si="48"/>
        <v>1</v>
      </c>
      <c r="AW21" s="185">
        <f t="shared" ca="1" si="48"/>
        <v>0</v>
      </c>
      <c r="AX21" s="185" t="str">
        <f t="shared" ca="1" si="48"/>
        <v>802.11a/b/g/n/ac/ax</v>
      </c>
      <c r="AY21" s="185">
        <f t="shared" ca="1" si="48"/>
        <v>5</v>
      </c>
      <c r="AZ21" s="185">
        <f t="shared" ca="1" si="48"/>
        <v>11</v>
      </c>
      <c r="BA21" s="185" t="str">
        <f t="shared" ca="1" si="48"/>
        <v>Version 8.0</v>
      </c>
      <c r="BB21" s="185" t="str">
        <f t="shared" ca="1" si="48"/>
        <v>Ja</v>
      </c>
      <c r="BC21" s="185" t="str">
        <f t="shared" ca="1" si="48"/>
        <v>Google Chrome OS</v>
      </c>
      <c r="BD21" s="185" t="str">
        <f t="shared" ca="1" si="48"/>
        <v>Chromebook 14 G7</v>
      </c>
      <c r="BE21" s="185">
        <f t="shared" ca="1" si="48"/>
        <v>3610</v>
      </c>
      <c r="BF21" s="192">
        <f t="shared" ca="1" si="49"/>
        <v>64</v>
      </c>
      <c r="BG21" s="192">
        <f t="shared" ca="1" si="49"/>
        <v>298</v>
      </c>
      <c r="BH21" s="192">
        <f t="shared" ca="1" si="49"/>
        <v>198</v>
      </c>
      <c r="BI21" s="192">
        <f t="shared" ca="1" si="49"/>
        <v>125</v>
      </c>
      <c r="BJ21" s="192">
        <f t="shared" ca="1" si="49"/>
        <v>70</v>
      </c>
      <c r="BK21" s="192">
        <f t="shared" ca="1" si="49"/>
        <v>25</v>
      </c>
      <c r="BL21" s="192">
        <f t="shared" ca="1" si="49"/>
        <v>25</v>
      </c>
      <c r="BM21" s="192" t="str">
        <f t="shared" ca="1" si="49"/>
        <v>HP</v>
      </c>
      <c r="BN21" s="192" t="str">
        <f t="shared" ca="1" si="49"/>
        <v>Kapsolo</v>
      </c>
      <c r="BO21" s="192" t="str">
        <f t="shared" ca="1" si="49"/>
        <v>HP</v>
      </c>
      <c r="BP21" s="192">
        <f t="shared" ca="1" si="49"/>
        <v>0</v>
      </c>
      <c r="BQ21" s="192" t="str">
        <f t="shared" ca="1" si="49"/>
        <v>GBX2UW01AA</v>
      </c>
      <c r="BR21" s="192" t="str">
        <f t="shared" ca="1" si="49"/>
        <v>GBXKAP10478</v>
      </c>
      <c r="BS21" s="192" t="str">
        <f t="shared" ca="1" si="49"/>
        <v>GBX1HE07AA</v>
      </c>
      <c r="BT21" s="192">
        <f t="shared" ca="1" si="49"/>
        <v>0</v>
      </c>
      <c r="BU21" s="192"/>
      <c r="BV21" s="192"/>
      <c r="BW21" s="192" t="str">
        <f t="shared" ca="1" si="50"/>
        <v>Qlosr Göteborg AB</v>
      </c>
      <c r="BX21" s="192" t="str">
        <f t="shared" ca="1" si="50"/>
        <v>HP</v>
      </c>
      <c r="BY21" s="185"/>
      <c r="BZ21" s="185"/>
      <c r="CA21" s="185"/>
      <c r="CB21" s="185"/>
      <c r="CC21" s="185"/>
      <c r="CD21" s="185"/>
      <c r="CE21" s="185"/>
      <c r="CF21" s="185"/>
      <c r="CG21" s="185"/>
      <c r="CH21" s="185"/>
      <c r="CI21" s="185"/>
      <c r="CJ21" s="185"/>
      <c r="CK21" s="185"/>
      <c r="CL21" s="185"/>
      <c r="CM21" s="185"/>
    </row>
    <row r="22" spans="2:91" ht="33.75" customHeight="1" outlineLevel="1" x14ac:dyDescent="0.35">
      <c r="C22" s="61" t="s">
        <v>75</v>
      </c>
      <c r="D22" s="110"/>
      <c r="F22" s="78" t="str">
        <f t="shared" si="26"/>
        <v/>
      </c>
      <c r="G22" s="79">
        <f t="shared" ca="1" si="27"/>
        <v>5.0999999999999996</v>
      </c>
      <c r="H22" s="79">
        <f t="shared" ca="1" si="27"/>
        <v>5</v>
      </c>
      <c r="I22" s="120">
        <f t="shared" ca="1" si="27"/>
        <v>5</v>
      </c>
      <c r="J22" s="94"/>
      <c r="BF22" s="63"/>
      <c r="BG22" s="63"/>
      <c r="BH22" s="63"/>
      <c r="BI22" s="63"/>
      <c r="BJ22" s="63"/>
      <c r="BK22" s="63"/>
      <c r="BL22" s="63"/>
      <c r="BM22" s="63"/>
      <c r="BN22" s="63"/>
      <c r="BO22" s="63"/>
      <c r="BP22" s="63"/>
      <c r="BQ22" s="63"/>
      <c r="BR22" s="63"/>
      <c r="BS22" s="63"/>
      <c r="BT22" s="63"/>
      <c r="BU22" s="63"/>
      <c r="BV22" s="63"/>
      <c r="BW22" s="63"/>
      <c r="BX22" s="63"/>
    </row>
    <row r="23" spans="2:91" ht="33.75" customHeight="1" outlineLevel="1" x14ac:dyDescent="0.35">
      <c r="C23" s="61" t="s">
        <v>120</v>
      </c>
      <c r="D23" s="65"/>
      <c r="F23" s="80" t="str">
        <f t="shared" si="26"/>
        <v/>
      </c>
      <c r="G23" s="81">
        <f t="shared" ca="1" si="27"/>
        <v>11</v>
      </c>
      <c r="H23" s="81">
        <f t="shared" ca="1" si="27"/>
        <v>11</v>
      </c>
      <c r="I23" s="121">
        <f t="shared" ca="1" si="27"/>
        <v>11</v>
      </c>
      <c r="J23" s="62"/>
      <c r="BF23" s="63"/>
      <c r="BG23" s="63"/>
      <c r="BH23" s="63"/>
      <c r="BI23" s="63"/>
      <c r="BJ23" s="63"/>
      <c r="BK23" s="63"/>
      <c r="BL23" s="63"/>
      <c r="BM23" s="63"/>
      <c r="BN23" s="63"/>
      <c r="BO23" s="63"/>
      <c r="BP23" s="63"/>
      <c r="BQ23" s="63"/>
      <c r="BR23" s="63"/>
      <c r="BS23" s="63"/>
      <c r="BT23" s="63"/>
      <c r="BU23" s="63"/>
      <c r="BV23" s="63"/>
      <c r="BW23" s="63"/>
      <c r="BX23" s="63"/>
    </row>
    <row r="24" spans="2:91" ht="33.75" customHeight="1" outlineLevel="1" x14ac:dyDescent="0.35">
      <c r="C24" s="61" t="s">
        <v>38</v>
      </c>
      <c r="D24" s="64"/>
      <c r="F24" s="78" t="str">
        <f t="shared" si="26"/>
        <v/>
      </c>
      <c r="G24" s="81" t="str">
        <f t="shared" ca="1" si="27"/>
        <v>Version 8.0</v>
      </c>
      <c r="H24" s="81" t="str">
        <f t="shared" ca="1" si="27"/>
        <v>Version 8.0</v>
      </c>
      <c r="I24" s="121" t="str">
        <f t="shared" ca="1" si="27"/>
        <v>Version 8.0</v>
      </c>
      <c r="J24" s="62"/>
      <c r="BF24" s="63"/>
      <c r="BG24" s="63"/>
      <c r="BH24" s="63"/>
      <c r="BI24" s="63"/>
      <c r="BJ24" s="63"/>
      <c r="BK24" s="63"/>
      <c r="BL24" s="63"/>
      <c r="BM24" s="63"/>
      <c r="BN24" s="63"/>
      <c r="BO24" s="63"/>
      <c r="BP24" s="63"/>
      <c r="BQ24" s="63"/>
      <c r="BR24" s="63"/>
      <c r="BS24" s="63"/>
      <c r="BT24" s="63"/>
      <c r="BU24" s="63"/>
      <c r="BV24" s="63"/>
      <c r="BW24" s="63"/>
      <c r="BX24" s="63"/>
    </row>
    <row r="25" spans="2:91" ht="33.75" customHeight="1" outlineLevel="1" x14ac:dyDescent="0.35">
      <c r="C25" s="61" t="s">
        <v>37</v>
      </c>
      <c r="D25" s="64"/>
      <c r="F25" s="78" t="str">
        <f t="shared" si="26"/>
        <v/>
      </c>
      <c r="G25" s="79" t="str">
        <f t="shared" ca="1" si="27"/>
        <v>Ja</v>
      </c>
      <c r="H25" s="79" t="str">
        <f t="shared" ca="1" si="27"/>
        <v>Ja</v>
      </c>
      <c r="I25" s="120" t="str">
        <f t="shared" ca="1" si="27"/>
        <v>Ja</v>
      </c>
      <c r="J25" s="62"/>
      <c r="BF25" s="63"/>
      <c r="BG25" s="63"/>
      <c r="BH25" s="63"/>
      <c r="BI25" s="63"/>
      <c r="BJ25" s="63"/>
      <c r="BK25" s="63"/>
      <c r="BL25" s="63"/>
      <c r="BM25" s="63"/>
      <c r="BN25" s="63"/>
      <c r="BO25" s="63"/>
      <c r="BP25" s="63"/>
      <c r="BQ25" s="63"/>
      <c r="BR25" s="63"/>
      <c r="BS25" s="63"/>
      <c r="BT25" s="63"/>
      <c r="BU25" s="63"/>
      <c r="BV25" s="63"/>
      <c r="BW25" s="63"/>
      <c r="BX25" s="63"/>
    </row>
    <row r="26" spans="2:91" ht="23.25" customHeight="1" outlineLevel="1" x14ac:dyDescent="0.35">
      <c r="C26" s="66"/>
      <c r="D26" s="67"/>
      <c r="G26" s="62"/>
      <c r="H26" s="62"/>
      <c r="I26" s="62"/>
      <c r="J26" s="62"/>
      <c r="BF26" s="63"/>
      <c r="BG26" s="63"/>
      <c r="BH26" s="63"/>
      <c r="BI26" s="63"/>
      <c r="BJ26" s="63"/>
      <c r="BK26" s="63"/>
      <c r="BL26" s="63"/>
      <c r="BM26" s="63"/>
      <c r="BN26" s="63"/>
      <c r="BO26" s="63"/>
      <c r="BP26" s="63"/>
      <c r="BQ26" s="63"/>
      <c r="BR26" s="63"/>
      <c r="BS26" s="63"/>
      <c r="BT26" s="63"/>
      <c r="BU26" s="63"/>
      <c r="BV26" s="63"/>
      <c r="BW26" s="63"/>
      <c r="BX26" s="63"/>
    </row>
    <row r="27" spans="2:91" ht="23.25" customHeight="1" outlineLevel="1" x14ac:dyDescent="0.35">
      <c r="C27" s="212" t="s">
        <v>366</v>
      </c>
      <c r="D27" s="213"/>
      <c r="E27" s="213"/>
      <c r="F27" s="213"/>
      <c r="G27" s="213"/>
      <c r="H27" s="213"/>
      <c r="I27" s="214"/>
      <c r="J27" s="62"/>
      <c r="BF27" s="63"/>
      <c r="BG27" s="63"/>
      <c r="BH27" s="63"/>
      <c r="BI27" s="63"/>
      <c r="BJ27" s="63"/>
      <c r="BK27" s="63"/>
      <c r="BL27" s="63"/>
      <c r="BM27" s="63"/>
      <c r="BN27" s="63"/>
      <c r="BO27" s="63"/>
      <c r="BP27" s="63"/>
      <c r="BQ27" s="63"/>
      <c r="BR27" s="63"/>
      <c r="BS27" s="63"/>
      <c r="BT27" s="63"/>
      <c r="BU27" s="63"/>
      <c r="BV27" s="63"/>
      <c r="BW27" s="63"/>
      <c r="BX27" s="63"/>
    </row>
    <row r="28" spans="2:91" ht="23.25" customHeight="1" outlineLevel="1" x14ac:dyDescent="0.35">
      <c r="B28" s="69" t="s">
        <v>53</v>
      </c>
      <c r="C28" s="95" t="s">
        <v>363</v>
      </c>
      <c r="D28" s="70"/>
      <c r="F28" s="159" t="str">
        <f t="shared" ref="F28:F36" si="51">IF(F$10="Inget antal angivet","",IFERROR(INDEX($AP$11:$BX$35,MATCH(F$7,$AN$11:$AN$35,0),MATCH($B28,$AP$11:$BX$11,0)),""))</f>
        <v/>
      </c>
      <c r="G28" s="160">
        <f t="shared" ref="G28:I36" ca="1" si="52">IFERROR(INDEX($AP$11:$BX$35,MATCH(G$7,$AN$11:$AN$35,0),MATCH($B28,$AP$11:$BX$11,0)),"")</f>
        <v>59</v>
      </c>
      <c r="H28" s="160">
        <f t="shared" ca="1" si="52"/>
        <v>87</v>
      </c>
      <c r="I28" s="160">
        <f t="shared" ca="1" si="52"/>
        <v>64</v>
      </c>
      <c r="J28" s="73"/>
      <c r="BF28" s="63"/>
      <c r="BG28" s="63"/>
      <c r="BH28" s="63"/>
      <c r="BI28" s="63"/>
      <c r="BJ28" s="63"/>
      <c r="BK28" s="63"/>
      <c r="BL28" s="63"/>
      <c r="BM28" s="63"/>
      <c r="BN28" s="63"/>
      <c r="BO28" s="63"/>
      <c r="BP28" s="63"/>
      <c r="BQ28" s="63"/>
      <c r="BR28" s="63"/>
      <c r="BS28" s="63"/>
      <c r="BT28" s="63"/>
      <c r="BU28" s="63"/>
      <c r="BV28" s="63"/>
      <c r="BW28" s="63"/>
      <c r="BX28" s="63"/>
    </row>
    <row r="29" spans="2:91" ht="23.25" customHeight="1" outlineLevel="1" x14ac:dyDescent="0.35">
      <c r="B29" s="69" t="s">
        <v>340</v>
      </c>
      <c r="C29" s="96" t="s">
        <v>51</v>
      </c>
      <c r="D29" s="131" t="str">
        <f>IF("Ska Ingå"=D28,"Ska Ingå","")</f>
        <v/>
      </c>
      <c r="F29" s="84" t="str">
        <f t="shared" si="51"/>
        <v/>
      </c>
      <c r="G29" s="85" t="str">
        <f t="shared" ca="1" si="52"/>
        <v>HP</v>
      </c>
      <c r="H29" s="85" t="str">
        <f t="shared" ca="1" si="52"/>
        <v>Cirafon</v>
      </c>
      <c r="I29" s="85" t="str">
        <f t="shared" ca="1" si="52"/>
        <v>HP</v>
      </c>
      <c r="J29" s="54"/>
      <c r="BF29" s="63"/>
      <c r="BG29" s="63"/>
      <c r="BH29" s="63"/>
      <c r="BI29" s="63"/>
      <c r="BJ29" s="63"/>
      <c r="BK29" s="63"/>
      <c r="BL29" s="63"/>
      <c r="BM29" s="63"/>
      <c r="BN29" s="63"/>
      <c r="BO29" s="63"/>
      <c r="BP29" s="63"/>
      <c r="BQ29" s="63"/>
      <c r="BR29" s="63"/>
      <c r="BS29" s="63"/>
      <c r="BT29" s="63"/>
      <c r="BU29" s="63"/>
      <c r="BV29" s="63"/>
      <c r="BW29" s="63"/>
      <c r="BX29" s="63"/>
    </row>
    <row r="30" spans="2:91" ht="67.5" customHeight="1" outlineLevel="1" x14ac:dyDescent="0.35">
      <c r="B30" s="69" t="s">
        <v>345</v>
      </c>
      <c r="C30" s="97" t="s">
        <v>52</v>
      </c>
      <c r="D30" s="132" t="str">
        <f>IF("Ska Ingå"=D28,"Ska Ingå","")</f>
        <v/>
      </c>
      <c r="F30" s="86" t="str">
        <f t="shared" si="51"/>
        <v/>
      </c>
      <c r="G30" s="87" t="str">
        <f t="shared" ca="1" si="52"/>
        <v>GBX77E81AA</v>
      </c>
      <c r="H30" s="87" t="str">
        <f t="shared" ca="1" si="52"/>
        <v>LSN9117-11</v>
      </c>
      <c r="I30" s="87" t="str">
        <f t="shared" ca="1" si="52"/>
        <v>GBX2UW01AA</v>
      </c>
      <c r="J30" s="73"/>
      <c r="BF30" s="63"/>
      <c r="BG30" s="63"/>
      <c r="BH30" s="63"/>
      <c r="BI30" s="63"/>
      <c r="BJ30" s="63"/>
      <c r="BK30" s="63"/>
      <c r="BL30" s="63"/>
      <c r="BM30" s="63"/>
      <c r="BN30" s="63"/>
      <c r="BO30" s="63"/>
      <c r="BP30" s="63"/>
      <c r="BQ30" s="63"/>
      <c r="BR30" s="63"/>
      <c r="BS30" s="63"/>
      <c r="BT30" s="63"/>
      <c r="BU30" s="63"/>
      <c r="BV30" s="63"/>
      <c r="BW30" s="63"/>
      <c r="BX30" s="63"/>
    </row>
    <row r="31" spans="2:91" ht="23.25" customHeight="1" outlineLevel="1" x14ac:dyDescent="0.35">
      <c r="B31" s="69" t="s">
        <v>54</v>
      </c>
      <c r="C31" s="98" t="s">
        <v>77</v>
      </c>
      <c r="D31" s="70"/>
      <c r="F31" s="157" t="str">
        <f t="shared" si="51"/>
        <v/>
      </c>
      <c r="G31" s="158">
        <f t="shared" ca="1" si="52"/>
        <v>287</v>
      </c>
      <c r="H31" s="158">
        <f t="shared" ca="1" si="52"/>
        <v>123</v>
      </c>
      <c r="I31" s="158">
        <f t="shared" ca="1" si="52"/>
        <v>298</v>
      </c>
      <c r="J31" s="54"/>
      <c r="BF31" s="63"/>
      <c r="BG31" s="63"/>
      <c r="BH31" s="63"/>
      <c r="BI31" s="63"/>
      <c r="BJ31" s="63"/>
      <c r="BK31" s="63"/>
      <c r="BL31" s="63"/>
      <c r="BM31" s="63"/>
      <c r="BN31" s="63"/>
      <c r="BO31" s="63"/>
      <c r="BP31" s="63"/>
      <c r="BQ31" s="63"/>
      <c r="BR31" s="63"/>
      <c r="BS31" s="63"/>
      <c r="BT31" s="63"/>
      <c r="BU31" s="63"/>
      <c r="BV31" s="63"/>
      <c r="BW31" s="63"/>
      <c r="BX31" s="63"/>
    </row>
    <row r="32" spans="2:91" ht="23.25" customHeight="1" outlineLevel="1" x14ac:dyDescent="0.35">
      <c r="B32" s="69" t="s">
        <v>341</v>
      </c>
      <c r="C32" s="61" t="s">
        <v>51</v>
      </c>
      <c r="D32" s="131" t="str">
        <f>IF("Ska Ingå"=D31,"Ska Ingå","")</f>
        <v/>
      </c>
      <c r="F32" s="88" t="str">
        <f t="shared" si="51"/>
        <v/>
      </c>
      <c r="G32" s="89" t="str">
        <f t="shared" ca="1" si="52"/>
        <v>Kapsolo</v>
      </c>
      <c r="H32" s="89" t="str">
        <f t="shared" ca="1" si="52"/>
        <v>Cirafon</v>
      </c>
      <c r="I32" s="89" t="str">
        <f t="shared" ca="1" si="52"/>
        <v>Kapsolo</v>
      </c>
      <c r="J32" s="73"/>
      <c r="BF32" s="63"/>
      <c r="BG32" s="63"/>
      <c r="BH32" s="63"/>
      <c r="BI32" s="63"/>
      <c r="BJ32" s="63"/>
      <c r="BK32" s="63"/>
      <c r="BL32" s="63"/>
      <c r="BM32" s="63"/>
      <c r="BN32" s="63"/>
      <c r="BO32" s="63"/>
      <c r="BP32" s="63"/>
      <c r="BQ32" s="63"/>
      <c r="BR32" s="63"/>
      <c r="BS32" s="63"/>
      <c r="BT32" s="63"/>
      <c r="BU32" s="63"/>
      <c r="BV32" s="63"/>
      <c r="BW32" s="63"/>
      <c r="BX32" s="63"/>
    </row>
    <row r="33" spans="2:76" ht="68.25" customHeight="1" outlineLevel="1" x14ac:dyDescent="0.35">
      <c r="B33" s="69" t="s">
        <v>346</v>
      </c>
      <c r="C33" s="99" t="s">
        <v>52</v>
      </c>
      <c r="D33" s="132" t="str">
        <f>IF("Ska Ingå"=D31,"Ska Ingå","")</f>
        <v/>
      </c>
      <c r="F33" s="90" t="str">
        <f t="shared" si="51"/>
        <v/>
      </c>
      <c r="G33" s="91" t="str">
        <f t="shared" ca="1" si="52"/>
        <v>GBXKAP10145</v>
      </c>
      <c r="H33" s="91" t="str">
        <f t="shared" ca="1" si="52"/>
        <v>DPF11.6-9</v>
      </c>
      <c r="I33" s="91" t="str">
        <f t="shared" ca="1" si="52"/>
        <v>GBXKAP10478</v>
      </c>
      <c r="J33" s="54"/>
      <c r="BF33" s="63"/>
      <c r="BG33" s="63"/>
      <c r="BH33" s="63"/>
      <c r="BI33" s="63"/>
      <c r="BJ33" s="63"/>
      <c r="BK33" s="63"/>
      <c r="BL33" s="63"/>
      <c r="BM33" s="63"/>
      <c r="BN33" s="63"/>
      <c r="BO33" s="63"/>
      <c r="BP33" s="63"/>
      <c r="BQ33" s="63"/>
      <c r="BR33" s="63"/>
      <c r="BS33" s="63"/>
      <c r="BT33" s="63"/>
      <c r="BU33" s="63"/>
      <c r="BV33" s="63"/>
      <c r="BW33" s="63"/>
      <c r="BX33" s="63"/>
    </row>
    <row r="34" spans="2:76" ht="31.5" customHeight="1" outlineLevel="1" x14ac:dyDescent="0.35">
      <c r="B34" s="69" t="s">
        <v>55</v>
      </c>
      <c r="C34" s="95" t="s">
        <v>371</v>
      </c>
      <c r="D34" s="70"/>
      <c r="F34" s="159" t="str">
        <f t="shared" si="51"/>
        <v/>
      </c>
      <c r="G34" s="160">
        <f t="shared" ca="1" si="52"/>
        <v>240</v>
      </c>
      <c r="H34" s="160">
        <f t="shared" ca="1" si="52"/>
        <v>249</v>
      </c>
      <c r="I34" s="160">
        <f t="shared" ca="1" si="52"/>
        <v>198</v>
      </c>
      <c r="BF34" s="63"/>
      <c r="BG34" s="63"/>
      <c r="BH34" s="63"/>
      <c r="BI34" s="63"/>
      <c r="BJ34" s="63"/>
      <c r="BK34" s="63"/>
      <c r="BL34" s="63"/>
      <c r="BM34" s="63"/>
      <c r="BN34" s="63"/>
      <c r="BO34" s="63"/>
      <c r="BP34" s="63"/>
      <c r="BQ34" s="63"/>
      <c r="BR34" s="63"/>
      <c r="BS34" s="63"/>
      <c r="BT34" s="63"/>
      <c r="BU34" s="63"/>
      <c r="BV34" s="63"/>
      <c r="BW34" s="63"/>
      <c r="BX34" s="63"/>
    </row>
    <row r="35" spans="2:76" ht="23.25" customHeight="1" outlineLevel="1" x14ac:dyDescent="0.35">
      <c r="B35" s="69" t="s">
        <v>342</v>
      </c>
      <c r="C35" s="96" t="s">
        <v>51</v>
      </c>
      <c r="D35" s="131" t="str">
        <f>IF("Ska Ingå"=D34,"Ska Ingå","")</f>
        <v/>
      </c>
      <c r="F35" s="84" t="str">
        <f t="shared" si="51"/>
        <v/>
      </c>
      <c r="G35" s="85" t="str">
        <f t="shared" ca="1" si="52"/>
        <v>Dell</v>
      </c>
      <c r="H35" s="85" t="str">
        <f t="shared" ca="1" si="52"/>
        <v>HP</v>
      </c>
      <c r="I35" s="85" t="str">
        <f t="shared" ca="1" si="52"/>
        <v>HP</v>
      </c>
      <c r="BF35" s="63"/>
      <c r="BG35" s="63"/>
      <c r="BH35" s="63"/>
      <c r="BI35" s="63"/>
      <c r="BJ35" s="63"/>
      <c r="BK35" s="63"/>
      <c r="BL35" s="63"/>
      <c r="BM35" s="63"/>
      <c r="BN35" s="63"/>
      <c r="BO35" s="63"/>
      <c r="BP35" s="63"/>
      <c r="BQ35" s="63"/>
      <c r="BR35" s="63"/>
      <c r="BS35" s="63"/>
      <c r="BT35" s="63"/>
      <c r="BU35" s="63"/>
      <c r="BV35" s="63"/>
      <c r="BW35" s="63"/>
      <c r="BX35" s="63"/>
    </row>
    <row r="36" spans="2:76" ht="66.75" customHeight="1" outlineLevel="1" x14ac:dyDescent="0.35">
      <c r="B36" s="69" t="s">
        <v>347</v>
      </c>
      <c r="C36" s="97" t="s">
        <v>52</v>
      </c>
      <c r="D36" s="132" t="str">
        <f>IF("Ska Ingå"=D34,"Ska Ingå","")</f>
        <v/>
      </c>
      <c r="F36" s="86" t="str">
        <f t="shared" si="51"/>
        <v/>
      </c>
      <c r="G36" s="87" t="str">
        <f t="shared" ca="1" si="52"/>
        <v>DELL-921CW</v>
      </c>
      <c r="H36" s="87" t="str">
        <f t="shared" ca="1" si="52"/>
        <v>1MZ01AA</v>
      </c>
      <c r="I36" s="87" t="str">
        <f t="shared" ca="1" si="52"/>
        <v>GBX1HE07AA</v>
      </c>
    </row>
    <row r="37" spans="2:76" ht="23.25" customHeight="1" outlineLevel="1" x14ac:dyDescent="0.35">
      <c r="B37" s="69"/>
      <c r="C37" s="220" t="s">
        <v>365</v>
      </c>
      <c r="D37" s="220"/>
      <c r="E37" s="220"/>
      <c r="F37" s="220"/>
      <c r="G37" s="220"/>
      <c r="H37" s="220"/>
      <c r="I37" s="220"/>
    </row>
    <row r="38" spans="2:76" ht="23.25" customHeight="1" outlineLevel="1" x14ac:dyDescent="0.35">
      <c r="B38" s="71" t="s">
        <v>228</v>
      </c>
      <c r="C38" s="96" t="s">
        <v>367</v>
      </c>
      <c r="D38" s="70"/>
      <c r="F38" s="163" t="str">
        <f>IF(F$10="Inget antal angivet","",IFERROR(INDEX($AP$11:$BX$35,MATCH(F$7,$AN$11:$AN$35,0),MATCH($B38,$AP$11:$BX$11,0)),""))</f>
        <v/>
      </c>
      <c r="G38" s="164">
        <f t="shared" ref="G38:I41" ca="1" si="53">IFERROR(INDEX($AP$11:$BX$35,MATCH(G$7,$AN$11:$AN$35,0),MATCH($B38,$AP$11:$BX$11,0)),"")</f>
        <v>275</v>
      </c>
      <c r="H38" s="164">
        <f t="shared" ca="1" si="53"/>
        <v>131</v>
      </c>
      <c r="I38" s="164">
        <f t="shared" ca="1" si="53"/>
        <v>125</v>
      </c>
    </row>
    <row r="39" spans="2:76" ht="23.25" customHeight="1" outlineLevel="1" x14ac:dyDescent="0.35">
      <c r="B39" s="71" t="s">
        <v>229</v>
      </c>
      <c r="C39" s="61" t="s">
        <v>368</v>
      </c>
      <c r="D39" s="70"/>
      <c r="F39" s="165" t="str">
        <f>IF(F$10="Inget antal angivet","",IFERROR(INDEX($AP$11:$BX$35,MATCH(F$7,$AN$11:$AN$35,0),MATCH($B39,$AP$11:$BX$11,0)),""))</f>
        <v/>
      </c>
      <c r="G39" s="166">
        <f t="shared" ca="1" si="53"/>
        <v>70</v>
      </c>
      <c r="H39" s="166">
        <f t="shared" ca="1" si="53"/>
        <v>133</v>
      </c>
      <c r="I39" s="166">
        <f t="shared" ca="1" si="53"/>
        <v>70</v>
      </c>
    </row>
    <row r="40" spans="2:76" ht="23.25" customHeight="1" outlineLevel="1" x14ac:dyDescent="0.35">
      <c r="B40" s="71" t="s">
        <v>230</v>
      </c>
      <c r="C40" s="96" t="s">
        <v>369</v>
      </c>
      <c r="D40" s="70"/>
      <c r="F40" s="163" t="str">
        <f>IF(F$10="Inget antal angivet","",IFERROR(INDEX($AP$11:$BX$35,MATCH(F$7,$AN$11:$AN$35,0),MATCH($B40,$AP$11:$BX$11,0)),""))</f>
        <v/>
      </c>
      <c r="G40" s="164">
        <f t="shared" ca="1" si="53"/>
        <v>25</v>
      </c>
      <c r="H40" s="164">
        <f t="shared" ca="1" si="53"/>
        <v>20</v>
      </c>
      <c r="I40" s="164">
        <f t="shared" ca="1" si="53"/>
        <v>25</v>
      </c>
    </row>
    <row r="41" spans="2:76" ht="23.25" customHeight="1" outlineLevel="1" x14ac:dyDescent="0.35">
      <c r="B41" s="71" t="s">
        <v>231</v>
      </c>
      <c r="C41" s="61" t="s">
        <v>370</v>
      </c>
      <c r="D41" s="70"/>
      <c r="F41" s="165" t="str">
        <f>IF(F$10="Inget antal angivet","",IFERROR(INDEX($AP$11:$BX$35,MATCH(F$7,$AN$11:$AN$35,0),MATCH($B41,$AP$11:$BX$11,0)),""))</f>
        <v/>
      </c>
      <c r="G41" s="166">
        <f t="shared" ca="1" si="53"/>
        <v>25</v>
      </c>
      <c r="H41" s="166">
        <f t="shared" ca="1" si="53"/>
        <v>20</v>
      </c>
      <c r="I41" s="166">
        <f t="shared" ca="1" si="53"/>
        <v>25</v>
      </c>
    </row>
    <row r="42" spans="2:76" ht="23.25" customHeight="1" outlineLevel="1" x14ac:dyDescent="0.35"/>
    <row r="43" spans="2:76" ht="23.25" customHeight="1" collapsed="1" x14ac:dyDescent="0.35"/>
    <row r="44" spans="2:76" ht="23.25" customHeight="1" x14ac:dyDescent="0.35">
      <c r="D44" s="72" t="s">
        <v>233</v>
      </c>
      <c r="E44" s="1"/>
      <c r="F44" s="221" t="s">
        <v>252</v>
      </c>
      <c r="G44" s="221"/>
      <c r="H44" s="221"/>
      <c r="I44" s="222"/>
    </row>
    <row r="45" spans="2:76" ht="23.25" customHeight="1" x14ac:dyDescent="0.35">
      <c r="D45" s="74"/>
      <c r="F45" s="202" t="str">
        <f ca="1">IFERROR(INDEX($Y$12:$Y$23,MATCH(F7,$Z$12:$Z$23,0)) *D45,"")</f>
        <v/>
      </c>
      <c r="G45" s="75">
        <f ca="1">IFERROR(P12 *D45,"")</f>
        <v>0</v>
      </c>
      <c r="H45" s="75">
        <f ca="1">IFERROR(P13 *D45,"")</f>
        <v>0</v>
      </c>
      <c r="I45" s="75">
        <f ca="1">IFERROR(P14 * D45,"")</f>
        <v>0</v>
      </c>
    </row>
    <row r="47" spans="2:76" ht="15" thickBot="1" x14ac:dyDescent="0.4">
      <c r="C47" s="174"/>
      <c r="D47" s="174"/>
      <c r="E47" s="174"/>
      <c r="F47" s="174"/>
      <c r="G47" s="174"/>
      <c r="H47" s="174"/>
      <c r="I47" s="174"/>
    </row>
    <row r="48" spans="2:76" ht="15" thickTop="1" x14ac:dyDescent="0.35"/>
    <row r="49" spans="2:91" ht="68.25" hidden="1" customHeight="1" collapsed="1" x14ac:dyDescent="0.35">
      <c r="C49" s="53"/>
      <c r="D49" s="53"/>
      <c r="F49" s="50" t="e">
        <f ca="1">N53</f>
        <v>#N/A</v>
      </c>
      <c r="G49" s="50" t="str">
        <f ca="1">INDEX(Z54:Z77,MATCH(P54,Y54:Y77,0))</f>
        <v>Offererad produktnr. 05Qlosr Göteborg AB</v>
      </c>
      <c r="H49" s="50" t="str">
        <f ca="1">INDEX(Z53:Z76,MATCH(P55,Y53:Y76,0))</f>
        <v>Offererad produktnr. 05Dustin Sverige AB</v>
      </c>
      <c r="I49" s="50" t="str">
        <f ca="1">INDEX(Z53:Z76,MATCH(P56,Y53:Y76,0))</f>
        <v>Offererad produktnr. 06Qlosr Göteborg AB</v>
      </c>
      <c r="AP49" s="12" t="s">
        <v>124</v>
      </c>
      <c r="AQ49" s="12" t="s">
        <v>124</v>
      </c>
      <c r="AR49" s="12" t="s">
        <v>124</v>
      </c>
      <c r="AS49" s="12" t="s">
        <v>124</v>
      </c>
      <c r="AT49" s="12" t="s">
        <v>124</v>
      </c>
      <c r="AU49" s="12" t="s">
        <v>124</v>
      </c>
      <c r="AV49" s="12" t="s">
        <v>124</v>
      </c>
      <c r="AW49" s="12" t="s">
        <v>124</v>
      </c>
      <c r="AX49" s="12" t="s">
        <v>124</v>
      </c>
      <c r="AY49" s="12" t="s">
        <v>124</v>
      </c>
      <c r="AZ49" s="12" t="s">
        <v>124</v>
      </c>
      <c r="BA49" s="12" t="s">
        <v>124</v>
      </c>
      <c r="BB49" s="12" t="s">
        <v>124</v>
      </c>
      <c r="BC49" s="12" t="s">
        <v>124</v>
      </c>
      <c r="BD49" s="12" t="s">
        <v>124</v>
      </c>
      <c r="BE49" s="12" t="s">
        <v>124</v>
      </c>
      <c r="BF49" s="12" t="s">
        <v>124</v>
      </c>
      <c r="BG49" s="12" t="s">
        <v>124</v>
      </c>
      <c r="BH49" s="12" t="s">
        <v>124</v>
      </c>
      <c r="BI49" s="12" t="s">
        <v>124</v>
      </c>
      <c r="BJ49" s="12" t="s">
        <v>124</v>
      </c>
      <c r="BK49" s="12" t="s">
        <v>124</v>
      </c>
      <c r="BL49" s="12" t="s">
        <v>124</v>
      </c>
      <c r="BM49" s="12" t="s">
        <v>124</v>
      </c>
      <c r="BN49" s="12" t="s">
        <v>124</v>
      </c>
      <c r="BO49" s="12" t="s">
        <v>124</v>
      </c>
      <c r="BP49" s="12" t="s">
        <v>124</v>
      </c>
      <c r="BQ49" s="12" t="s">
        <v>124</v>
      </c>
      <c r="BR49" s="12" t="s">
        <v>124</v>
      </c>
      <c r="BS49" s="12" t="s">
        <v>124</v>
      </c>
      <c r="BT49" s="12" t="s">
        <v>124</v>
      </c>
      <c r="BU49" s="12"/>
      <c r="BV49" s="12"/>
      <c r="BW49" s="12" t="s">
        <v>124</v>
      </c>
      <c r="BX49" s="12" t="s">
        <v>124</v>
      </c>
      <c r="BY49" s="12"/>
      <c r="BZ49" s="12"/>
      <c r="CA49" s="12"/>
      <c r="CB49" s="12"/>
      <c r="CC49" s="12"/>
      <c r="CD49" s="12"/>
      <c r="CE49" s="12"/>
      <c r="CF49" s="12"/>
      <c r="CG49" s="12"/>
      <c r="CH49" s="12"/>
      <c r="CI49" s="12"/>
      <c r="CJ49" s="12"/>
      <c r="CK49" s="12"/>
      <c r="CL49" s="12"/>
    </row>
    <row r="50" spans="2:91" ht="26.25" customHeight="1" thickBot="1" x14ac:dyDescent="0.4">
      <c r="C50" s="53"/>
      <c r="D50" s="53"/>
      <c r="F50" s="140" t="s">
        <v>446</v>
      </c>
      <c r="G50" s="205" t="s">
        <v>447</v>
      </c>
      <c r="H50" s="205"/>
      <c r="I50" s="205"/>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row>
    <row r="51" spans="2:91" ht="22.5" customHeight="1" thickBot="1" x14ac:dyDescent="0.4">
      <c r="B51" t="str">
        <f ca="1" xml:space="preserve"> "Produkt "  &amp; B52</f>
        <v>Produkt 2</v>
      </c>
      <c r="C51" s="206" t="str">
        <f>IF(F52="Ingen produkt motsvarar","Felmeddelande",IF(COUNTIF($P$1:$P$6,TRUE)&gt;0,"","Felmeddelande"))</f>
        <v/>
      </c>
      <c r="D51" s="207"/>
      <c r="F51" s="218" t="s">
        <v>271</v>
      </c>
      <c r="G51" s="218"/>
      <c r="H51" s="218"/>
      <c r="I51" s="219"/>
      <c r="O51">
        <v>1</v>
      </c>
      <c r="AH51" t="s">
        <v>241</v>
      </c>
      <c r="AP51" s="13" t="str">
        <f t="shared" ref="AP51:BD51" si="54">AP53</f>
        <v>Upplösning</v>
      </c>
      <c r="AQ51" s="13" t="str">
        <f t="shared" si="54"/>
        <v>Processor</v>
      </c>
      <c r="AR51" s="13" t="str">
        <f t="shared" si="54"/>
        <v>Internminne (GB)</v>
      </c>
      <c r="AS51" s="13" t="str">
        <f t="shared" si="54"/>
        <v>Hårddisk</v>
      </c>
      <c r="AT51" s="13" t="str">
        <f t="shared" si="54"/>
        <v>Skärmstorlek (tum)</v>
      </c>
      <c r="AU51" s="13" t="str">
        <f t="shared" si="54"/>
        <v>Portar USB</v>
      </c>
      <c r="AV51" s="13" t="str">
        <f t="shared" si="54"/>
        <v>Portar USB C</v>
      </c>
      <c r="AW51" s="13" t="str">
        <f t="shared" si="54"/>
        <v>Portar HDMI/Display</v>
      </c>
      <c r="AX51" s="13" t="str">
        <f t="shared" si="54"/>
        <v>Kommunikation WLAN</v>
      </c>
      <c r="AY51" s="13" t="str">
        <f t="shared" si="54"/>
        <v>Kommunikation Bluetooth</v>
      </c>
      <c r="AZ51" s="13" t="str">
        <f t="shared" si="54"/>
        <v>Batteritid (tim)</v>
      </c>
      <c r="BA51" s="13" t="str">
        <f t="shared" si="54"/>
        <v>Energiprestanda</v>
      </c>
      <c r="BB51" s="13" t="str">
        <f t="shared" si="54"/>
        <v>Låsskydd</v>
      </c>
      <c r="BC51" s="13" t="str">
        <f t="shared" si="54"/>
        <v>Operativsystem</v>
      </c>
      <c r="BD51" s="13" t="str">
        <f t="shared" si="54"/>
        <v>Modellbenämning</v>
      </c>
      <c r="BE51" t="s">
        <v>224</v>
      </c>
      <c r="BF51" s="56" t="s">
        <v>53</v>
      </c>
      <c r="BG51" s="56" t="s">
        <v>54</v>
      </c>
      <c r="BH51" s="56" t="s">
        <v>55</v>
      </c>
      <c r="BI51" s="57" t="s">
        <v>228</v>
      </c>
      <c r="BJ51" s="57" t="s">
        <v>229</v>
      </c>
      <c r="BK51" s="57" t="s">
        <v>230</v>
      </c>
      <c r="BL51" s="57" t="s">
        <v>231</v>
      </c>
      <c r="BM51" s="57" t="s">
        <v>340</v>
      </c>
      <c r="BN51" s="57" t="s">
        <v>341</v>
      </c>
      <c r="BO51" s="57" t="s">
        <v>342</v>
      </c>
      <c r="BP51" s="57" t="s">
        <v>343</v>
      </c>
      <c r="BQ51" s="57" t="s">
        <v>345</v>
      </c>
      <c r="BR51" s="57" t="s">
        <v>346</v>
      </c>
      <c r="BS51" s="57" t="s">
        <v>347</v>
      </c>
      <c r="BT51" s="57" t="s">
        <v>348</v>
      </c>
      <c r="BU51" s="57"/>
      <c r="BV51" s="57"/>
      <c r="BW51" s="57" t="s">
        <v>6</v>
      </c>
      <c r="BX51" s="4" t="s">
        <v>51</v>
      </c>
      <c r="BY51" s="13"/>
      <c r="BZ51" s="13"/>
      <c r="CA51" s="13"/>
      <c r="CB51" s="13"/>
      <c r="CC51" s="13"/>
      <c r="CD51" s="13"/>
      <c r="CE51" s="13"/>
      <c r="CF51" s="13"/>
      <c r="CG51" s="13"/>
      <c r="CH51" s="13"/>
      <c r="CI51" s="13"/>
      <c r="CJ51" s="13"/>
      <c r="CK51" s="13"/>
      <c r="CL51" s="13"/>
    </row>
    <row r="52" spans="2:91" ht="22.5" customHeight="1" x14ac:dyDescent="0.35">
      <c r="B52">
        <f ca="1">COUNTIF($F$7:F55,"Produkt I varukorg*")</f>
        <v>2</v>
      </c>
      <c r="F52" s="51" t="str">
        <f>IF(D87&lt;1,"Inget antal angivet",IFERROR(INDEX($Y$54:$Y$65,MATCH(F49,$Z$54:$Z$65,0)),"Ingen produkt motsvarar"))</f>
        <v>Inget antal angivet</v>
      </c>
      <c r="G52" s="52">
        <f ca="1">IFERROR(P54,"Ingen produkt motsvarar")</f>
        <v>2950</v>
      </c>
      <c r="H52" s="52">
        <f ca="1">IFERROR(P55,"")</f>
        <v>3415</v>
      </c>
      <c r="I52" s="52">
        <f ca="1">IFERROR(P56,"")</f>
        <v>3610</v>
      </c>
      <c r="Z52" t="str">
        <f>IF(COUNTIF(AA52:AI52,FALSE)&gt;0,AN52,"")</f>
        <v/>
      </c>
      <c r="AN52" t="s">
        <v>126</v>
      </c>
      <c r="AP52" s="58" t="str">
        <f t="shared" ref="AP52:BT52" ca="1" si="55">IFERROR(INDEX(INDIRECT(AP$49&amp;"!$A$10:CC100000"),MATCH($AN52,INDIRECT(AP$49&amp;"!BH$10:BH100000"),0),MATCH(AP$51,INDIRECT(AP$49&amp;"!a10:CC10"),0)),"False")</f>
        <v>False</v>
      </c>
      <c r="AQ52" s="58" t="str">
        <f t="shared" ca="1" si="55"/>
        <v>False</v>
      </c>
      <c r="AR52" s="58" t="str">
        <f t="shared" ca="1" si="55"/>
        <v>False</v>
      </c>
      <c r="AS52" s="58" t="str">
        <f t="shared" ca="1" si="55"/>
        <v>False</v>
      </c>
      <c r="AT52" s="58" t="str">
        <f t="shared" ca="1" si="55"/>
        <v>False</v>
      </c>
      <c r="AU52" s="58" t="str">
        <f t="shared" ca="1" si="55"/>
        <v>False</v>
      </c>
      <c r="AV52" s="58" t="str">
        <f t="shared" ca="1" si="55"/>
        <v>False</v>
      </c>
      <c r="AW52" s="58" t="str">
        <f t="shared" ca="1" si="55"/>
        <v>False</v>
      </c>
      <c r="AX52" s="58" t="str">
        <f t="shared" ca="1" si="55"/>
        <v>False</v>
      </c>
      <c r="AY52" s="58" t="str">
        <f t="shared" ca="1" si="55"/>
        <v>False</v>
      </c>
      <c r="AZ52" s="58" t="str">
        <f t="shared" ca="1" si="55"/>
        <v>False</v>
      </c>
      <c r="BA52" s="58" t="str">
        <f t="shared" ca="1" si="55"/>
        <v>False</v>
      </c>
      <c r="BB52" s="58" t="str">
        <f t="shared" ca="1" si="55"/>
        <v>False</v>
      </c>
      <c r="BC52" s="58" t="str">
        <f t="shared" ca="1" si="55"/>
        <v>False</v>
      </c>
      <c r="BD52" s="58" t="str">
        <f t="shared" ca="1" si="55"/>
        <v>False</v>
      </c>
      <c r="BE52" s="58" t="str">
        <f t="shared" ca="1" si="55"/>
        <v>False</v>
      </c>
      <c r="BF52" s="58" t="str">
        <f t="shared" ca="1" si="55"/>
        <v>False</v>
      </c>
      <c r="BG52" s="58" t="str">
        <f t="shared" ca="1" si="55"/>
        <v>False</v>
      </c>
      <c r="BH52" s="58" t="str">
        <f t="shared" ca="1" si="55"/>
        <v>False</v>
      </c>
      <c r="BI52" s="58" t="str">
        <f t="shared" ca="1" si="55"/>
        <v>False</v>
      </c>
      <c r="BJ52" s="58" t="str">
        <f t="shared" ca="1" si="55"/>
        <v>False</v>
      </c>
      <c r="BK52" s="58" t="str">
        <f t="shared" ca="1" si="55"/>
        <v>False</v>
      </c>
      <c r="BL52" s="58" t="str">
        <f t="shared" ca="1" si="55"/>
        <v>False</v>
      </c>
      <c r="BM52" s="58" t="str">
        <f t="shared" ca="1" si="55"/>
        <v>False</v>
      </c>
      <c r="BN52" s="58" t="str">
        <f t="shared" ca="1" si="55"/>
        <v>False</v>
      </c>
      <c r="BO52" s="58" t="str">
        <f t="shared" ca="1" si="55"/>
        <v>False</v>
      </c>
      <c r="BP52" s="58" t="str">
        <f t="shared" ca="1" si="55"/>
        <v>False</v>
      </c>
      <c r="BQ52" s="58" t="str">
        <f t="shared" ca="1" si="55"/>
        <v>False</v>
      </c>
      <c r="BR52" s="58" t="str">
        <f t="shared" ca="1" si="55"/>
        <v>False</v>
      </c>
      <c r="BS52" s="58" t="str">
        <f t="shared" ca="1" si="55"/>
        <v>False</v>
      </c>
      <c r="BT52" s="58" t="str">
        <f t="shared" ca="1" si="55"/>
        <v>False</v>
      </c>
      <c r="BU52" s="58"/>
      <c r="BV52" s="58"/>
      <c r="BW52" s="58" t="str">
        <f ca="1">IFERROR(INDEX(INDIRECT(BW$49&amp;"!$A$10:CC100000"),MATCH($AN52,INDIRECT(BW$49&amp;"!BH$10:BH100000"),0),MATCH(BW$51,INDIRECT(BW$49&amp;"!a10:CC10"),0)),"False")</f>
        <v>False</v>
      </c>
      <c r="BX52" s="58" t="str">
        <f ca="1">IFERROR(INDEX(INDIRECT(BX$49&amp;"!$A$10:CC100000"),MATCH($AN52,INDIRECT(BX$49&amp;"!BH$10:BH100000"),0),MATCH(BX$51,INDIRECT(BX$49&amp;"!a10:CC10"),0)),"False")</f>
        <v>False</v>
      </c>
      <c r="BY52" s="58"/>
      <c r="BZ52" s="58"/>
      <c r="CA52" s="58"/>
      <c r="CB52" s="58"/>
      <c r="CC52" s="58"/>
      <c r="CD52" s="58"/>
      <c r="CE52" s="58"/>
      <c r="CF52" s="58"/>
      <c r="CG52" s="58"/>
      <c r="CH52" s="58"/>
      <c r="CI52" s="58"/>
      <c r="CJ52" s="58"/>
      <c r="CK52" s="58"/>
      <c r="CL52" s="58"/>
    </row>
    <row r="53" spans="2:91" ht="22.5" customHeight="1" x14ac:dyDescent="0.35">
      <c r="C53" s="210" t="str">
        <f ca="1" xml:space="preserve"> "Bärbar dator (B) "  &amp; RIGHT("00" &amp; B52,2)</f>
        <v>Bärbar dator (B) 02</v>
      </c>
      <c r="D53" s="211"/>
      <c r="F53" s="92" t="str">
        <f>IF(F52="Inget antal angivet","",IFERROR(INDEX($AP$53:$BX$77,MATCH(F$49,$AN$53:$AN$77,0),MATCH("Modellbenämning",$AP$53:$BX$53,0)),""))</f>
        <v/>
      </c>
      <c r="G53" s="92" t="str">
        <f ca="1">IFERROR(INDEX($AP$53:$BX$77,MATCH(G$49,$AN$53:$AN$77,0),MATCH("Modellbenämning",$AP$53:$BX$53,0)),"")</f>
        <v>Chromebook 3110</v>
      </c>
      <c r="H53" s="92" t="str">
        <f ca="1">IFERROR(INDEX($AP$53:$BX$77,MATCH(H$49,$AN$53:$AN$77,0),MATCH("Modellbenämning",$AP$53:$BX$53,0)),"")</f>
        <v>ChromeBook 11 G9 EE</v>
      </c>
      <c r="I53" s="92" t="str">
        <f ca="1">IFERROR(INDEX($AP$53:$BX$77,MATCH(I$49,$AN$53:$AN$77,0),MATCH("Modellbenämning",$AP$53:$BX$53,0)),"")</f>
        <v>Chromebook 14 G7</v>
      </c>
      <c r="J53" s="93"/>
      <c r="K53" s="92"/>
      <c r="L53" s="92"/>
      <c r="M53" s="92"/>
      <c r="N53" s="92" t="e">
        <f ca="1">INDEX($N$54:$N$59,MATCH(Överblick!$L$2,$M$54:$M$59,0))</f>
        <v>#N/A</v>
      </c>
      <c r="O53" s="92"/>
      <c r="P53" s="92"/>
      <c r="Q53" s="92"/>
      <c r="R53" s="92">
        <v>1</v>
      </c>
      <c r="S53" s="92">
        <v>2</v>
      </c>
      <c r="T53" s="92">
        <v>3</v>
      </c>
      <c r="U53" s="92">
        <v>5</v>
      </c>
      <c r="V53" s="92">
        <v>6</v>
      </c>
      <c r="W53" s="92">
        <v>7</v>
      </c>
      <c r="X53" s="92">
        <v>8</v>
      </c>
      <c r="Y53" s="92"/>
      <c r="Z53" s="92" t="s">
        <v>122</v>
      </c>
      <c r="AA53" s="92" t="s">
        <v>2</v>
      </c>
      <c r="AB53" s="92" t="s">
        <v>4</v>
      </c>
      <c r="AC53" s="92" t="s">
        <v>119</v>
      </c>
      <c r="AD53" s="92" t="s">
        <v>16</v>
      </c>
      <c r="AE53" s="92" t="s">
        <v>7</v>
      </c>
      <c r="AF53" s="92" t="s">
        <v>67</v>
      </c>
      <c r="AG53" s="92" t="s">
        <v>74</v>
      </c>
      <c r="AH53" s="92" t="s">
        <v>103</v>
      </c>
      <c r="AI53" s="92" t="s">
        <v>75</v>
      </c>
      <c r="AJ53" s="92" t="s">
        <v>38</v>
      </c>
      <c r="AK53" s="92"/>
      <c r="AL53" s="92"/>
      <c r="AM53" s="92"/>
      <c r="AN53" s="92" t="s">
        <v>222</v>
      </c>
      <c r="AO53" s="92">
        <v>1</v>
      </c>
      <c r="AP53" s="92" t="s">
        <v>2</v>
      </c>
      <c r="AQ53" s="92" t="s">
        <v>4</v>
      </c>
      <c r="AR53" s="92" t="s">
        <v>119</v>
      </c>
      <c r="AS53" s="92" t="s">
        <v>16</v>
      </c>
      <c r="AT53" s="92" t="s">
        <v>7</v>
      </c>
      <c r="AU53" s="92" t="s">
        <v>67</v>
      </c>
      <c r="AV53" s="92" t="s">
        <v>74</v>
      </c>
      <c r="AW53" s="92" t="s">
        <v>97</v>
      </c>
      <c r="AX53" s="92" t="s">
        <v>103</v>
      </c>
      <c r="AY53" s="92" t="s">
        <v>75</v>
      </c>
      <c r="AZ53" s="92" t="s">
        <v>120</v>
      </c>
      <c r="BA53" s="92" t="s">
        <v>38</v>
      </c>
      <c r="BB53" s="92" t="s">
        <v>37</v>
      </c>
      <c r="BC53" s="92" t="s">
        <v>3</v>
      </c>
      <c r="BD53" s="92" t="s">
        <v>52</v>
      </c>
      <c r="BE53" s="92" t="s">
        <v>25</v>
      </c>
      <c r="BF53" s="92" t="s">
        <v>53</v>
      </c>
      <c r="BG53" s="92" t="s">
        <v>54</v>
      </c>
      <c r="BH53" s="92" t="s">
        <v>55</v>
      </c>
      <c r="BI53" s="92" t="s">
        <v>228</v>
      </c>
      <c r="BJ53" s="92" t="s">
        <v>229</v>
      </c>
      <c r="BK53" s="92" t="s">
        <v>230</v>
      </c>
      <c r="BL53" s="92" t="s">
        <v>231</v>
      </c>
      <c r="BM53" s="92" t="s">
        <v>340</v>
      </c>
      <c r="BN53" s="92" t="s">
        <v>341</v>
      </c>
      <c r="BO53" s="92" t="s">
        <v>342</v>
      </c>
      <c r="BP53" s="92" t="s">
        <v>343</v>
      </c>
      <c r="BQ53" s="92" t="s">
        <v>345</v>
      </c>
      <c r="BR53" s="92" t="s">
        <v>346</v>
      </c>
      <c r="BS53" s="92" t="s">
        <v>347</v>
      </c>
      <c r="BT53" s="92" t="s">
        <v>348</v>
      </c>
      <c r="BU53" s="92"/>
      <c r="BV53" s="92"/>
      <c r="BW53" s="92" t="s">
        <v>6</v>
      </c>
      <c r="BX53" s="92" t="s">
        <v>51</v>
      </c>
      <c r="BY53" s="92" t="s">
        <v>2</v>
      </c>
      <c r="BZ53" s="92" t="s">
        <v>4</v>
      </c>
      <c r="CA53" s="92" t="s">
        <v>119</v>
      </c>
      <c r="CB53" s="92" t="s">
        <v>16</v>
      </c>
      <c r="CC53" s="92" t="s">
        <v>7</v>
      </c>
      <c r="CD53" s="92" t="s">
        <v>67</v>
      </c>
      <c r="CE53" s="92" t="s">
        <v>74</v>
      </c>
      <c r="CF53" s="92" t="s">
        <v>75</v>
      </c>
      <c r="CG53" s="92" t="s">
        <v>75</v>
      </c>
      <c r="CH53" s="92" t="s">
        <v>120</v>
      </c>
      <c r="CI53" s="92" t="s">
        <v>38</v>
      </c>
      <c r="CJ53" s="92" t="s">
        <v>37</v>
      </c>
      <c r="CK53" s="92" t="s">
        <v>3</v>
      </c>
      <c r="CL53" s="92"/>
      <c r="CM53" s="92"/>
    </row>
    <row r="54" spans="2:91" ht="22.5" customHeight="1" outlineLevel="1" x14ac:dyDescent="0.35">
      <c r="C54" s="210" t="s">
        <v>261</v>
      </c>
      <c r="D54" s="211"/>
      <c r="F54" s="76" t="str">
        <f>IF(F52="Inget antal angivet","",IFERROR(INDEX($AP$53:$BX$77,MATCH(F$49,$AN$53:$AN$77,0),MATCH("Varumärke",$AP$53:$BX$53,0)),""))</f>
        <v/>
      </c>
      <c r="G54" s="77" t="str">
        <f ca="1">IFERROR(INDEX($AP$53:$BX$77,MATCH(G$49,$AN$53:$AN$77,0),MATCH("Varumärke",$AP$53:$BX$53,0)),"")</f>
        <v>Dell</v>
      </c>
      <c r="H54" s="77" t="str">
        <f ca="1">IFERROR(INDEX($AP$53:$BX$77,MATCH(H$49,$AN$53:$AN$77,0),MATCH("Varumärke",$AP$53:$BX$53,0)),"")</f>
        <v>HP</v>
      </c>
      <c r="I54" s="119" t="str">
        <f ca="1">IFERROR(INDEX($AP$53:$BX$77,MATCH(I$49,$AN$53:$AN$77,0),MATCH("Varumärke",$AP$53:$BX$53,0)),"")</f>
        <v>HP</v>
      </c>
      <c r="K54" s="185">
        <f t="shared" ref="K54:K59" ca="1" si="56">O54*$D$87</f>
        <v>0</v>
      </c>
      <c r="L54" s="185" t="b">
        <f t="shared" ref="L54:L59" si="57">IF($D$87=0,TRUE,IF(K54=0,FALSE,TRUE))</f>
        <v>1</v>
      </c>
      <c r="M54" s="185" t="s">
        <v>162</v>
      </c>
      <c r="N54" s="185" t="str">
        <f t="shared" ref="N54:N59" ca="1" si="58">INDEX($Z$54:$Z$65,MATCH(O54,$Y$54:$Y$65,0))</f>
        <v>Offererad produktnr. 05Advania Sverige AB</v>
      </c>
      <c r="O54" s="185" cm="1">
        <f t="array" aca="1" ref="O54" ca="1">MIN(IF(($BW$54:$BW$75=M54)*($AO$54:$AO$75=$O$51),$Y$54:$Y$75))</f>
        <v>3996</v>
      </c>
      <c r="P54" s="197">
        <f ca="1">SMALL($Y$54:$Y$77,1)</f>
        <v>2950</v>
      </c>
      <c r="Q54" s="185">
        <f t="shared" ref="Q54:Q63" si="59">SUM(R54:X54)</f>
        <v>0</v>
      </c>
      <c r="R54" s="185">
        <f t="shared" ref="R54:R63" si="60">IF($D$70="",0,BF54)</f>
        <v>0</v>
      </c>
      <c r="S54" s="185">
        <f t="shared" ref="S54:S63" si="61">IF($D$73="",0,BG54)</f>
        <v>0</v>
      </c>
      <c r="T54" s="185">
        <f t="shared" ref="T54:T63" si="62">IF($D$76="",0,BH54)</f>
        <v>0</v>
      </c>
      <c r="U54" s="185">
        <f t="shared" ref="U54:U63" si="63">IF($D$80="",0,BI54)</f>
        <v>0</v>
      </c>
      <c r="V54" s="185">
        <f t="shared" ref="V54:V63" si="64">IF($D$81="",0,BJ54)</f>
        <v>0</v>
      </c>
      <c r="W54" s="185">
        <f t="shared" ref="W54:W63" si="65">IF($D$82="",0,BK54)</f>
        <v>0</v>
      </c>
      <c r="X54" s="185">
        <f t="shared" ref="X54:X63" si="66">IF($D$83="",0,BL54)</f>
        <v>0</v>
      </c>
      <c r="Y54" s="185">
        <f t="shared" ref="Y54:Y63" ca="1" si="67">IF(Z54="","",SUM(BE54,R54:X54))</f>
        <v>3996</v>
      </c>
      <c r="Z54" s="185" t="str">
        <f t="shared" ref="Z54:Z63" si="68">IF(COUNTIF(AA54:AM54,FALSE)&gt;0,"",AN54)</f>
        <v>Offererad produktnr. 05Advania Sverige AB</v>
      </c>
      <c r="AA54" s="185" t="b">
        <f t="shared" ref="AA54:AA63" si="69">IF(" 1366x768"=$D$57,TRUE,IF($D$57=0,TRUE,IF($D$57=AP54,TRUE,FALSE)))</f>
        <v>1</v>
      </c>
      <c r="AB54" s="185" t="b">
        <f t="shared" ref="AB54:AB63" si="70">IF($D$58="",TRUE,IF(AQ54=$D$58,TRUE,FALSE))</f>
        <v>1</v>
      </c>
      <c r="AC54" s="185" t="b">
        <f t="shared" ref="AC54:AC63" si="71">IF($D$59="",TRUE,IF(AR54&gt;=$D$59,TRUE,FALSE))</f>
        <v>1</v>
      </c>
      <c r="AD54" s="185" t="b">
        <f t="shared" ref="AD54:AD63" si="72">IF($D$60="",TRUE,IF(AS54&gt;=$D$60,TRUE,FALSE))</f>
        <v>1</v>
      </c>
      <c r="AE54" s="185" t="b">
        <f>IF($D$56="",TRUE,IF(COUNTIF(Processor!$I$2:$I$9,$D$56)&gt;0,AND(AT54&gt;INDEX(Processor!$J$2:$J$9,MATCH($D$56,Processor!$I$2:$I$9,0)),AT54&lt;INDEX(Processor!$K$2:$K$9,MATCH($D$56,Processor!$I$2:$I$9,0))),IF(AT54=$D$56,TRUE,FALSE)))</f>
        <v>1</v>
      </c>
      <c r="AF54" s="185" t="b">
        <f t="shared" ref="AF54:AF63" si="73">IF($D$61="",TRUE,IF(AU54&gt;=$D$61,TRUE,FALSE))</f>
        <v>1</v>
      </c>
      <c r="AG54" s="185" t="b">
        <f t="shared" ref="AG54:AG63" si="74">IF($D$62="",TRUE,IF(AV54&gt;=$D$62,TRUE,FALSE))</f>
        <v>1</v>
      </c>
      <c r="AH54" s="185" t="b">
        <f t="shared" ref="AH54:AH63" si="75">IF($D$63="",TRUE,IF($D$63="802.11a/b/g/n/ac",TRUE,IF(AX54&gt;=$D$63,TRUE,FALSE)))</f>
        <v>1</v>
      </c>
      <c r="AI54" s="185" t="b">
        <f t="shared" ref="AI54:AI63" si="76">IF($D$64="",TRUE,IF(AY54&gt;=$D$64,TRUE,FALSE))</f>
        <v>1</v>
      </c>
      <c r="AJ54" s="185" t="b">
        <f>IFERROR(IF($D66="",TRUE,IF(MID(BA54,LEN(BA54)-2,1)*1&gt;=MID($D66,LEN($D66)-2,1)*1,TRUE,FALSE)),FALSE)</f>
        <v>1</v>
      </c>
      <c r="AK54" s="185"/>
      <c r="AL54" s="185"/>
      <c r="AM54" s="185"/>
      <c r="AN54" s="185" t="s">
        <v>202</v>
      </c>
      <c r="AO54" s="185">
        <v>1</v>
      </c>
      <c r="AP54" s="185" t="str">
        <f t="shared" ref="AP54:AY63" ca="1" si="77">IFERROR(INDEX(INDIRECT(AP$49&amp;"!$A$10:CC100000"),MATCH($AN54,INDIRECT(AP$49&amp;"!BH$10:BH100000"),0),MATCH(AP$51,INDIRECT(AP$49&amp;"!a10:CC10"),0)),"False")</f>
        <v>1366x768</v>
      </c>
      <c r="AQ54" s="185" t="str">
        <f t="shared" ca="1" si="77"/>
        <v>Intel Celeron</v>
      </c>
      <c r="AR54" s="185">
        <f t="shared" ca="1" si="77"/>
        <v>4</v>
      </c>
      <c r="AS54" s="185">
        <f t="shared" ca="1" si="77"/>
        <v>32</v>
      </c>
      <c r="AT54" s="185">
        <f t="shared" ca="1" si="77"/>
        <v>11.6</v>
      </c>
      <c r="AU54" s="185">
        <f t="shared" ca="1" si="77"/>
        <v>3</v>
      </c>
      <c r="AV54" s="185">
        <f t="shared" ca="1" si="77"/>
        <v>1</v>
      </c>
      <c r="AW54" s="185">
        <f t="shared" ca="1" si="77"/>
        <v>0</v>
      </c>
      <c r="AX54" s="185" t="str">
        <f t="shared" ca="1" si="77"/>
        <v>802.11a/b/g/n/ac</v>
      </c>
      <c r="AY54" s="185">
        <f t="shared" ca="1" si="77"/>
        <v>5</v>
      </c>
      <c r="AZ54" s="185">
        <f t="shared" ref="AZ54:BI63" ca="1" si="78">IFERROR(INDEX(INDIRECT(AZ$49&amp;"!$A$10:CC100000"),MATCH($AN54,INDIRECT(AZ$49&amp;"!BH$10:BH100000"),0),MATCH(AZ$51,INDIRECT(AZ$49&amp;"!a10:CC10"),0)),"False")</f>
        <v>11</v>
      </c>
      <c r="BA54" s="185" t="str">
        <f t="shared" ca="1" si="78"/>
        <v>Version 8.0</v>
      </c>
      <c r="BB54" s="185" t="str">
        <f t="shared" ca="1" si="78"/>
        <v>Ja</v>
      </c>
      <c r="BC54" s="185" t="str">
        <f t="shared" ca="1" si="78"/>
        <v>Google Chrome OS</v>
      </c>
      <c r="BD54" s="185" t="str">
        <f t="shared" ca="1" si="78"/>
        <v>ChromeBook 11 G9 EE</v>
      </c>
      <c r="BE54" s="185">
        <f t="shared" ca="1" si="78"/>
        <v>3996</v>
      </c>
      <c r="BF54" s="192">
        <f t="shared" ca="1" si="78"/>
        <v>64</v>
      </c>
      <c r="BG54" s="192">
        <f t="shared" ca="1" si="78"/>
        <v>213</v>
      </c>
      <c r="BH54" s="192">
        <f t="shared" ca="1" si="78"/>
        <v>251</v>
      </c>
      <c r="BI54" s="192">
        <f t="shared" ca="1" si="78"/>
        <v>594</v>
      </c>
      <c r="BJ54" s="192">
        <f t="shared" ref="BJ54:BT63" ca="1" si="79">IFERROR(INDEX(INDIRECT(BJ$49&amp;"!$A$10:CC100000"),MATCH($AN54,INDIRECT(BJ$49&amp;"!BH$10:BH100000"),0),MATCH(BJ$51,INDIRECT(BJ$49&amp;"!a10:CC10"),0)),"False")</f>
        <v>112</v>
      </c>
      <c r="BK54" s="192">
        <f t="shared" ca="1" si="79"/>
        <v>50</v>
      </c>
      <c r="BL54" s="192">
        <f t="shared" ca="1" si="79"/>
        <v>50</v>
      </c>
      <c r="BM54" s="192" t="str">
        <f t="shared" ca="1" si="79"/>
        <v>V7</v>
      </c>
      <c r="BN54" s="192" t="str">
        <f t="shared" ca="1" si="79"/>
        <v>PORT Designs</v>
      </c>
      <c r="BO54" s="192" t="str">
        <f t="shared" ca="1" si="79"/>
        <v>CoreParts</v>
      </c>
      <c r="BP54" s="192">
        <f t="shared" ca="1" si="79"/>
        <v>0</v>
      </c>
      <c r="BQ54" s="192" t="str">
        <f t="shared" ca="1" si="79"/>
        <v xml:space="preserve"> CSE12-BLK-3E  - Fodral för bärbar dator 12" - svart</v>
      </c>
      <c r="BR54" s="192" t="str">
        <f t="shared" ca="1" si="79"/>
        <v>900265 - Sekretessfilter till bärbar dator - 11.6" - guld</v>
      </c>
      <c r="BS54" s="192" t="str">
        <f t="shared" ca="1" si="79"/>
        <v>MBXUSBC-AC0005 - USB-C - strömadapter 45 Watt</v>
      </c>
      <c r="BT54" s="192">
        <f t="shared" ca="1" si="79"/>
        <v>0</v>
      </c>
      <c r="BU54" s="192"/>
      <c r="BV54" s="192"/>
      <c r="BW54" s="192" t="str">
        <f t="shared" ref="BW54:BX63" ca="1" si="80">IFERROR(INDEX(INDIRECT(BW$49&amp;"!$A$10:CC100000"),MATCH($AN54,INDIRECT(BW$49&amp;"!BH$10:BH100000"),0),MATCH(BW$51,INDIRECT(BW$49&amp;"!a10:CC10"),0)),"False")</f>
        <v>Advania Sverige AB</v>
      </c>
      <c r="BX54" s="192" t="str">
        <f t="shared" ca="1" si="80"/>
        <v>HP</v>
      </c>
      <c r="BY54" s="185" t="s">
        <v>706</v>
      </c>
      <c r="BZ54" s="185" t="s">
        <v>81</v>
      </c>
      <c r="CA54" s="185">
        <v>4</v>
      </c>
      <c r="CB54" s="185">
        <v>32</v>
      </c>
      <c r="CC54" s="191">
        <v>11.6</v>
      </c>
      <c r="CD54" s="185">
        <v>2</v>
      </c>
      <c r="CE54" s="185">
        <v>1</v>
      </c>
      <c r="CF54" s="185" t="s">
        <v>86</v>
      </c>
      <c r="CG54" s="186">
        <v>5</v>
      </c>
      <c r="CH54" s="186">
        <v>11</v>
      </c>
      <c r="CI54" s="185" t="s">
        <v>527</v>
      </c>
      <c r="CJ54" s="185" t="s">
        <v>69</v>
      </c>
      <c r="CK54" s="185" t="s">
        <v>82</v>
      </c>
      <c r="CL54" s="185"/>
      <c r="CM54" s="185"/>
    </row>
    <row r="55" spans="2:91" ht="22.5" customHeight="1" outlineLevel="1" x14ac:dyDescent="0.35">
      <c r="C55" s="61" t="s">
        <v>3</v>
      </c>
      <c r="D55" s="64"/>
      <c r="F55" s="78" t="str">
        <f t="shared" ref="F55:F67" si="81">IF(F$52="Inget antal angivet","",IFERROR(INDEX($AP$53:$BX$77,MATCH(F$49,$AN$53:$AN$77,0),MATCH($C55,$AP$53:$BX$53,0)),""))</f>
        <v/>
      </c>
      <c r="G55" s="79" t="str">
        <f t="shared" ref="G55:I67" ca="1" si="82">IFERROR(INDEX($AP$53:$BX$77,MATCH(G$49,$AN$53:$AN$77,0),MATCH($C55,$AP$53:$BX$53,0)),"")</f>
        <v>Google Chrome OS</v>
      </c>
      <c r="H55" s="79" t="str">
        <f t="shared" ca="1" si="82"/>
        <v>Google Chrome OS</v>
      </c>
      <c r="I55" s="120" t="str">
        <f t="shared" ca="1" si="82"/>
        <v>Google Chrome OS</v>
      </c>
      <c r="J55" s="62"/>
      <c r="K55" s="185">
        <f t="shared" ca="1" si="56"/>
        <v>0</v>
      </c>
      <c r="L55" s="185" t="b">
        <f t="shared" si="57"/>
        <v>1</v>
      </c>
      <c r="M55" s="185" t="s">
        <v>150</v>
      </c>
      <c r="N55" s="185" t="str">
        <f t="shared" ca="1" si="58"/>
        <v>Offererad produktnr. 05Atea Sverige AB</v>
      </c>
      <c r="O55" s="185" cm="1">
        <f t="array" aca="1" ref="O55" ca="1">MIN(IF(($BW$54:$BW$75=M55)*($AO$54:$AO$75=$O$51),$Y$54:$Y$75))</f>
        <v>4802</v>
      </c>
      <c r="P55" s="197">
        <f ca="1">SMALL($Y$54:$Y$77,2)</f>
        <v>3415</v>
      </c>
      <c r="Q55" s="185">
        <f t="shared" si="59"/>
        <v>0</v>
      </c>
      <c r="R55" s="185">
        <f t="shared" si="60"/>
        <v>0</v>
      </c>
      <c r="S55" s="185">
        <f t="shared" si="61"/>
        <v>0</v>
      </c>
      <c r="T55" s="185">
        <f t="shared" si="62"/>
        <v>0</v>
      </c>
      <c r="U55" s="185">
        <f t="shared" si="63"/>
        <v>0</v>
      </c>
      <c r="V55" s="185">
        <f t="shared" si="64"/>
        <v>0</v>
      </c>
      <c r="W55" s="185">
        <f t="shared" si="65"/>
        <v>0</v>
      </c>
      <c r="X55" s="185">
        <f t="shared" si="66"/>
        <v>0</v>
      </c>
      <c r="Y55" s="185">
        <f t="shared" ca="1" si="67"/>
        <v>4882</v>
      </c>
      <c r="Z55" s="185" t="str">
        <f t="shared" si="68"/>
        <v>Offererad produktnr. 06Advania Sverige AB</v>
      </c>
      <c r="AA55" s="185" t="b">
        <f t="shared" si="69"/>
        <v>1</v>
      </c>
      <c r="AB55" s="185" t="b">
        <f t="shared" si="70"/>
        <v>1</v>
      </c>
      <c r="AC55" s="185" t="b">
        <f t="shared" si="71"/>
        <v>1</v>
      </c>
      <c r="AD55" s="185" t="b">
        <f t="shared" si="72"/>
        <v>1</v>
      </c>
      <c r="AE55" s="185" t="b">
        <f>IF($D$56="",TRUE,IF(COUNTIF(Processor!$I$2:$I$9,$D$56)&gt;0,AND(AT55&gt;INDEX(Processor!$J$2:$J$9,MATCH($D$56,Processor!$I$2:$I$9,0)),AT55&lt;INDEX(Processor!$K$2:$K$9,MATCH($D$56,Processor!$I$2:$I$9,0))),IF(AT55=$D$56,TRUE,FALSE)))</f>
        <v>1</v>
      </c>
      <c r="AF55" s="185" t="b">
        <f t="shared" si="73"/>
        <v>1</v>
      </c>
      <c r="AG55" s="185" t="b">
        <f t="shared" si="74"/>
        <v>1</v>
      </c>
      <c r="AH55" s="185" t="b">
        <f t="shared" si="75"/>
        <v>1</v>
      </c>
      <c r="AI55" s="185" t="b">
        <f t="shared" si="76"/>
        <v>1</v>
      </c>
      <c r="AJ55" s="185" t="b">
        <f>IFERROR(IF($D66="",TRUE,IF(MID(BA55,LEN(BA55)-2,1)*1&gt;=MID($D66,LEN($D66)-2,1)*1,TRUE,FALSE)),FALSE)</f>
        <v>1</v>
      </c>
      <c r="AK55" s="185"/>
      <c r="AL55" s="185"/>
      <c r="AM55" s="185"/>
      <c r="AN55" s="185" t="s">
        <v>203</v>
      </c>
      <c r="AO55" s="185">
        <v>1</v>
      </c>
      <c r="AP55" s="185" t="str">
        <f t="shared" ca="1" si="77"/>
        <v>1920x1080</v>
      </c>
      <c r="AQ55" s="185" t="str">
        <f t="shared" ca="1" si="77"/>
        <v>Intel Celeron</v>
      </c>
      <c r="AR55" s="185">
        <f t="shared" ca="1" si="77"/>
        <v>8</v>
      </c>
      <c r="AS55" s="185">
        <f t="shared" ca="1" si="77"/>
        <v>64</v>
      </c>
      <c r="AT55" s="185">
        <f t="shared" ca="1" si="77"/>
        <v>14</v>
      </c>
      <c r="AU55" s="185">
        <f t="shared" ca="1" si="77"/>
        <v>3</v>
      </c>
      <c r="AV55" s="185">
        <f t="shared" ca="1" si="77"/>
        <v>1</v>
      </c>
      <c r="AW55" s="185">
        <f t="shared" ca="1" si="77"/>
        <v>0</v>
      </c>
      <c r="AX55" s="185" t="str">
        <f t="shared" ca="1" si="77"/>
        <v>802.11a/b/g/n/ac/ax</v>
      </c>
      <c r="AY55" s="185">
        <f t="shared" ca="1" si="77"/>
        <v>5</v>
      </c>
      <c r="AZ55" s="185">
        <f t="shared" ca="1" si="78"/>
        <v>11</v>
      </c>
      <c r="BA55" s="185" t="str">
        <f t="shared" ca="1" si="78"/>
        <v>Version 8.0</v>
      </c>
      <c r="BB55" s="185" t="str">
        <f t="shared" ca="1" si="78"/>
        <v>Ja</v>
      </c>
      <c r="BC55" s="185" t="str">
        <f t="shared" ca="1" si="78"/>
        <v>Google Chrome OS</v>
      </c>
      <c r="BD55" s="185" t="str">
        <f t="shared" ca="1" si="78"/>
        <v>Chromebook 14 G7</v>
      </c>
      <c r="BE55" s="185">
        <f t="shared" ca="1" si="78"/>
        <v>4882</v>
      </c>
      <c r="BF55" s="192">
        <f t="shared" ca="1" si="78"/>
        <v>60</v>
      </c>
      <c r="BG55" s="192">
        <f t="shared" ca="1" si="78"/>
        <v>218</v>
      </c>
      <c r="BH55" s="192">
        <f t="shared" ca="1" si="78"/>
        <v>251</v>
      </c>
      <c r="BI55" s="192">
        <f t="shared" ca="1" si="78"/>
        <v>244</v>
      </c>
      <c r="BJ55" s="192">
        <f t="shared" ca="1" si="79"/>
        <v>112</v>
      </c>
      <c r="BK55" s="192">
        <f t="shared" ca="1" si="79"/>
        <v>50</v>
      </c>
      <c r="BL55" s="192">
        <f t="shared" ca="1" si="79"/>
        <v>50</v>
      </c>
      <c r="BM55" s="192" t="str">
        <f t="shared" ca="1" si="79"/>
        <v>V7</v>
      </c>
      <c r="BN55" s="192" t="str">
        <f t="shared" ca="1" si="79"/>
        <v>PORT Designs</v>
      </c>
      <c r="BO55" s="192" t="str">
        <f t="shared" ca="1" si="79"/>
        <v>CoreParts</v>
      </c>
      <c r="BP55" s="192">
        <f t="shared" ca="1" si="79"/>
        <v>0</v>
      </c>
      <c r="BQ55" s="192" t="str">
        <f t="shared" ca="1" si="79"/>
        <v xml:space="preserve"> CSE14-BLK-3E  -Fodral för bärbar dator - 14" - svart</v>
      </c>
      <c r="BR55" s="192" t="str">
        <f t="shared" ca="1" si="79"/>
        <v>900003 - Professional - filter för personlig integritet - 14"</v>
      </c>
      <c r="BS55" s="192" t="str">
        <f t="shared" ca="1" si="79"/>
        <v>MBXUSBC-AC0005 - USB-C - strömadapter 45 Watt</v>
      </c>
      <c r="BT55" s="192">
        <f t="shared" ca="1" si="79"/>
        <v>0</v>
      </c>
      <c r="BU55" s="192"/>
      <c r="BV55" s="192"/>
      <c r="BW55" s="192" t="str">
        <f t="shared" ca="1" si="80"/>
        <v>Advania Sverige AB</v>
      </c>
      <c r="BX55" s="192" t="str">
        <f t="shared" ca="1" si="80"/>
        <v>HP</v>
      </c>
      <c r="BY55" s="185" t="s">
        <v>71</v>
      </c>
      <c r="BZ55" s="185" t="s">
        <v>696</v>
      </c>
      <c r="CA55" s="185">
        <v>8</v>
      </c>
      <c r="CB55" s="185">
        <v>64</v>
      </c>
      <c r="CC55" s="191">
        <v>14</v>
      </c>
      <c r="CD55" s="185">
        <v>3</v>
      </c>
      <c r="CE55" s="185">
        <v>2</v>
      </c>
      <c r="CF55" s="185" t="s">
        <v>79</v>
      </c>
      <c r="CG55" s="186">
        <v>5.0999999999999996</v>
      </c>
      <c r="CH55" s="186"/>
      <c r="CI55" s="185"/>
      <c r="CJ55" s="185"/>
      <c r="CK55" s="185"/>
      <c r="CL55" s="185"/>
      <c r="CM55" s="185"/>
    </row>
    <row r="56" spans="2:91" ht="22.5" customHeight="1" outlineLevel="1" x14ac:dyDescent="0.35">
      <c r="C56" s="61" t="s">
        <v>7</v>
      </c>
      <c r="D56" s="64"/>
      <c r="F56" s="78" t="str">
        <f t="shared" si="81"/>
        <v/>
      </c>
      <c r="G56" s="79">
        <f t="shared" ca="1" si="82"/>
        <v>11.6</v>
      </c>
      <c r="H56" s="79">
        <f t="shared" ca="1" si="82"/>
        <v>11.6</v>
      </c>
      <c r="I56" s="120">
        <f t="shared" ca="1" si="82"/>
        <v>14</v>
      </c>
      <c r="J56" s="62"/>
      <c r="K56" s="185">
        <f t="shared" ca="1" si="56"/>
        <v>0</v>
      </c>
      <c r="L56" s="185" t="b">
        <f t="shared" si="57"/>
        <v>1</v>
      </c>
      <c r="M56" s="185" t="s">
        <v>128</v>
      </c>
      <c r="N56" s="185" t="str">
        <f t="shared" ca="1" si="58"/>
        <v>Offererad produktnr. 05Dustin Sverige AB</v>
      </c>
      <c r="O56" s="185" cm="1">
        <f t="array" aca="1" ref="O56" ca="1">MIN(IF(($BW$54:$BW$75=M56)*($AO$54:$AO$75=$O$51),$Y$54:$Y$75))</f>
        <v>3415</v>
      </c>
      <c r="P56" s="197">
        <f ca="1">SMALL($Y$54:$Y$77,3)</f>
        <v>3610</v>
      </c>
      <c r="Q56" s="185">
        <f t="shared" si="59"/>
        <v>0</v>
      </c>
      <c r="R56" s="185">
        <f t="shared" si="60"/>
        <v>0</v>
      </c>
      <c r="S56" s="185">
        <f t="shared" si="61"/>
        <v>0</v>
      </c>
      <c r="T56" s="185">
        <f t="shared" si="62"/>
        <v>0</v>
      </c>
      <c r="U56" s="185">
        <f t="shared" si="63"/>
        <v>0</v>
      </c>
      <c r="V56" s="185">
        <f t="shared" si="64"/>
        <v>0</v>
      </c>
      <c r="W56" s="185">
        <f t="shared" si="65"/>
        <v>0</v>
      </c>
      <c r="X56" s="185">
        <f t="shared" si="66"/>
        <v>0</v>
      </c>
      <c r="Y56" s="185">
        <f t="shared" ca="1" si="67"/>
        <v>4802</v>
      </c>
      <c r="Z56" s="185" t="str">
        <f t="shared" si="68"/>
        <v>Offererad produktnr. 05Atea Sverige AB</v>
      </c>
      <c r="AA56" s="185" t="b">
        <f t="shared" si="69"/>
        <v>1</v>
      </c>
      <c r="AB56" s="185" t="b">
        <f t="shared" si="70"/>
        <v>1</v>
      </c>
      <c r="AC56" s="185" t="b">
        <f t="shared" si="71"/>
        <v>1</v>
      </c>
      <c r="AD56" s="185" t="b">
        <f t="shared" si="72"/>
        <v>1</v>
      </c>
      <c r="AE56" s="185" t="b">
        <f>IF($D$56="",TRUE,IF(COUNTIF(Processor!$I$2:$I$9,$D$56)&gt;0,AND(AT56&gt;INDEX(Processor!$J$2:$J$9,MATCH($D$56,Processor!$I$2:$I$9,0)),AT56&lt;INDEX(Processor!$K$2:$K$9,MATCH($D$56,Processor!$I$2:$I$9,0))),IF(AT56=$D$56,TRUE,FALSE)))</f>
        <v>1</v>
      </c>
      <c r="AF56" s="185" t="b">
        <f t="shared" si="73"/>
        <v>1</v>
      </c>
      <c r="AG56" s="185" t="b">
        <f t="shared" si="74"/>
        <v>1</v>
      </c>
      <c r="AH56" s="185" t="b">
        <f t="shared" si="75"/>
        <v>1</v>
      </c>
      <c r="AI56" s="185" t="b">
        <f t="shared" si="76"/>
        <v>1</v>
      </c>
      <c r="AJ56" s="185" t="b">
        <f>IFERROR(IF($D66="",TRUE,IF(MID(BA56,LEN(BA56)-2,1)*1&gt;=MID($D66,LEN($D66)-2,1)*1,TRUE,FALSE)),FALSE)</f>
        <v>1</v>
      </c>
      <c r="AK56" s="185"/>
      <c r="AL56" s="185"/>
      <c r="AM56" s="185"/>
      <c r="AN56" s="185" t="s">
        <v>190</v>
      </c>
      <c r="AO56" s="185">
        <v>1</v>
      </c>
      <c r="AP56" s="185" t="str">
        <f t="shared" ca="1" si="77"/>
        <v>1366x768</v>
      </c>
      <c r="AQ56" s="185" t="str">
        <f t="shared" ca="1" si="77"/>
        <v>Intel Celeron</v>
      </c>
      <c r="AR56" s="185">
        <f t="shared" ca="1" si="77"/>
        <v>4</v>
      </c>
      <c r="AS56" s="185">
        <f t="shared" ca="1" si="77"/>
        <v>32</v>
      </c>
      <c r="AT56" s="185">
        <f t="shared" ca="1" si="77"/>
        <v>11.6</v>
      </c>
      <c r="AU56" s="185">
        <f t="shared" ca="1" si="77"/>
        <v>2</v>
      </c>
      <c r="AV56" s="185">
        <f t="shared" ca="1" si="77"/>
        <v>1</v>
      </c>
      <c r="AW56" s="185">
        <f t="shared" ca="1" si="77"/>
        <v>0</v>
      </c>
      <c r="AX56" s="185" t="str">
        <f t="shared" ca="1" si="77"/>
        <v>802.11a/b/g/n/ac/ax</v>
      </c>
      <c r="AY56" s="185">
        <f t="shared" ca="1" si="77"/>
        <v>5.0999999999999996</v>
      </c>
      <c r="AZ56" s="185">
        <f t="shared" ca="1" si="78"/>
        <v>11</v>
      </c>
      <c r="BA56" s="185" t="str">
        <f t="shared" ca="1" si="78"/>
        <v>Version 8.0</v>
      </c>
      <c r="BB56" s="185" t="str">
        <f t="shared" ca="1" si="78"/>
        <v>Ja</v>
      </c>
      <c r="BC56" s="185" t="str">
        <f t="shared" ca="1" si="78"/>
        <v>Google Chrome OS</v>
      </c>
      <c r="BD56" s="185" t="str">
        <f t="shared" ca="1" si="78"/>
        <v>100e Chr Gen3</v>
      </c>
      <c r="BE56" s="185">
        <f t="shared" ca="1" si="78"/>
        <v>4802</v>
      </c>
      <c r="BF56" s="192">
        <f t="shared" ca="1" si="78"/>
        <v>145</v>
      </c>
      <c r="BG56" s="192">
        <f t="shared" ca="1" si="78"/>
        <v>431</v>
      </c>
      <c r="BH56" s="192">
        <f t="shared" ca="1" si="78"/>
        <v>361</v>
      </c>
      <c r="BI56" s="192">
        <f t="shared" ca="1" si="78"/>
        <v>728</v>
      </c>
      <c r="BJ56" s="192">
        <f t="shared" ca="1" si="79"/>
        <v>120</v>
      </c>
      <c r="BK56" s="192">
        <f t="shared" ca="1" si="79"/>
        <v>85</v>
      </c>
      <c r="BL56" s="192">
        <f t="shared" ca="1" si="79"/>
        <v>100</v>
      </c>
      <c r="BM56" s="192" t="str">
        <f t="shared" ca="1" si="79"/>
        <v xml:space="preserve">Lenovo </v>
      </c>
      <c r="BN56" s="192" t="str">
        <f t="shared" ca="1" si="79"/>
        <v>Lenovo</v>
      </c>
      <c r="BO56" s="192" t="str">
        <f t="shared" ca="1" si="79"/>
        <v>Lenovo</v>
      </c>
      <c r="BP56" s="192">
        <f t="shared" ca="1" si="79"/>
        <v>0</v>
      </c>
      <c r="BQ56" s="192" t="str">
        <f t="shared" ca="1" si="79"/>
        <v>Basic Sleeve 11"</v>
      </c>
      <c r="BR56" s="192" t="str">
        <f t="shared" ca="1" si="79"/>
        <v>Lenovo 11.6" Privacy Filter</v>
      </c>
      <c r="BS56" s="192" t="str">
        <f t="shared" ca="1" si="79"/>
        <v>Power adapter USB-C 45w</v>
      </c>
      <c r="BT56" s="192">
        <f t="shared" ca="1" si="79"/>
        <v>0</v>
      </c>
      <c r="BU56" s="192"/>
      <c r="BV56" s="192"/>
      <c r="BW56" s="192" t="str">
        <f t="shared" ca="1" si="80"/>
        <v>Atea Sverige AB</v>
      </c>
      <c r="BX56" s="192" t="str">
        <f t="shared" ca="1" si="80"/>
        <v>Lenovo</v>
      </c>
      <c r="BY56" s="185"/>
      <c r="BZ56" s="185"/>
      <c r="CA56" s="185"/>
      <c r="CB56" s="185"/>
      <c r="CC56" s="185"/>
      <c r="CD56" s="185">
        <v>4</v>
      </c>
      <c r="CE56" s="185"/>
      <c r="CF56" s="185"/>
      <c r="CG56" s="186"/>
      <c r="CH56" s="186"/>
      <c r="CI56" s="185"/>
      <c r="CJ56" s="185"/>
      <c r="CK56" s="185"/>
      <c r="CL56" s="185"/>
      <c r="CM56" s="185"/>
    </row>
    <row r="57" spans="2:91" ht="22.5" customHeight="1" outlineLevel="1" x14ac:dyDescent="0.35">
      <c r="C57" s="61" t="s">
        <v>2</v>
      </c>
      <c r="D57" s="64"/>
      <c r="F57" s="78" t="str">
        <f t="shared" si="81"/>
        <v/>
      </c>
      <c r="G57" s="79" t="str">
        <f t="shared" ca="1" si="82"/>
        <v>1366x768</v>
      </c>
      <c r="H57" s="79" t="str">
        <f t="shared" ca="1" si="82"/>
        <v>1366x768</v>
      </c>
      <c r="I57" s="120" t="str">
        <f t="shared" ca="1" si="82"/>
        <v>1920x1080</v>
      </c>
      <c r="J57" s="62"/>
      <c r="K57" s="185">
        <f t="shared" ca="1" si="56"/>
        <v>0</v>
      </c>
      <c r="L57" s="185" t="b">
        <f t="shared" si="57"/>
        <v>1</v>
      </c>
      <c r="M57" s="185" t="s">
        <v>169</v>
      </c>
      <c r="N57" s="185" t="str">
        <f t="shared" ca="1" si="58"/>
        <v>Offererad produktnr. 05Foxway Education AB</v>
      </c>
      <c r="O57" s="185" cm="1">
        <f t="array" aca="1" ref="O57" ca="1">MIN(IF(($BW$54:$BW$75=M57)*($AO$54:$AO$75=$O$51),$Y$54:$Y$75))</f>
        <v>3636</v>
      </c>
      <c r="P57" s="197"/>
      <c r="Q57" s="185">
        <f t="shared" si="59"/>
        <v>0</v>
      </c>
      <c r="R57" s="185">
        <f t="shared" si="60"/>
        <v>0</v>
      </c>
      <c r="S57" s="185">
        <f t="shared" si="61"/>
        <v>0</v>
      </c>
      <c r="T57" s="185">
        <f t="shared" si="62"/>
        <v>0</v>
      </c>
      <c r="U57" s="185">
        <f t="shared" si="63"/>
        <v>0</v>
      </c>
      <c r="V57" s="185">
        <f t="shared" si="64"/>
        <v>0</v>
      </c>
      <c r="W57" s="185">
        <f t="shared" si="65"/>
        <v>0</v>
      </c>
      <c r="X57" s="185">
        <f t="shared" si="66"/>
        <v>0</v>
      </c>
      <c r="Y57" s="185">
        <f t="shared" ca="1" si="67"/>
        <v>6392</v>
      </c>
      <c r="Z57" s="185" t="str">
        <f t="shared" si="68"/>
        <v>Offererad produktnr. 06Atea Sverige AB</v>
      </c>
      <c r="AA57" s="185" t="b">
        <f t="shared" si="69"/>
        <v>1</v>
      </c>
      <c r="AB57" s="185" t="b">
        <f t="shared" si="70"/>
        <v>1</v>
      </c>
      <c r="AC57" s="185" t="b">
        <f t="shared" si="71"/>
        <v>1</v>
      </c>
      <c r="AD57" s="185" t="b">
        <f t="shared" si="72"/>
        <v>1</v>
      </c>
      <c r="AE57" s="185" t="b">
        <f>IF($D$56="",TRUE,IF(COUNTIF(Processor!$I$2:$I$9,$D$56)&gt;0,AND(AT57&gt;INDEX(Processor!$J$2:$J$9,MATCH($D$56,Processor!$I$2:$I$9,0)),AT57&lt;INDEX(Processor!$K$2:$K$9,MATCH($D$56,Processor!$I$2:$I$9,0))),IF(AT57=$D$56,TRUE,FALSE)))</f>
        <v>1</v>
      </c>
      <c r="AF57" s="185" t="b">
        <f t="shared" si="73"/>
        <v>1</v>
      </c>
      <c r="AG57" s="185" t="b">
        <f t="shared" si="74"/>
        <v>1</v>
      </c>
      <c r="AH57" s="185" t="b">
        <f t="shared" si="75"/>
        <v>1</v>
      </c>
      <c r="AI57" s="185" t="b">
        <f t="shared" si="76"/>
        <v>1</v>
      </c>
      <c r="AJ57" s="185" t="b">
        <f>IFERROR(IF($D66="",TRUE,IF(MID(BA57,LEN(BA57)-2,1)*1&gt;=MID($D66,LEN($D66)-2,1)*1,TRUE,FALSE)),FALSE)</f>
        <v>1</v>
      </c>
      <c r="AK57" s="185"/>
      <c r="AL57" s="185"/>
      <c r="AM57" s="185"/>
      <c r="AN57" s="185" t="s">
        <v>191</v>
      </c>
      <c r="AO57" s="185">
        <v>1</v>
      </c>
      <c r="AP57" s="185" t="str">
        <f t="shared" ca="1" si="77"/>
        <v>1920x1080</v>
      </c>
      <c r="AQ57" s="185" t="str">
        <f t="shared" ca="1" si="77"/>
        <v>Intel Celeron</v>
      </c>
      <c r="AR57" s="185">
        <f t="shared" ca="1" si="77"/>
        <v>8</v>
      </c>
      <c r="AS57" s="185">
        <f t="shared" ca="1" si="77"/>
        <v>64</v>
      </c>
      <c r="AT57" s="185">
        <f t="shared" ca="1" si="77"/>
        <v>14</v>
      </c>
      <c r="AU57" s="185">
        <f t="shared" ca="1" si="77"/>
        <v>3</v>
      </c>
      <c r="AV57" s="185">
        <f t="shared" ca="1" si="77"/>
        <v>1</v>
      </c>
      <c r="AW57" s="185">
        <f t="shared" ca="1" si="77"/>
        <v>0</v>
      </c>
      <c r="AX57" s="185" t="str">
        <f t="shared" ca="1" si="77"/>
        <v>802.11a/b/g/n/ac/ax</v>
      </c>
      <c r="AY57" s="185">
        <f t="shared" ca="1" si="77"/>
        <v>5</v>
      </c>
      <c r="AZ57" s="185">
        <f t="shared" ca="1" si="78"/>
        <v>11</v>
      </c>
      <c r="BA57" s="185" t="str">
        <f t="shared" ca="1" si="78"/>
        <v>Version 8.0</v>
      </c>
      <c r="BB57" s="185" t="str">
        <f t="shared" ca="1" si="78"/>
        <v>Ja</v>
      </c>
      <c r="BC57" s="185" t="str">
        <f t="shared" ca="1" si="78"/>
        <v>Google Chrome OS</v>
      </c>
      <c r="BD57" s="185" t="str">
        <f t="shared" ca="1" si="78"/>
        <v>Chromebook 14 G7</v>
      </c>
      <c r="BE57" s="185">
        <f t="shared" ca="1" si="78"/>
        <v>6392</v>
      </c>
      <c r="BF57" s="192">
        <f t="shared" ca="1" si="78"/>
        <v>134</v>
      </c>
      <c r="BG57" s="192">
        <f t="shared" ca="1" si="78"/>
        <v>449</v>
      </c>
      <c r="BH57" s="192">
        <f t="shared" ca="1" si="78"/>
        <v>389</v>
      </c>
      <c r="BI57" s="192">
        <f t="shared" ca="1" si="78"/>
        <v>276</v>
      </c>
      <c r="BJ57" s="192">
        <f t="shared" ca="1" si="79"/>
        <v>120</v>
      </c>
      <c r="BK57" s="192">
        <f t="shared" ca="1" si="79"/>
        <v>85</v>
      </c>
      <c r="BL57" s="192">
        <f t="shared" ca="1" si="79"/>
        <v>100</v>
      </c>
      <c r="BM57" s="192" t="str">
        <f t="shared" ca="1" si="79"/>
        <v>DELTACO</v>
      </c>
      <c r="BN57" s="192" t="str">
        <f t="shared" ca="1" si="79"/>
        <v>Targus</v>
      </c>
      <c r="BO57" s="192" t="str">
        <f t="shared" ca="1" si="79"/>
        <v>HP</v>
      </c>
      <c r="BP57" s="192">
        <f t="shared" ca="1" si="79"/>
        <v>0</v>
      </c>
      <c r="BQ57" s="192" t="str">
        <f t="shared" ca="1" si="79"/>
        <v xml:space="preserve">Fodral för bärbar dator </v>
      </c>
      <c r="BR57" s="192" t="str">
        <f t="shared" ca="1" si="79"/>
        <v>Targus Privacy Screen 14"</v>
      </c>
      <c r="BS57" s="192" t="str">
        <f t="shared" ca="1" si="79"/>
        <v>HP 45W USB-C Power Adapter G2</v>
      </c>
      <c r="BT57" s="192">
        <f t="shared" ca="1" si="79"/>
        <v>0</v>
      </c>
      <c r="BU57" s="192"/>
      <c r="BV57" s="192"/>
      <c r="BW57" s="192" t="str">
        <f t="shared" ca="1" si="80"/>
        <v>Atea Sverige AB</v>
      </c>
      <c r="BX57" s="192" t="str">
        <f t="shared" ca="1" si="80"/>
        <v>HP</v>
      </c>
      <c r="BY57" s="185"/>
      <c r="BZ57" s="185"/>
      <c r="CA57" s="185"/>
      <c r="CB57" s="185"/>
      <c r="CC57" s="185"/>
      <c r="CD57" s="185"/>
      <c r="CE57" s="185"/>
      <c r="CF57" s="185"/>
      <c r="CG57" s="186"/>
      <c r="CH57" s="186"/>
      <c r="CI57" s="185"/>
      <c r="CJ57" s="185"/>
      <c r="CK57" s="185"/>
      <c r="CL57" s="185"/>
      <c r="CM57" s="185"/>
    </row>
    <row r="58" spans="2:91" ht="22.5" customHeight="1" outlineLevel="1" x14ac:dyDescent="0.35">
      <c r="C58" s="61" t="s">
        <v>4</v>
      </c>
      <c r="D58" s="64"/>
      <c r="F58" s="78" t="str">
        <f t="shared" si="81"/>
        <v/>
      </c>
      <c r="G58" s="79" t="str">
        <f t="shared" ca="1" si="82"/>
        <v>Intel Celeron</v>
      </c>
      <c r="H58" s="79" t="str">
        <f t="shared" ca="1" si="82"/>
        <v>Intel Celeron</v>
      </c>
      <c r="I58" s="120" t="str">
        <f t="shared" ca="1" si="82"/>
        <v>Intel Celeron</v>
      </c>
      <c r="J58" s="62"/>
      <c r="K58" s="185">
        <f t="shared" ca="1" si="56"/>
        <v>0</v>
      </c>
      <c r="L58" s="185" t="b">
        <f t="shared" si="57"/>
        <v>1</v>
      </c>
      <c r="M58" s="185" t="s">
        <v>167</v>
      </c>
      <c r="N58" s="185" t="e">
        <f t="shared" ca="1" si="58"/>
        <v>#N/A</v>
      </c>
      <c r="O58" s="185" cm="1">
        <f t="array" aca="1" ref="O58" ca="1">MIN(IF(($BW$54:$BW$75=M58)*($AO$54:$AO$75=$O$51),$Y$54:$Y$75))</f>
        <v>0</v>
      </c>
      <c r="P58" s="197"/>
      <c r="Q58" s="185">
        <f t="shared" si="59"/>
        <v>0</v>
      </c>
      <c r="R58" s="185">
        <f t="shared" si="60"/>
        <v>0</v>
      </c>
      <c r="S58" s="185">
        <f t="shared" si="61"/>
        <v>0</v>
      </c>
      <c r="T58" s="185">
        <f t="shared" si="62"/>
        <v>0</v>
      </c>
      <c r="U58" s="185">
        <f t="shared" si="63"/>
        <v>0</v>
      </c>
      <c r="V58" s="185">
        <f t="shared" si="64"/>
        <v>0</v>
      </c>
      <c r="W58" s="185">
        <f t="shared" si="65"/>
        <v>0</v>
      </c>
      <c r="X58" s="185">
        <f t="shared" si="66"/>
        <v>0</v>
      </c>
      <c r="Y58" s="185">
        <f t="shared" ca="1" si="67"/>
        <v>3415</v>
      </c>
      <c r="Z58" s="185" t="str">
        <f t="shared" si="68"/>
        <v>Offererad produktnr. 05Dustin Sverige AB</v>
      </c>
      <c r="AA58" s="185" t="b">
        <f t="shared" si="69"/>
        <v>1</v>
      </c>
      <c r="AB58" s="185" t="b">
        <f t="shared" si="70"/>
        <v>1</v>
      </c>
      <c r="AC58" s="185" t="b">
        <f t="shared" si="71"/>
        <v>1</v>
      </c>
      <c r="AD58" s="185" t="b">
        <f t="shared" si="72"/>
        <v>1</v>
      </c>
      <c r="AE58" s="185" t="b">
        <f>IF($D$56="",TRUE,IF(COUNTIF(Processor!$I$2:$I$9,$D$56)&gt;0,AND(AT58&gt;INDEX(Processor!$J$2:$J$9,MATCH($D$56,Processor!$I$2:$I$9,0)),AT58&lt;INDEX(Processor!$K$2:$K$9,MATCH($D$56,Processor!$I$2:$I$9,0))),IF(AT58=$D$56,TRUE,FALSE)))</f>
        <v>1</v>
      </c>
      <c r="AF58" s="185" t="b">
        <f t="shared" si="73"/>
        <v>1</v>
      </c>
      <c r="AG58" s="185" t="b">
        <f t="shared" si="74"/>
        <v>1</v>
      </c>
      <c r="AH58" s="185" t="b">
        <f t="shared" si="75"/>
        <v>1</v>
      </c>
      <c r="AI58" s="185" t="b">
        <f t="shared" si="76"/>
        <v>1</v>
      </c>
      <c r="AJ58" s="185" t="b">
        <f>IFERROR(IF($D66="",TRUE,IF(MID(BA58,LEN(BA58)-2,1)*1&gt;=MID($D66,LEN($D66)-2,1)*1,TRUE,FALSE)),FALSE)</f>
        <v>1</v>
      </c>
      <c r="AK58" s="185"/>
      <c r="AL58" s="185"/>
      <c r="AM58" s="185"/>
      <c r="AN58" s="185" t="s">
        <v>178</v>
      </c>
      <c r="AO58" s="185">
        <v>1</v>
      </c>
      <c r="AP58" s="185" t="str">
        <f t="shared" ca="1" si="77"/>
        <v>1366x768</v>
      </c>
      <c r="AQ58" s="185" t="str">
        <f t="shared" ca="1" si="77"/>
        <v>Intel Celeron</v>
      </c>
      <c r="AR58" s="185">
        <f t="shared" ca="1" si="77"/>
        <v>4</v>
      </c>
      <c r="AS58" s="185">
        <f t="shared" ca="1" si="77"/>
        <v>32</v>
      </c>
      <c r="AT58" s="185">
        <f t="shared" ca="1" si="77"/>
        <v>11.6</v>
      </c>
      <c r="AU58" s="185">
        <f t="shared" ca="1" si="77"/>
        <v>4</v>
      </c>
      <c r="AV58" s="185">
        <f t="shared" ca="1" si="77"/>
        <v>2</v>
      </c>
      <c r="AW58" s="185">
        <f t="shared" ca="1" si="77"/>
        <v>0</v>
      </c>
      <c r="AX58" s="185" t="str">
        <f t="shared" ca="1" si="77"/>
        <v>802.11a/b/g/n/ac/ax</v>
      </c>
      <c r="AY58" s="185">
        <f t="shared" ca="1" si="77"/>
        <v>5</v>
      </c>
      <c r="AZ58" s="185">
        <f t="shared" ca="1" si="78"/>
        <v>11</v>
      </c>
      <c r="BA58" s="185" t="str">
        <f t="shared" ca="1" si="78"/>
        <v>Version 8.0</v>
      </c>
      <c r="BB58" s="185" t="str">
        <f t="shared" ca="1" si="78"/>
        <v>Ja</v>
      </c>
      <c r="BC58" s="185" t="str">
        <f t="shared" ca="1" si="78"/>
        <v>Google Chrome OS</v>
      </c>
      <c r="BD58" s="185" t="str">
        <f t="shared" ca="1" si="78"/>
        <v>ChromeBook 11 G9 EE</v>
      </c>
      <c r="BE58" s="185">
        <f t="shared" ca="1" si="78"/>
        <v>3415</v>
      </c>
      <c r="BF58" s="192">
        <f t="shared" ca="1" si="78"/>
        <v>87</v>
      </c>
      <c r="BG58" s="192">
        <f t="shared" ca="1" si="78"/>
        <v>123</v>
      </c>
      <c r="BH58" s="192">
        <f t="shared" ca="1" si="78"/>
        <v>249</v>
      </c>
      <c r="BI58" s="192">
        <f t="shared" ca="1" si="78"/>
        <v>131</v>
      </c>
      <c r="BJ58" s="192">
        <f t="shared" ca="1" si="79"/>
        <v>133</v>
      </c>
      <c r="BK58" s="192">
        <f t="shared" ca="1" si="79"/>
        <v>20</v>
      </c>
      <c r="BL58" s="192">
        <f t="shared" ca="1" si="79"/>
        <v>20</v>
      </c>
      <c r="BM58" s="192" t="str">
        <f t="shared" ca="1" si="79"/>
        <v>Cirafon</v>
      </c>
      <c r="BN58" s="192" t="str">
        <f t="shared" ca="1" si="79"/>
        <v>Cirafon</v>
      </c>
      <c r="BO58" s="192" t="str">
        <f t="shared" ca="1" si="79"/>
        <v>HP</v>
      </c>
      <c r="BP58" s="192">
        <f t="shared" ca="1" si="79"/>
        <v>0</v>
      </c>
      <c r="BQ58" s="192" t="str">
        <f t="shared" ca="1" si="79"/>
        <v>LSN9117-11</v>
      </c>
      <c r="BR58" s="192" t="str">
        <f t="shared" ca="1" si="79"/>
        <v>DPF11.6-9</v>
      </c>
      <c r="BS58" s="192" t="str">
        <f t="shared" ca="1" si="79"/>
        <v>1MZ01AA</v>
      </c>
      <c r="BT58" s="192">
        <f t="shared" ca="1" si="79"/>
        <v>0</v>
      </c>
      <c r="BU58" s="192"/>
      <c r="BV58" s="192"/>
      <c r="BW58" s="192" t="str">
        <f t="shared" ca="1" si="80"/>
        <v>Dustin Sverige AB</v>
      </c>
      <c r="BX58" s="192" t="str">
        <f t="shared" ca="1" si="80"/>
        <v>HP</v>
      </c>
      <c r="BY58" s="185"/>
      <c r="BZ58" s="185"/>
      <c r="CA58" s="185"/>
      <c r="CB58" s="185"/>
      <c r="CC58" s="185">
        <v>0</v>
      </c>
      <c r="CD58" s="185"/>
      <c r="CE58" s="185"/>
      <c r="CF58" s="185"/>
      <c r="CG58" s="186">
        <v>0</v>
      </c>
      <c r="CH58" s="185"/>
      <c r="CI58" s="185"/>
      <c r="CJ58" s="185"/>
      <c r="CK58" s="185"/>
      <c r="CL58" s="185"/>
      <c r="CM58" s="185"/>
    </row>
    <row r="59" spans="2:91" ht="22.5" customHeight="1" outlineLevel="1" x14ac:dyDescent="0.35">
      <c r="C59" s="61" t="s">
        <v>119</v>
      </c>
      <c r="D59" s="64"/>
      <c r="F59" s="78" t="str">
        <f t="shared" si="81"/>
        <v/>
      </c>
      <c r="G59" s="79">
        <f t="shared" ca="1" si="82"/>
        <v>4</v>
      </c>
      <c r="H59" s="79">
        <f t="shared" ca="1" si="82"/>
        <v>4</v>
      </c>
      <c r="I59" s="120">
        <f t="shared" ca="1" si="82"/>
        <v>8</v>
      </c>
      <c r="J59" s="62"/>
      <c r="K59" s="185">
        <f t="shared" ca="1" si="56"/>
        <v>0</v>
      </c>
      <c r="L59" s="185" t="b">
        <f t="shared" si="57"/>
        <v>1</v>
      </c>
      <c r="M59" s="185" t="s">
        <v>546</v>
      </c>
      <c r="N59" s="185" t="str">
        <f t="shared" ca="1" si="58"/>
        <v>Offererad produktnr. 05Qlosr Göteborg AB</v>
      </c>
      <c r="O59" s="185" cm="1">
        <f t="array" aca="1" ref="O59" ca="1">MIN(IF(($BW$54:$BW$75=M59)*($AO$54:$AO$75=$O$51),$Y$54:$Y$75))</f>
        <v>2950</v>
      </c>
      <c r="P59" s="197"/>
      <c r="Q59" s="185">
        <f t="shared" si="59"/>
        <v>0</v>
      </c>
      <c r="R59" s="185">
        <f t="shared" si="60"/>
        <v>0</v>
      </c>
      <c r="S59" s="185">
        <f t="shared" si="61"/>
        <v>0</v>
      </c>
      <c r="T59" s="185">
        <f t="shared" si="62"/>
        <v>0</v>
      </c>
      <c r="U59" s="185">
        <f t="shared" si="63"/>
        <v>0</v>
      </c>
      <c r="V59" s="185">
        <f t="shared" si="64"/>
        <v>0</v>
      </c>
      <c r="W59" s="185">
        <f t="shared" si="65"/>
        <v>0</v>
      </c>
      <c r="X59" s="185">
        <f t="shared" si="66"/>
        <v>0</v>
      </c>
      <c r="Y59" s="185">
        <f t="shared" ca="1" si="67"/>
        <v>4088</v>
      </c>
      <c r="Z59" s="185" t="str">
        <f t="shared" si="68"/>
        <v>Offererad produktnr. 06Dustin Sverige AB</v>
      </c>
      <c r="AA59" s="185" t="b">
        <f t="shared" si="69"/>
        <v>1</v>
      </c>
      <c r="AB59" s="185" t="b">
        <f t="shared" si="70"/>
        <v>1</v>
      </c>
      <c r="AC59" s="185" t="b">
        <f t="shared" si="71"/>
        <v>1</v>
      </c>
      <c r="AD59" s="185" t="b">
        <f t="shared" si="72"/>
        <v>1</v>
      </c>
      <c r="AE59" s="185" t="b">
        <f>IF($D$56="",TRUE,IF(COUNTIF(Processor!$I$2:$I$9,$D$56)&gt;0,AND(AT59&gt;INDEX(Processor!$J$2:$J$9,MATCH($D$56,Processor!$I$2:$I$9,0)),AT59&lt;INDEX(Processor!$K$2:$K$9,MATCH($D$56,Processor!$I$2:$I$9,0))),IF(AT59=$D$56,TRUE,FALSE)))</f>
        <v>1</v>
      </c>
      <c r="AF59" s="185" t="b">
        <f t="shared" si="73"/>
        <v>1</v>
      </c>
      <c r="AG59" s="185" t="b">
        <f t="shared" si="74"/>
        <v>1</v>
      </c>
      <c r="AH59" s="185" t="b">
        <f t="shared" si="75"/>
        <v>1</v>
      </c>
      <c r="AI59" s="185" t="b">
        <f t="shared" si="76"/>
        <v>1</v>
      </c>
      <c r="AJ59" s="185" t="b">
        <f>IFERROR(IF($D66="",TRUE,IF(MID(BA59,LEN(BA59)-2,1)*1&gt;=MID($D66,LEN($D66)-2,1)*1,TRUE,FALSE)),FALSE)</f>
        <v>1</v>
      </c>
      <c r="AK59" s="185"/>
      <c r="AL59" s="185"/>
      <c r="AM59" s="185"/>
      <c r="AN59" s="185" t="s">
        <v>179</v>
      </c>
      <c r="AO59" s="185">
        <v>1</v>
      </c>
      <c r="AP59" s="185" t="str">
        <f t="shared" ca="1" si="77"/>
        <v>1920x1080</v>
      </c>
      <c r="AQ59" s="185" t="str">
        <f t="shared" ca="1" si="77"/>
        <v>Intel Celeron</v>
      </c>
      <c r="AR59" s="185">
        <f t="shared" ca="1" si="77"/>
        <v>8</v>
      </c>
      <c r="AS59" s="185">
        <f t="shared" ca="1" si="77"/>
        <v>64</v>
      </c>
      <c r="AT59" s="185">
        <f t="shared" ca="1" si="77"/>
        <v>14</v>
      </c>
      <c r="AU59" s="185">
        <f t="shared" ca="1" si="77"/>
        <v>3</v>
      </c>
      <c r="AV59" s="185">
        <f t="shared" ca="1" si="77"/>
        <v>1</v>
      </c>
      <c r="AW59" s="185">
        <f t="shared" ca="1" si="77"/>
        <v>0</v>
      </c>
      <c r="AX59" s="185" t="str">
        <f t="shared" ca="1" si="77"/>
        <v>802.11a/b/g/n/ac/ax</v>
      </c>
      <c r="AY59" s="185">
        <f t="shared" ca="1" si="77"/>
        <v>5.0999999999999996</v>
      </c>
      <c r="AZ59" s="185">
        <f t="shared" ca="1" si="78"/>
        <v>11</v>
      </c>
      <c r="BA59" s="185" t="str">
        <f t="shared" ca="1" si="78"/>
        <v>Version 8.0</v>
      </c>
      <c r="BB59" s="185" t="str">
        <f t="shared" ca="1" si="78"/>
        <v>Ja</v>
      </c>
      <c r="BC59" s="185" t="str">
        <f t="shared" ca="1" si="78"/>
        <v>Google Chrome OS</v>
      </c>
      <c r="BD59" s="185" t="str">
        <f t="shared" ca="1" si="78"/>
        <v>Chromebook 14 G7</v>
      </c>
      <c r="BE59" s="185">
        <f t="shared" ca="1" si="78"/>
        <v>4088</v>
      </c>
      <c r="BF59" s="192">
        <f t="shared" ca="1" si="78"/>
        <v>123</v>
      </c>
      <c r="BG59" s="192">
        <f t="shared" ca="1" si="78"/>
        <v>425</v>
      </c>
      <c r="BH59" s="192">
        <f t="shared" ca="1" si="78"/>
        <v>249</v>
      </c>
      <c r="BI59" s="192">
        <f t="shared" ca="1" si="78"/>
        <v>131</v>
      </c>
      <c r="BJ59" s="192">
        <f t="shared" ca="1" si="79"/>
        <v>133</v>
      </c>
      <c r="BK59" s="192">
        <f t="shared" ca="1" si="79"/>
        <v>20</v>
      </c>
      <c r="BL59" s="192">
        <f t="shared" ca="1" si="79"/>
        <v>20</v>
      </c>
      <c r="BM59" s="192" t="str">
        <f t="shared" ca="1" si="79"/>
        <v>Cirafon</v>
      </c>
      <c r="BN59" s="192" t="str">
        <f t="shared" ca="1" si="79"/>
        <v>Cirafon</v>
      </c>
      <c r="BO59" s="192" t="str">
        <f t="shared" ca="1" si="79"/>
        <v>HP</v>
      </c>
      <c r="BP59" s="192">
        <f t="shared" ca="1" si="79"/>
        <v>0</v>
      </c>
      <c r="BQ59" s="192" t="str">
        <f t="shared" ca="1" si="79"/>
        <v>LSN8696R2-14.1</v>
      </c>
      <c r="BR59" s="192" t="str">
        <f t="shared" ca="1" si="79"/>
        <v>DPF14-9</v>
      </c>
      <c r="BS59" s="192" t="str">
        <f t="shared" ca="1" si="79"/>
        <v>1MZ01AA</v>
      </c>
      <c r="BT59" s="192">
        <f t="shared" ca="1" si="79"/>
        <v>0</v>
      </c>
      <c r="BU59" s="192"/>
      <c r="BV59" s="192"/>
      <c r="BW59" s="192" t="str">
        <f t="shared" ca="1" si="80"/>
        <v>Dustin Sverige AB</v>
      </c>
      <c r="BX59" s="192" t="str">
        <f t="shared" ca="1" si="80"/>
        <v>HP</v>
      </c>
      <c r="BY59" s="185"/>
      <c r="BZ59" s="185"/>
      <c r="CA59" s="185"/>
      <c r="CB59" s="185"/>
      <c r="CC59" s="185"/>
      <c r="CD59" s="185"/>
      <c r="CE59" s="185"/>
      <c r="CF59" s="185"/>
      <c r="CG59" s="185"/>
      <c r="CH59" s="185"/>
      <c r="CI59" s="185"/>
      <c r="CJ59" s="185"/>
      <c r="CK59" s="185"/>
      <c r="CL59" s="185"/>
      <c r="CM59" s="185"/>
    </row>
    <row r="60" spans="2:91" ht="22.5" customHeight="1" outlineLevel="1" x14ac:dyDescent="0.35">
      <c r="C60" s="61" t="s">
        <v>16</v>
      </c>
      <c r="D60" s="64"/>
      <c r="F60" s="78" t="str">
        <f t="shared" si="81"/>
        <v/>
      </c>
      <c r="G60" s="79">
        <f t="shared" ca="1" si="82"/>
        <v>32</v>
      </c>
      <c r="H60" s="79">
        <f t="shared" ca="1" si="82"/>
        <v>32</v>
      </c>
      <c r="I60" s="120">
        <f t="shared" ca="1" si="82"/>
        <v>64</v>
      </c>
      <c r="J60" s="62"/>
      <c r="Q60" s="185">
        <f t="shared" si="59"/>
        <v>0</v>
      </c>
      <c r="R60" s="185">
        <f t="shared" si="60"/>
        <v>0</v>
      </c>
      <c r="S60" s="185">
        <f t="shared" si="61"/>
        <v>0</v>
      </c>
      <c r="T60" s="185">
        <f t="shared" si="62"/>
        <v>0</v>
      </c>
      <c r="U60" s="185">
        <f t="shared" si="63"/>
        <v>0</v>
      </c>
      <c r="V60" s="185">
        <f t="shared" si="64"/>
        <v>0</v>
      </c>
      <c r="W60" s="185">
        <f t="shared" si="65"/>
        <v>0</v>
      </c>
      <c r="X60" s="185">
        <f t="shared" si="66"/>
        <v>0</v>
      </c>
      <c r="Y60" s="185">
        <f t="shared" ca="1" si="67"/>
        <v>3636</v>
      </c>
      <c r="Z60" s="185" t="str">
        <f t="shared" si="68"/>
        <v>Offererad produktnr. 05Foxway Education AB</v>
      </c>
      <c r="AA60" s="185" t="b">
        <f t="shared" si="69"/>
        <v>1</v>
      </c>
      <c r="AB60" s="185" t="b">
        <f t="shared" si="70"/>
        <v>1</v>
      </c>
      <c r="AC60" s="185" t="b">
        <f t="shared" si="71"/>
        <v>1</v>
      </c>
      <c r="AD60" s="185" t="b">
        <f t="shared" si="72"/>
        <v>1</v>
      </c>
      <c r="AE60" s="185" t="b">
        <f>IF($D$56="",TRUE,IF(COUNTIF(Processor!$I$2:$I$9,$D$56)&gt;0,AND(AT60&gt;INDEX(Processor!$J$2:$J$9,MATCH($D$56,Processor!$I$2:$I$9,0)),AT60&lt;INDEX(Processor!$K$2:$K$9,MATCH($D$56,Processor!$I$2:$I$9,0))),IF(AT60=$D$56,TRUE,FALSE)))</f>
        <v>1</v>
      </c>
      <c r="AF60" s="185" t="b">
        <f t="shared" si="73"/>
        <v>1</v>
      </c>
      <c r="AG60" s="185" t="b">
        <f t="shared" si="74"/>
        <v>1</v>
      </c>
      <c r="AH60" s="185" t="b">
        <f t="shared" si="75"/>
        <v>1</v>
      </c>
      <c r="AI60" s="185" t="b">
        <f t="shared" si="76"/>
        <v>1</v>
      </c>
      <c r="AJ60" s="185" t="b">
        <f>IFERROR(IF($D66="",TRUE,IF(MID(BA60,LEN(BA60)-2,1)*1&gt;=MID($D66,LEN($D66)-2,1)*1,TRUE,FALSE)),FALSE)</f>
        <v>1</v>
      </c>
      <c r="AK60" s="185"/>
      <c r="AL60" s="185"/>
      <c r="AM60" s="185"/>
      <c r="AN60" s="185" t="s">
        <v>214</v>
      </c>
      <c r="AO60" s="185">
        <v>1</v>
      </c>
      <c r="AP60" s="185" t="str">
        <f t="shared" ca="1" si="77"/>
        <v>1366x768</v>
      </c>
      <c r="AQ60" s="185" t="str">
        <f t="shared" ca="1" si="77"/>
        <v>MT8186</v>
      </c>
      <c r="AR60" s="185">
        <f t="shared" ca="1" si="77"/>
        <v>4</v>
      </c>
      <c r="AS60" s="185">
        <f t="shared" ca="1" si="77"/>
        <v>32</v>
      </c>
      <c r="AT60" s="185">
        <f t="shared" ca="1" si="77"/>
        <v>11.6</v>
      </c>
      <c r="AU60" s="185">
        <f t="shared" ca="1" si="77"/>
        <v>3</v>
      </c>
      <c r="AV60" s="185">
        <f t="shared" ca="1" si="77"/>
        <v>1</v>
      </c>
      <c r="AW60" s="185">
        <f t="shared" ca="1" si="77"/>
        <v>0</v>
      </c>
      <c r="AX60" s="185" t="str">
        <f t="shared" ca="1" si="77"/>
        <v>802.11a/b/g/n/ac</v>
      </c>
      <c r="AY60" s="185">
        <f t="shared" ca="1" si="77"/>
        <v>5.0999999999999996</v>
      </c>
      <c r="AZ60" s="185">
        <f t="shared" ca="1" si="78"/>
        <v>11</v>
      </c>
      <c r="BA60" s="185" t="str">
        <f t="shared" ca="1" si="78"/>
        <v>Version 8.0</v>
      </c>
      <c r="BB60" s="185" t="str">
        <f t="shared" ca="1" si="78"/>
        <v>Ja</v>
      </c>
      <c r="BC60" s="185" t="str">
        <f t="shared" ca="1" si="78"/>
        <v>Google Chrome OS</v>
      </c>
      <c r="BD60" s="185" t="str">
        <f t="shared" ca="1" si="78"/>
        <v>100e Chr Gen4</v>
      </c>
      <c r="BE60" s="185">
        <f t="shared" ca="1" si="78"/>
        <v>3636</v>
      </c>
      <c r="BF60" s="192">
        <f t="shared" ca="1" si="78"/>
        <v>78</v>
      </c>
      <c r="BG60" s="192">
        <f t="shared" ca="1" si="78"/>
        <v>240</v>
      </c>
      <c r="BH60" s="192">
        <f t="shared" ca="1" si="78"/>
        <v>210</v>
      </c>
      <c r="BI60" s="192">
        <f t="shared" ca="1" si="78"/>
        <v>405</v>
      </c>
      <c r="BJ60" s="192">
        <f t="shared" ca="1" si="79"/>
        <v>185</v>
      </c>
      <c r="BK60" s="192">
        <f t="shared" ca="1" si="79"/>
        <v>60</v>
      </c>
      <c r="BL60" s="192">
        <f t="shared" ca="1" si="79"/>
        <v>50</v>
      </c>
      <c r="BM60" s="192" t="str">
        <f t="shared" ca="1" si="79"/>
        <v>V7</v>
      </c>
      <c r="BN60" s="192" t="str">
        <f t="shared" ca="1" si="79"/>
        <v>Lenovo</v>
      </c>
      <c r="BO60" s="192" t="str">
        <f t="shared" ca="1" si="79"/>
        <v>Lenovo</v>
      </c>
      <c r="BP60" s="192">
        <f t="shared" ca="1" si="79"/>
        <v>0</v>
      </c>
      <c r="BQ60" s="192" t="str">
        <f t="shared" ca="1" si="79"/>
        <v>V7 Elite Sleeve 12"</v>
      </c>
      <c r="BR60" s="192" t="str">
        <f t="shared" ca="1" si="79"/>
        <v>Lenovo 11.6" Privacy Filter</v>
      </c>
      <c r="BS60" s="192" t="str">
        <f t="shared" ca="1" si="79"/>
        <v>Power adapter USB-C 45w</v>
      </c>
      <c r="BT60" s="192">
        <f t="shared" ca="1" si="79"/>
        <v>0</v>
      </c>
      <c r="BU60" s="192"/>
      <c r="BV60" s="192"/>
      <c r="BW60" s="192" t="str">
        <f t="shared" ca="1" si="80"/>
        <v>Foxway Education AB</v>
      </c>
      <c r="BX60" s="192" t="str">
        <f t="shared" ca="1" si="80"/>
        <v>Lenovo</v>
      </c>
      <c r="BY60" s="185"/>
      <c r="BZ60" s="185"/>
      <c r="CA60" s="185"/>
      <c r="CB60" s="185"/>
      <c r="CC60" s="185"/>
      <c r="CD60" s="185"/>
      <c r="CE60" s="185"/>
      <c r="CF60" s="185"/>
      <c r="CG60" s="185"/>
      <c r="CH60" s="185"/>
      <c r="CI60" s="185"/>
      <c r="CJ60" s="185"/>
      <c r="CK60" s="185"/>
      <c r="CL60" s="185"/>
      <c r="CM60" s="185"/>
    </row>
    <row r="61" spans="2:91" ht="22.5" customHeight="1" outlineLevel="1" x14ac:dyDescent="0.35">
      <c r="C61" s="61" t="s">
        <v>67</v>
      </c>
      <c r="D61" s="64"/>
      <c r="F61" s="78" t="str">
        <f t="shared" si="81"/>
        <v/>
      </c>
      <c r="G61" s="79">
        <f t="shared" ca="1" si="82"/>
        <v>2</v>
      </c>
      <c r="H61" s="79">
        <f t="shared" ca="1" si="82"/>
        <v>4</v>
      </c>
      <c r="I61" s="120">
        <f t="shared" ca="1" si="82"/>
        <v>3</v>
      </c>
      <c r="J61" s="62"/>
      <c r="Q61" s="185">
        <f t="shared" si="59"/>
        <v>0</v>
      </c>
      <c r="R61" s="185">
        <f t="shared" si="60"/>
        <v>0</v>
      </c>
      <c r="S61" s="185">
        <f t="shared" si="61"/>
        <v>0</v>
      </c>
      <c r="T61" s="185">
        <f t="shared" si="62"/>
        <v>0</v>
      </c>
      <c r="U61" s="185">
        <f t="shared" si="63"/>
        <v>0</v>
      </c>
      <c r="V61" s="185">
        <f t="shared" si="64"/>
        <v>0</v>
      </c>
      <c r="W61" s="185">
        <f t="shared" si="65"/>
        <v>0</v>
      </c>
      <c r="X61" s="185">
        <f t="shared" si="66"/>
        <v>0</v>
      </c>
      <c r="Y61" s="185">
        <f t="shared" ca="1" si="67"/>
        <v>5133</v>
      </c>
      <c r="Z61" s="185" t="str">
        <f t="shared" si="68"/>
        <v>Offererad produktnr. 06Foxway Education AB</v>
      </c>
      <c r="AA61" s="185" t="b">
        <f t="shared" si="69"/>
        <v>1</v>
      </c>
      <c r="AB61" s="185" t="b">
        <f t="shared" si="70"/>
        <v>1</v>
      </c>
      <c r="AC61" s="185" t="b">
        <f t="shared" si="71"/>
        <v>1</v>
      </c>
      <c r="AD61" s="185" t="b">
        <f t="shared" si="72"/>
        <v>1</v>
      </c>
      <c r="AE61" s="185" t="b">
        <f>IF($D$56="",TRUE,IF(COUNTIF(Processor!$I$2:$I$9,$D$56)&gt;0,AND(AT61&gt;INDEX(Processor!$J$2:$J$9,MATCH($D$56,Processor!$I$2:$I$9,0)),AT61&lt;INDEX(Processor!$K$2:$K$9,MATCH($D$56,Processor!$I$2:$I$9,0))),IF(AT61=$D$56,TRUE,FALSE)))</f>
        <v>1</v>
      </c>
      <c r="AF61" s="185" t="b">
        <f t="shared" si="73"/>
        <v>1</v>
      </c>
      <c r="AG61" s="185" t="b">
        <f t="shared" si="74"/>
        <v>1</v>
      </c>
      <c r="AH61" s="185" t="b">
        <f t="shared" si="75"/>
        <v>1</v>
      </c>
      <c r="AI61" s="185" t="b">
        <f t="shared" si="76"/>
        <v>1</v>
      </c>
      <c r="AJ61" s="185" t="b">
        <f>IFERROR(IF($D66="",TRUE,IF(MID(BA61,LEN(BA61)-2,1)*1&gt;=MID($D66,LEN($D66)-2,1)*1,TRUE,FALSE)),FALSE)</f>
        <v>1</v>
      </c>
      <c r="AK61" s="185"/>
      <c r="AL61" s="185"/>
      <c r="AM61" s="185"/>
      <c r="AN61" s="185" t="s">
        <v>215</v>
      </c>
      <c r="AO61" s="185">
        <v>1</v>
      </c>
      <c r="AP61" s="185" t="str">
        <f t="shared" ca="1" si="77"/>
        <v>1920x1080</v>
      </c>
      <c r="AQ61" s="185" t="str">
        <f t="shared" ca="1" si="77"/>
        <v>Intel Celeron</v>
      </c>
      <c r="AR61" s="185">
        <f t="shared" ca="1" si="77"/>
        <v>8</v>
      </c>
      <c r="AS61" s="185">
        <f t="shared" ca="1" si="77"/>
        <v>64</v>
      </c>
      <c r="AT61" s="185">
        <f t="shared" ca="1" si="77"/>
        <v>14</v>
      </c>
      <c r="AU61" s="185">
        <f t="shared" ca="1" si="77"/>
        <v>3</v>
      </c>
      <c r="AV61" s="185">
        <f t="shared" ca="1" si="77"/>
        <v>1</v>
      </c>
      <c r="AW61" s="185">
        <f t="shared" ca="1" si="77"/>
        <v>0</v>
      </c>
      <c r="AX61" s="185" t="str">
        <f t="shared" ca="1" si="77"/>
        <v>802.11a/b/g/n/ac/ax</v>
      </c>
      <c r="AY61" s="185">
        <f t="shared" ca="1" si="77"/>
        <v>5</v>
      </c>
      <c r="AZ61" s="185">
        <f t="shared" ca="1" si="78"/>
        <v>11</v>
      </c>
      <c r="BA61" s="185" t="str">
        <f t="shared" ca="1" si="78"/>
        <v>Version 8.0</v>
      </c>
      <c r="BB61" s="185" t="str">
        <f t="shared" ca="1" si="78"/>
        <v>Ja</v>
      </c>
      <c r="BC61" s="185" t="str">
        <f t="shared" ca="1" si="78"/>
        <v>Google Chrome OS</v>
      </c>
      <c r="BD61" s="185" t="str">
        <f t="shared" ca="1" si="78"/>
        <v>Chromebook 14 G7</v>
      </c>
      <c r="BE61" s="185">
        <f t="shared" ca="1" si="78"/>
        <v>5133</v>
      </c>
      <c r="BF61" s="192">
        <f t="shared" ca="1" si="78"/>
        <v>78</v>
      </c>
      <c r="BG61" s="192">
        <f t="shared" ca="1" si="78"/>
        <v>276</v>
      </c>
      <c r="BH61" s="192">
        <f t="shared" ca="1" si="78"/>
        <v>240</v>
      </c>
      <c r="BI61" s="192">
        <f t="shared" ca="1" si="78"/>
        <v>162</v>
      </c>
      <c r="BJ61" s="192">
        <f t="shared" ca="1" si="79"/>
        <v>185</v>
      </c>
      <c r="BK61" s="192">
        <f t="shared" ca="1" si="79"/>
        <v>60</v>
      </c>
      <c r="BL61" s="192">
        <f t="shared" ca="1" si="79"/>
        <v>50</v>
      </c>
      <c r="BM61" s="192" t="str">
        <f t="shared" ca="1" si="79"/>
        <v>V7</v>
      </c>
      <c r="BN61" s="192" t="str">
        <f t="shared" ca="1" si="79"/>
        <v>Targus</v>
      </c>
      <c r="BO61" s="192" t="str">
        <f t="shared" ca="1" si="79"/>
        <v>HP</v>
      </c>
      <c r="BP61" s="192">
        <f t="shared" ca="1" si="79"/>
        <v>0</v>
      </c>
      <c r="BQ61" s="192" t="str">
        <f t="shared" ca="1" si="79"/>
        <v>V7 Elite Sleeve 12"</v>
      </c>
      <c r="BR61" s="192" t="str">
        <f t="shared" ca="1" si="79"/>
        <v>Targus Privacy Screen 14"</v>
      </c>
      <c r="BS61" s="192" t="str">
        <f t="shared" ca="1" si="79"/>
        <v>HP 45W USB-C Power Adapter G2</v>
      </c>
      <c r="BT61" s="192">
        <f t="shared" ca="1" si="79"/>
        <v>0</v>
      </c>
      <c r="BU61" s="192"/>
      <c r="BV61" s="192"/>
      <c r="BW61" s="192" t="str">
        <f t="shared" ca="1" si="80"/>
        <v>Foxway Education AB</v>
      </c>
      <c r="BX61" s="192" t="str">
        <f t="shared" ca="1" si="80"/>
        <v>HP</v>
      </c>
      <c r="BY61" s="185"/>
      <c r="BZ61" s="185"/>
      <c r="CA61" s="185"/>
      <c r="CB61" s="185"/>
      <c r="CC61" s="185"/>
      <c r="CD61" s="185"/>
      <c r="CE61" s="185"/>
      <c r="CF61" s="185"/>
      <c r="CG61" s="185"/>
      <c r="CH61" s="185"/>
      <c r="CI61" s="185"/>
      <c r="CJ61" s="185"/>
      <c r="CK61" s="185"/>
      <c r="CL61" s="185"/>
      <c r="CM61" s="185"/>
    </row>
    <row r="62" spans="2:91" ht="22.5" customHeight="1" outlineLevel="1" x14ac:dyDescent="0.35">
      <c r="C62" s="61" t="s">
        <v>74</v>
      </c>
      <c r="D62" s="64"/>
      <c r="F62" s="78" t="str">
        <f t="shared" si="81"/>
        <v/>
      </c>
      <c r="G62" s="79">
        <f t="shared" ca="1" si="82"/>
        <v>1</v>
      </c>
      <c r="H62" s="79">
        <f t="shared" ca="1" si="82"/>
        <v>2</v>
      </c>
      <c r="I62" s="120">
        <f t="shared" ca="1" si="82"/>
        <v>1</v>
      </c>
      <c r="J62" s="62"/>
      <c r="Q62" s="185">
        <f t="shared" si="59"/>
        <v>0</v>
      </c>
      <c r="R62" s="185">
        <f t="shared" si="60"/>
        <v>0</v>
      </c>
      <c r="S62" s="185">
        <f t="shared" si="61"/>
        <v>0</v>
      </c>
      <c r="T62" s="185">
        <f t="shared" si="62"/>
        <v>0</v>
      </c>
      <c r="U62" s="185">
        <f t="shared" si="63"/>
        <v>0</v>
      </c>
      <c r="V62" s="185">
        <f t="shared" si="64"/>
        <v>0</v>
      </c>
      <c r="W62" s="185">
        <f t="shared" si="65"/>
        <v>0</v>
      </c>
      <c r="X62" s="185">
        <f t="shared" si="66"/>
        <v>0</v>
      </c>
      <c r="Y62" s="185">
        <f t="shared" ca="1" si="67"/>
        <v>2950</v>
      </c>
      <c r="Z62" s="185" t="str">
        <f t="shared" si="68"/>
        <v>Offererad produktnr. 05Qlosr Göteborg AB</v>
      </c>
      <c r="AA62" s="185" t="b">
        <f t="shared" si="69"/>
        <v>1</v>
      </c>
      <c r="AB62" s="185" t="b">
        <f t="shared" si="70"/>
        <v>1</v>
      </c>
      <c r="AC62" s="185" t="b">
        <f t="shared" si="71"/>
        <v>1</v>
      </c>
      <c r="AD62" s="185" t="b">
        <f t="shared" si="72"/>
        <v>1</v>
      </c>
      <c r="AE62" s="185" t="b">
        <f>IF($D$56="",TRUE,IF(COUNTIF(Processor!$I$2:$I$9,$D$56)&gt;0,AND(AT62&gt;INDEX(Processor!$J$2:$J$9,MATCH($D$56,Processor!$I$2:$I$9,0)),AT62&lt;INDEX(Processor!$K$2:$K$9,MATCH($D$56,Processor!$I$2:$I$9,0))),IF(AT62=$D$56,TRUE,FALSE)))</f>
        <v>1</v>
      </c>
      <c r="AF62" s="185" t="b">
        <f t="shared" si="73"/>
        <v>1</v>
      </c>
      <c r="AG62" s="185" t="b">
        <f t="shared" si="74"/>
        <v>1</v>
      </c>
      <c r="AH62" s="185" t="b">
        <f t="shared" si="75"/>
        <v>1</v>
      </c>
      <c r="AI62" s="185" t="b">
        <f t="shared" si="76"/>
        <v>1</v>
      </c>
      <c r="AJ62" s="185" t="b">
        <f>IFERROR(IF($D66="",TRUE,IF(MID(BA62,LEN(BA62)-2,1)*1&gt;=MID($D66,LEN($D66)-2,1)*1,TRUE,FALSE)),FALSE)</f>
        <v>1</v>
      </c>
      <c r="AK62" s="185"/>
      <c r="AL62" s="185"/>
      <c r="AM62" s="185"/>
      <c r="AN62" s="185" t="s">
        <v>556</v>
      </c>
      <c r="AO62" s="185">
        <v>1</v>
      </c>
      <c r="AP62" s="185" t="str">
        <f t="shared" ca="1" si="77"/>
        <v>1366x768</v>
      </c>
      <c r="AQ62" s="185" t="str">
        <f t="shared" ca="1" si="77"/>
        <v>Intel Celeron</v>
      </c>
      <c r="AR62" s="185">
        <f t="shared" ca="1" si="77"/>
        <v>4</v>
      </c>
      <c r="AS62" s="185">
        <f t="shared" ca="1" si="77"/>
        <v>32</v>
      </c>
      <c r="AT62" s="185">
        <f t="shared" ca="1" si="77"/>
        <v>11.6</v>
      </c>
      <c r="AU62" s="185">
        <f t="shared" ca="1" si="77"/>
        <v>2</v>
      </c>
      <c r="AV62" s="185">
        <f t="shared" ca="1" si="77"/>
        <v>1</v>
      </c>
      <c r="AW62" s="185">
        <f t="shared" ca="1" si="77"/>
        <v>0</v>
      </c>
      <c r="AX62" s="185" t="str">
        <f t="shared" ca="1" si="77"/>
        <v>802.11a/b/g/n/ac/ax</v>
      </c>
      <c r="AY62" s="185">
        <f t="shared" ca="1" si="77"/>
        <v>5.0999999999999996</v>
      </c>
      <c r="AZ62" s="185">
        <f t="shared" ca="1" si="78"/>
        <v>11</v>
      </c>
      <c r="BA62" s="185" t="str">
        <f t="shared" ca="1" si="78"/>
        <v>Version 8.0</v>
      </c>
      <c r="BB62" s="185" t="str">
        <f t="shared" ca="1" si="78"/>
        <v>Ja</v>
      </c>
      <c r="BC62" s="185" t="str">
        <f t="shared" ca="1" si="78"/>
        <v>Google Chrome OS</v>
      </c>
      <c r="BD62" s="185" t="str">
        <f t="shared" ca="1" si="78"/>
        <v>Chromebook 3110</v>
      </c>
      <c r="BE62" s="185">
        <f t="shared" ca="1" si="78"/>
        <v>2950</v>
      </c>
      <c r="BF62" s="192">
        <f t="shared" ca="1" si="78"/>
        <v>59</v>
      </c>
      <c r="BG62" s="192">
        <f t="shared" ca="1" si="78"/>
        <v>287</v>
      </c>
      <c r="BH62" s="192">
        <f t="shared" ca="1" si="78"/>
        <v>240</v>
      </c>
      <c r="BI62" s="192">
        <f t="shared" ca="1" si="78"/>
        <v>275</v>
      </c>
      <c r="BJ62" s="192">
        <f t="shared" ca="1" si="79"/>
        <v>70</v>
      </c>
      <c r="BK62" s="192">
        <f t="shared" ca="1" si="79"/>
        <v>25</v>
      </c>
      <c r="BL62" s="192">
        <f t="shared" ca="1" si="79"/>
        <v>25</v>
      </c>
      <c r="BM62" s="192" t="str">
        <f t="shared" ca="1" si="79"/>
        <v>HP</v>
      </c>
      <c r="BN62" s="192" t="str">
        <f t="shared" ca="1" si="79"/>
        <v>Kapsolo</v>
      </c>
      <c r="BO62" s="192" t="str">
        <f t="shared" ca="1" si="79"/>
        <v>Dell</v>
      </c>
      <c r="BP62" s="192">
        <f t="shared" ca="1" si="79"/>
        <v>0</v>
      </c>
      <c r="BQ62" s="192" t="str">
        <f t="shared" ca="1" si="79"/>
        <v>GBX77E81AA</v>
      </c>
      <c r="BR62" s="192" t="str">
        <f t="shared" ca="1" si="79"/>
        <v>GBXKAP10145</v>
      </c>
      <c r="BS62" s="192" t="str">
        <f t="shared" ca="1" si="79"/>
        <v>DELL-921CW</v>
      </c>
      <c r="BT62" s="192">
        <f t="shared" ca="1" si="79"/>
        <v>0</v>
      </c>
      <c r="BU62" s="192"/>
      <c r="BV62" s="192"/>
      <c r="BW62" s="192" t="str">
        <f t="shared" ca="1" si="80"/>
        <v>Qlosr Göteborg AB</v>
      </c>
      <c r="BX62" s="192" t="str">
        <f t="shared" ca="1" si="80"/>
        <v>Dell</v>
      </c>
      <c r="BY62" s="185"/>
      <c r="BZ62" s="185"/>
      <c r="CA62" s="185"/>
      <c r="CB62" s="185"/>
      <c r="CC62" s="185"/>
      <c r="CD62" s="185"/>
      <c r="CE62" s="185"/>
      <c r="CF62" s="185"/>
      <c r="CG62" s="185"/>
      <c r="CH62" s="185"/>
      <c r="CI62" s="185"/>
      <c r="CJ62" s="185"/>
      <c r="CK62" s="185"/>
      <c r="CL62" s="185"/>
      <c r="CM62" s="185"/>
    </row>
    <row r="63" spans="2:91" ht="22.5" customHeight="1" outlineLevel="1" x14ac:dyDescent="0.35">
      <c r="C63" s="61" t="s">
        <v>103</v>
      </c>
      <c r="D63" s="64"/>
      <c r="F63" s="78" t="str">
        <f t="shared" si="81"/>
        <v/>
      </c>
      <c r="G63" s="79" t="str">
        <f t="shared" ca="1" si="82"/>
        <v>802.11a/b/g/n/ac/ax</v>
      </c>
      <c r="H63" s="79" t="str">
        <f t="shared" ca="1" si="82"/>
        <v>802.11a/b/g/n/ac/ax</v>
      </c>
      <c r="I63" s="120" t="str">
        <f t="shared" ca="1" si="82"/>
        <v>802.11a/b/g/n/ac/ax</v>
      </c>
      <c r="J63" s="62"/>
      <c r="Q63" s="185">
        <f t="shared" si="59"/>
        <v>0</v>
      </c>
      <c r="R63" s="185">
        <f t="shared" si="60"/>
        <v>0</v>
      </c>
      <c r="S63" s="185">
        <f t="shared" si="61"/>
        <v>0</v>
      </c>
      <c r="T63" s="185">
        <f t="shared" si="62"/>
        <v>0</v>
      </c>
      <c r="U63" s="185">
        <f t="shared" si="63"/>
        <v>0</v>
      </c>
      <c r="V63" s="185">
        <f t="shared" si="64"/>
        <v>0</v>
      </c>
      <c r="W63" s="185">
        <f t="shared" si="65"/>
        <v>0</v>
      </c>
      <c r="X63" s="185">
        <f t="shared" si="66"/>
        <v>0</v>
      </c>
      <c r="Y63" s="185">
        <f t="shared" ca="1" si="67"/>
        <v>3610</v>
      </c>
      <c r="Z63" s="185" t="str">
        <f t="shared" si="68"/>
        <v>Offererad produktnr. 06Qlosr Göteborg AB</v>
      </c>
      <c r="AA63" s="185" t="b">
        <f t="shared" si="69"/>
        <v>1</v>
      </c>
      <c r="AB63" s="185" t="b">
        <f t="shared" si="70"/>
        <v>1</v>
      </c>
      <c r="AC63" s="185" t="b">
        <f t="shared" si="71"/>
        <v>1</v>
      </c>
      <c r="AD63" s="185" t="b">
        <f t="shared" si="72"/>
        <v>1</v>
      </c>
      <c r="AE63" s="185" t="b">
        <f>IF($D$56="",TRUE,IF(COUNTIF(Processor!$I$2:$I$9,$D$56)&gt;0,AND(AT63&gt;INDEX(Processor!$J$2:$J$9,MATCH($D$56,Processor!$I$2:$I$9,0)),AT63&lt;INDEX(Processor!$K$2:$K$9,MATCH($D$56,Processor!$I$2:$I$9,0))),IF(AT63=$D$56,TRUE,FALSE)))</f>
        <v>1</v>
      </c>
      <c r="AF63" s="185" t="b">
        <f t="shared" si="73"/>
        <v>1</v>
      </c>
      <c r="AG63" s="185" t="b">
        <f t="shared" si="74"/>
        <v>1</v>
      </c>
      <c r="AH63" s="185" t="b">
        <f t="shared" si="75"/>
        <v>1</v>
      </c>
      <c r="AI63" s="185" t="b">
        <f t="shared" si="76"/>
        <v>1</v>
      </c>
      <c r="AJ63" s="185" t="b">
        <f>IFERROR(IF($D66="",TRUE,IF(MID(BA63,LEN(BA63)-2,1)*1&gt;=MID($D66,LEN($D66)-2,1)*1,TRUE,FALSE)),FALSE)</f>
        <v>1</v>
      </c>
      <c r="AK63" s="185"/>
      <c r="AL63" s="185"/>
      <c r="AM63" s="185"/>
      <c r="AN63" s="185" t="s">
        <v>557</v>
      </c>
      <c r="AO63" s="185">
        <v>1</v>
      </c>
      <c r="AP63" s="185" t="str">
        <f t="shared" ca="1" si="77"/>
        <v>1920x1080</v>
      </c>
      <c r="AQ63" s="185" t="str">
        <f t="shared" ca="1" si="77"/>
        <v>Intel Celeron</v>
      </c>
      <c r="AR63" s="185">
        <f t="shared" ca="1" si="77"/>
        <v>8</v>
      </c>
      <c r="AS63" s="185">
        <f t="shared" ca="1" si="77"/>
        <v>64</v>
      </c>
      <c r="AT63" s="185">
        <f t="shared" ca="1" si="77"/>
        <v>14</v>
      </c>
      <c r="AU63" s="185">
        <f t="shared" ca="1" si="77"/>
        <v>3</v>
      </c>
      <c r="AV63" s="185">
        <f t="shared" ca="1" si="77"/>
        <v>1</v>
      </c>
      <c r="AW63" s="185">
        <f t="shared" ca="1" si="77"/>
        <v>0</v>
      </c>
      <c r="AX63" s="185" t="str">
        <f t="shared" ca="1" si="77"/>
        <v>802.11a/b/g/n/ac/ax</v>
      </c>
      <c r="AY63" s="185">
        <f t="shared" ca="1" si="77"/>
        <v>5</v>
      </c>
      <c r="AZ63" s="185">
        <f t="shared" ca="1" si="78"/>
        <v>11</v>
      </c>
      <c r="BA63" s="185" t="str">
        <f t="shared" ca="1" si="78"/>
        <v>Version 8.0</v>
      </c>
      <c r="BB63" s="185" t="str">
        <f t="shared" ca="1" si="78"/>
        <v>Ja</v>
      </c>
      <c r="BC63" s="185" t="str">
        <f t="shared" ca="1" si="78"/>
        <v>Google Chrome OS</v>
      </c>
      <c r="BD63" s="185" t="str">
        <f t="shared" ca="1" si="78"/>
        <v>Chromebook 14 G7</v>
      </c>
      <c r="BE63" s="185">
        <f t="shared" ca="1" si="78"/>
        <v>3610</v>
      </c>
      <c r="BF63" s="192">
        <f t="shared" ca="1" si="78"/>
        <v>64</v>
      </c>
      <c r="BG63" s="192">
        <f t="shared" ca="1" si="78"/>
        <v>298</v>
      </c>
      <c r="BH63" s="192">
        <f t="shared" ca="1" si="78"/>
        <v>198</v>
      </c>
      <c r="BI63" s="192">
        <f t="shared" ca="1" si="78"/>
        <v>125</v>
      </c>
      <c r="BJ63" s="192">
        <f t="shared" ca="1" si="79"/>
        <v>70</v>
      </c>
      <c r="BK63" s="192">
        <f t="shared" ca="1" si="79"/>
        <v>25</v>
      </c>
      <c r="BL63" s="192">
        <f t="shared" ca="1" si="79"/>
        <v>25</v>
      </c>
      <c r="BM63" s="192" t="str">
        <f t="shared" ca="1" si="79"/>
        <v>HP</v>
      </c>
      <c r="BN63" s="192" t="str">
        <f t="shared" ca="1" si="79"/>
        <v>Kapsolo</v>
      </c>
      <c r="BO63" s="192" t="str">
        <f t="shared" ca="1" si="79"/>
        <v>HP</v>
      </c>
      <c r="BP63" s="192">
        <f t="shared" ca="1" si="79"/>
        <v>0</v>
      </c>
      <c r="BQ63" s="192" t="str">
        <f t="shared" ca="1" si="79"/>
        <v>GBX2UW01AA</v>
      </c>
      <c r="BR63" s="192" t="str">
        <f t="shared" ca="1" si="79"/>
        <v>GBXKAP10478</v>
      </c>
      <c r="BS63" s="192" t="str">
        <f t="shared" ca="1" si="79"/>
        <v>GBX1HE07AA</v>
      </c>
      <c r="BT63" s="192">
        <f t="shared" ca="1" si="79"/>
        <v>0</v>
      </c>
      <c r="BU63" s="192"/>
      <c r="BV63" s="192"/>
      <c r="BW63" s="192" t="str">
        <f t="shared" ca="1" si="80"/>
        <v>Qlosr Göteborg AB</v>
      </c>
      <c r="BX63" s="192" t="str">
        <f t="shared" ca="1" si="80"/>
        <v>HP</v>
      </c>
      <c r="BY63" s="185"/>
      <c r="BZ63" s="185"/>
      <c r="CA63" s="185"/>
      <c r="CB63" s="185"/>
      <c r="CC63" s="185"/>
      <c r="CD63" s="185"/>
      <c r="CE63" s="185"/>
      <c r="CF63" s="185"/>
      <c r="CG63" s="185"/>
      <c r="CH63" s="185"/>
      <c r="CI63" s="185"/>
      <c r="CJ63" s="185"/>
      <c r="CK63" s="185"/>
      <c r="CL63" s="185"/>
      <c r="CM63" s="185"/>
    </row>
    <row r="64" spans="2:91" ht="33.75" customHeight="1" outlineLevel="1" x14ac:dyDescent="0.35">
      <c r="C64" s="61" t="s">
        <v>75</v>
      </c>
      <c r="D64" s="110"/>
      <c r="F64" s="78" t="str">
        <f t="shared" si="81"/>
        <v/>
      </c>
      <c r="G64" s="79">
        <f t="shared" ca="1" si="82"/>
        <v>5.0999999999999996</v>
      </c>
      <c r="H64" s="79">
        <f t="shared" ca="1" si="82"/>
        <v>5</v>
      </c>
      <c r="I64" s="120">
        <f t="shared" ca="1" si="82"/>
        <v>5</v>
      </c>
      <c r="J64" s="94"/>
      <c r="BF64" s="63"/>
      <c r="BG64" s="63"/>
      <c r="BH64" s="63"/>
      <c r="BI64" s="63"/>
      <c r="BJ64" s="63"/>
      <c r="BK64" s="63"/>
      <c r="BL64" s="63"/>
      <c r="BM64" s="63"/>
      <c r="BN64" s="63"/>
      <c r="BO64" s="63"/>
      <c r="BP64" s="63"/>
      <c r="BQ64" s="63"/>
      <c r="BR64" s="63"/>
      <c r="BS64" s="63"/>
      <c r="BT64" s="63"/>
      <c r="BU64" s="63"/>
      <c r="BV64" s="63"/>
      <c r="BW64" s="63"/>
      <c r="BX64" s="63"/>
    </row>
    <row r="65" spans="2:76" ht="33.75" customHeight="1" outlineLevel="1" x14ac:dyDescent="0.35">
      <c r="C65" s="61" t="s">
        <v>120</v>
      </c>
      <c r="D65" s="65"/>
      <c r="F65" s="80" t="str">
        <f t="shared" si="81"/>
        <v/>
      </c>
      <c r="G65" s="81">
        <f t="shared" ca="1" si="82"/>
        <v>11</v>
      </c>
      <c r="H65" s="81">
        <f t="shared" ca="1" si="82"/>
        <v>11</v>
      </c>
      <c r="I65" s="121">
        <f t="shared" ca="1" si="82"/>
        <v>11</v>
      </c>
      <c r="J65" s="62"/>
      <c r="BF65" s="63"/>
      <c r="BG65" s="63"/>
      <c r="BH65" s="63"/>
      <c r="BI65" s="63"/>
      <c r="BJ65" s="63"/>
      <c r="BK65" s="63"/>
      <c r="BL65" s="63"/>
      <c r="BM65" s="63"/>
      <c r="BN65" s="63"/>
      <c r="BO65" s="63"/>
      <c r="BP65" s="63"/>
      <c r="BQ65" s="63"/>
      <c r="BR65" s="63"/>
      <c r="BS65" s="63"/>
      <c r="BT65" s="63"/>
      <c r="BU65" s="63"/>
      <c r="BV65" s="63"/>
      <c r="BW65" s="63"/>
      <c r="BX65" s="63"/>
    </row>
    <row r="66" spans="2:76" ht="33.75" customHeight="1" outlineLevel="1" x14ac:dyDescent="0.35">
      <c r="C66" s="61" t="s">
        <v>38</v>
      </c>
      <c r="D66" s="64"/>
      <c r="F66" s="78" t="str">
        <f t="shared" si="81"/>
        <v/>
      </c>
      <c r="G66" s="81" t="str">
        <f t="shared" ca="1" si="82"/>
        <v>Version 8.0</v>
      </c>
      <c r="H66" s="81" t="str">
        <f t="shared" ca="1" si="82"/>
        <v>Version 8.0</v>
      </c>
      <c r="I66" s="121" t="str">
        <f t="shared" ca="1" si="82"/>
        <v>Version 8.0</v>
      </c>
      <c r="J66" s="62"/>
      <c r="BF66" s="63"/>
      <c r="BG66" s="63"/>
      <c r="BH66" s="63"/>
      <c r="BI66" s="63"/>
      <c r="BJ66" s="63"/>
      <c r="BK66" s="63"/>
      <c r="BL66" s="63"/>
      <c r="BM66" s="63"/>
      <c r="BN66" s="63"/>
      <c r="BO66" s="63"/>
      <c r="BP66" s="63"/>
      <c r="BQ66" s="63"/>
      <c r="BR66" s="63"/>
      <c r="BS66" s="63"/>
      <c r="BT66" s="63"/>
      <c r="BU66" s="63"/>
      <c r="BV66" s="63"/>
      <c r="BW66" s="63"/>
      <c r="BX66" s="63"/>
    </row>
    <row r="67" spans="2:76" ht="33.75" customHeight="1" outlineLevel="1" x14ac:dyDescent="0.35">
      <c r="C67" s="61" t="s">
        <v>37</v>
      </c>
      <c r="D67" s="64"/>
      <c r="F67" s="78" t="str">
        <f t="shared" si="81"/>
        <v/>
      </c>
      <c r="G67" s="79" t="str">
        <f t="shared" ca="1" si="82"/>
        <v>Ja</v>
      </c>
      <c r="H67" s="79" t="str">
        <f t="shared" ca="1" si="82"/>
        <v>Ja</v>
      </c>
      <c r="I67" s="120" t="str">
        <f t="shared" ca="1" si="82"/>
        <v>Ja</v>
      </c>
      <c r="J67" s="62"/>
      <c r="BF67" s="63"/>
      <c r="BG67" s="63"/>
      <c r="BH67" s="63"/>
      <c r="BI67" s="63"/>
      <c r="BJ67" s="63"/>
      <c r="BK67" s="63"/>
      <c r="BL67" s="63"/>
      <c r="BM67" s="63"/>
      <c r="BN67" s="63"/>
      <c r="BO67" s="63"/>
      <c r="BP67" s="63"/>
      <c r="BQ67" s="63"/>
      <c r="BR67" s="63"/>
      <c r="BS67" s="63"/>
      <c r="BT67" s="63"/>
      <c r="BU67" s="63"/>
      <c r="BV67" s="63"/>
      <c r="BW67" s="63"/>
      <c r="BX67" s="63"/>
    </row>
    <row r="68" spans="2:76" ht="23.25" customHeight="1" outlineLevel="1" x14ac:dyDescent="0.35">
      <c r="C68" s="66"/>
      <c r="D68" s="67"/>
      <c r="G68" s="62"/>
      <c r="H68" s="62"/>
      <c r="I68" s="62"/>
      <c r="J68" s="62"/>
      <c r="BF68" s="63"/>
      <c r="BG68" s="63"/>
      <c r="BH68" s="63"/>
      <c r="BI68" s="63"/>
      <c r="BJ68" s="63"/>
      <c r="BK68" s="63"/>
      <c r="BL68" s="63"/>
      <c r="BM68" s="63"/>
      <c r="BN68" s="63"/>
      <c r="BO68" s="63"/>
      <c r="BP68" s="63"/>
      <c r="BQ68" s="63"/>
      <c r="BR68" s="63"/>
      <c r="BS68" s="63"/>
      <c r="BT68" s="63"/>
      <c r="BU68" s="63"/>
      <c r="BV68" s="63"/>
      <c r="BW68" s="63"/>
      <c r="BX68" s="63"/>
    </row>
    <row r="69" spans="2:76" ht="23.25" customHeight="1" outlineLevel="1" x14ac:dyDescent="0.35">
      <c r="C69" s="212" t="s">
        <v>366</v>
      </c>
      <c r="D69" s="213"/>
      <c r="E69" s="213"/>
      <c r="F69" s="213"/>
      <c r="G69" s="213"/>
      <c r="H69" s="213"/>
      <c r="I69" s="214"/>
      <c r="J69" s="62"/>
      <c r="BF69" s="63"/>
      <c r="BG69" s="63"/>
      <c r="BH69" s="63"/>
      <c r="BI69" s="63"/>
      <c r="BJ69" s="63"/>
      <c r="BK69" s="63"/>
      <c r="BL69" s="63"/>
      <c r="BM69" s="63"/>
      <c r="BN69" s="63"/>
      <c r="BO69" s="63"/>
      <c r="BP69" s="63"/>
      <c r="BQ69" s="63"/>
      <c r="BR69" s="63"/>
      <c r="BS69" s="63"/>
      <c r="BT69" s="63"/>
      <c r="BU69" s="63"/>
      <c r="BV69" s="63"/>
      <c r="BW69" s="63"/>
      <c r="BX69" s="63"/>
    </row>
    <row r="70" spans="2:76" ht="23.25" customHeight="1" outlineLevel="1" x14ac:dyDescent="0.35">
      <c r="B70" s="69" t="s">
        <v>53</v>
      </c>
      <c r="C70" s="95" t="s">
        <v>363</v>
      </c>
      <c r="D70" s="70"/>
      <c r="F70" s="159" t="str">
        <f t="shared" ref="F70:F78" si="83">IF(F$52="Inget antal angivet","",IFERROR(INDEX($AP$53:$BX$77,MATCH(F$49,$AN$53:$AN$77,0),MATCH($B70,$AP$53:$BX$53,0)),""))</f>
        <v/>
      </c>
      <c r="G70" s="160">
        <f t="shared" ref="G70:I78" ca="1" si="84">IFERROR(INDEX($AP$53:$BX$77,MATCH(G$49,$AN$53:$AN$77,0),MATCH($B70,$AP$53:$BX$53,0)),"")</f>
        <v>59</v>
      </c>
      <c r="H70" s="160">
        <f t="shared" ca="1" si="84"/>
        <v>87</v>
      </c>
      <c r="I70" s="160">
        <f t="shared" ca="1" si="84"/>
        <v>64</v>
      </c>
      <c r="J70" s="73"/>
      <c r="BF70" s="63"/>
      <c r="BG70" s="63"/>
      <c r="BH70" s="63"/>
      <c r="BI70" s="63"/>
      <c r="BJ70" s="63"/>
      <c r="BK70" s="63"/>
      <c r="BL70" s="63"/>
      <c r="BM70" s="63"/>
      <c r="BN70" s="63"/>
      <c r="BO70" s="63"/>
      <c r="BP70" s="63"/>
      <c r="BQ70" s="63"/>
      <c r="BR70" s="63"/>
      <c r="BS70" s="63"/>
      <c r="BT70" s="63"/>
      <c r="BU70" s="63"/>
      <c r="BV70" s="63"/>
      <c r="BW70" s="63"/>
      <c r="BX70" s="63"/>
    </row>
    <row r="71" spans="2:76" ht="23.25" customHeight="1" outlineLevel="1" x14ac:dyDescent="0.35">
      <c r="B71" s="69" t="s">
        <v>340</v>
      </c>
      <c r="C71" s="96" t="s">
        <v>51</v>
      </c>
      <c r="D71" s="131" t="str">
        <f>IF("Ska Ingå"=D70,"Ska Ingå","")</f>
        <v/>
      </c>
      <c r="F71" s="84" t="str">
        <f t="shared" si="83"/>
        <v/>
      </c>
      <c r="G71" s="85" t="str">
        <f t="shared" ca="1" si="84"/>
        <v>HP</v>
      </c>
      <c r="H71" s="85" t="str">
        <f t="shared" ca="1" si="84"/>
        <v>Cirafon</v>
      </c>
      <c r="I71" s="85" t="str">
        <f t="shared" ca="1" si="84"/>
        <v>HP</v>
      </c>
      <c r="J71" s="54"/>
      <c r="BF71" s="63"/>
      <c r="BG71" s="63"/>
      <c r="BH71" s="63"/>
      <c r="BI71" s="63"/>
      <c r="BJ71" s="63"/>
      <c r="BK71" s="63"/>
      <c r="BL71" s="63"/>
      <c r="BM71" s="63"/>
      <c r="BN71" s="63"/>
      <c r="BO71" s="63"/>
      <c r="BP71" s="63"/>
      <c r="BQ71" s="63"/>
      <c r="BR71" s="63"/>
      <c r="BS71" s="63"/>
      <c r="BT71" s="63"/>
      <c r="BU71" s="63"/>
      <c r="BV71" s="63"/>
      <c r="BW71" s="63"/>
      <c r="BX71" s="63"/>
    </row>
    <row r="72" spans="2:76" ht="67.5" customHeight="1" outlineLevel="1" x14ac:dyDescent="0.35">
      <c r="B72" s="69" t="s">
        <v>345</v>
      </c>
      <c r="C72" s="97" t="s">
        <v>52</v>
      </c>
      <c r="D72" s="132" t="str">
        <f>IF("Ska Ingå"=D70,"Ska Ingå","")</f>
        <v/>
      </c>
      <c r="F72" s="86" t="str">
        <f t="shared" si="83"/>
        <v/>
      </c>
      <c r="G72" s="87" t="str">
        <f t="shared" ca="1" si="84"/>
        <v>GBX77E81AA</v>
      </c>
      <c r="H72" s="87" t="str">
        <f t="shared" ca="1" si="84"/>
        <v>LSN9117-11</v>
      </c>
      <c r="I72" s="87" t="str">
        <f t="shared" ca="1" si="84"/>
        <v>GBX2UW01AA</v>
      </c>
      <c r="J72" s="73"/>
      <c r="BF72" s="63"/>
      <c r="BG72" s="63"/>
      <c r="BH72" s="63"/>
      <c r="BI72" s="63"/>
      <c r="BJ72" s="63"/>
      <c r="BK72" s="63"/>
      <c r="BL72" s="63"/>
      <c r="BM72" s="63"/>
      <c r="BN72" s="63"/>
      <c r="BO72" s="63"/>
      <c r="BP72" s="63"/>
      <c r="BQ72" s="63"/>
      <c r="BR72" s="63"/>
      <c r="BS72" s="63"/>
      <c r="BT72" s="63"/>
      <c r="BU72" s="63"/>
      <c r="BV72" s="63"/>
      <c r="BW72" s="63"/>
      <c r="BX72" s="63"/>
    </row>
    <row r="73" spans="2:76" ht="23.25" customHeight="1" outlineLevel="1" x14ac:dyDescent="0.35">
      <c r="B73" s="69" t="s">
        <v>54</v>
      </c>
      <c r="C73" s="98" t="s">
        <v>77</v>
      </c>
      <c r="D73" s="70"/>
      <c r="F73" s="157" t="str">
        <f t="shared" si="83"/>
        <v/>
      </c>
      <c r="G73" s="158">
        <f t="shared" ca="1" si="84"/>
        <v>287</v>
      </c>
      <c r="H73" s="158">
        <f t="shared" ca="1" si="84"/>
        <v>123</v>
      </c>
      <c r="I73" s="158">
        <f t="shared" ca="1" si="84"/>
        <v>298</v>
      </c>
      <c r="J73" s="54"/>
      <c r="BF73" s="63"/>
      <c r="BG73" s="63"/>
      <c r="BH73" s="63"/>
      <c r="BI73" s="63"/>
      <c r="BJ73" s="63"/>
      <c r="BK73" s="63"/>
      <c r="BL73" s="63"/>
      <c r="BM73" s="63"/>
      <c r="BN73" s="63"/>
      <c r="BO73" s="63"/>
      <c r="BP73" s="63"/>
      <c r="BQ73" s="63"/>
      <c r="BR73" s="63"/>
      <c r="BS73" s="63"/>
      <c r="BT73" s="63"/>
      <c r="BU73" s="63"/>
      <c r="BV73" s="63"/>
      <c r="BW73" s="63"/>
      <c r="BX73" s="63"/>
    </row>
    <row r="74" spans="2:76" ht="23.25" customHeight="1" outlineLevel="1" x14ac:dyDescent="0.35">
      <c r="B74" s="69" t="s">
        <v>341</v>
      </c>
      <c r="C74" s="61" t="s">
        <v>51</v>
      </c>
      <c r="D74" s="131" t="str">
        <f>IF("Ska Ingå"=D73,"Ska Ingå","")</f>
        <v/>
      </c>
      <c r="F74" s="88" t="str">
        <f t="shared" si="83"/>
        <v/>
      </c>
      <c r="G74" s="89" t="str">
        <f t="shared" ca="1" si="84"/>
        <v>Kapsolo</v>
      </c>
      <c r="H74" s="89" t="str">
        <f t="shared" ca="1" si="84"/>
        <v>Cirafon</v>
      </c>
      <c r="I74" s="89" t="str">
        <f t="shared" ca="1" si="84"/>
        <v>Kapsolo</v>
      </c>
      <c r="J74" s="73"/>
      <c r="BF74" s="63"/>
      <c r="BG74" s="63"/>
      <c r="BH74" s="63"/>
      <c r="BI74" s="63"/>
      <c r="BJ74" s="63"/>
      <c r="BK74" s="63"/>
      <c r="BL74" s="63"/>
      <c r="BM74" s="63"/>
      <c r="BN74" s="63"/>
      <c r="BO74" s="63"/>
      <c r="BP74" s="63"/>
      <c r="BQ74" s="63"/>
      <c r="BR74" s="63"/>
      <c r="BS74" s="63"/>
      <c r="BT74" s="63"/>
      <c r="BU74" s="63"/>
      <c r="BV74" s="63"/>
      <c r="BW74" s="63"/>
      <c r="BX74" s="63"/>
    </row>
    <row r="75" spans="2:76" ht="68.25" customHeight="1" outlineLevel="1" x14ac:dyDescent="0.35">
      <c r="B75" s="69" t="s">
        <v>346</v>
      </c>
      <c r="C75" s="99" t="s">
        <v>52</v>
      </c>
      <c r="D75" s="132" t="str">
        <f>IF("Ska Ingå"=D73,"Ska Ingå","")</f>
        <v/>
      </c>
      <c r="F75" s="90" t="str">
        <f t="shared" si="83"/>
        <v/>
      </c>
      <c r="G75" s="91" t="str">
        <f t="shared" ca="1" si="84"/>
        <v>GBXKAP10145</v>
      </c>
      <c r="H75" s="91" t="str">
        <f t="shared" ca="1" si="84"/>
        <v>DPF11.6-9</v>
      </c>
      <c r="I75" s="91" t="str">
        <f t="shared" ca="1" si="84"/>
        <v>GBXKAP10478</v>
      </c>
      <c r="J75" s="54"/>
      <c r="BF75" s="63"/>
      <c r="BG75" s="63"/>
      <c r="BH75" s="63"/>
      <c r="BI75" s="63"/>
      <c r="BJ75" s="63"/>
      <c r="BK75" s="63"/>
      <c r="BL75" s="63"/>
      <c r="BM75" s="63"/>
      <c r="BN75" s="63"/>
      <c r="BO75" s="63"/>
      <c r="BP75" s="63"/>
      <c r="BQ75" s="63"/>
      <c r="BR75" s="63"/>
      <c r="BS75" s="63"/>
      <c r="BT75" s="63"/>
      <c r="BU75" s="63"/>
      <c r="BV75" s="63"/>
      <c r="BW75" s="63"/>
      <c r="BX75" s="63"/>
    </row>
    <row r="76" spans="2:76" ht="31.5" customHeight="1" outlineLevel="1" x14ac:dyDescent="0.35">
      <c r="B76" s="69" t="s">
        <v>55</v>
      </c>
      <c r="C76" s="95" t="s">
        <v>371</v>
      </c>
      <c r="D76" s="70"/>
      <c r="F76" s="159" t="str">
        <f t="shared" si="83"/>
        <v/>
      </c>
      <c r="G76" s="160">
        <f t="shared" ca="1" si="84"/>
        <v>240</v>
      </c>
      <c r="H76" s="160">
        <f t="shared" ca="1" si="84"/>
        <v>249</v>
      </c>
      <c r="I76" s="160">
        <f t="shared" ca="1" si="84"/>
        <v>198</v>
      </c>
      <c r="BF76" s="63"/>
      <c r="BG76" s="63"/>
      <c r="BH76" s="63"/>
      <c r="BI76" s="63"/>
      <c r="BJ76" s="63"/>
      <c r="BK76" s="63"/>
      <c r="BL76" s="63"/>
      <c r="BM76" s="63"/>
      <c r="BN76" s="63"/>
      <c r="BO76" s="63"/>
      <c r="BP76" s="63"/>
      <c r="BQ76" s="63"/>
      <c r="BR76" s="63"/>
      <c r="BS76" s="63"/>
      <c r="BT76" s="63"/>
      <c r="BU76" s="63"/>
      <c r="BV76" s="63"/>
      <c r="BW76" s="63"/>
      <c r="BX76" s="63"/>
    </row>
    <row r="77" spans="2:76" ht="23.25" customHeight="1" outlineLevel="1" x14ac:dyDescent="0.35">
      <c r="B77" s="69" t="s">
        <v>342</v>
      </c>
      <c r="C77" s="96" t="s">
        <v>51</v>
      </c>
      <c r="D77" s="131" t="str">
        <f>IF("Ska Ingå"=D76,"Ska Ingå","")</f>
        <v/>
      </c>
      <c r="F77" s="84" t="str">
        <f t="shared" si="83"/>
        <v/>
      </c>
      <c r="G77" s="85" t="str">
        <f t="shared" ca="1" si="84"/>
        <v>Dell</v>
      </c>
      <c r="H77" s="85" t="str">
        <f t="shared" ca="1" si="84"/>
        <v>HP</v>
      </c>
      <c r="I77" s="85" t="str">
        <f t="shared" ca="1" si="84"/>
        <v>HP</v>
      </c>
      <c r="BF77" s="63"/>
      <c r="BG77" s="63"/>
      <c r="BH77" s="63"/>
      <c r="BI77" s="63"/>
      <c r="BJ77" s="63"/>
      <c r="BK77" s="63"/>
      <c r="BL77" s="63"/>
      <c r="BM77" s="63"/>
      <c r="BN77" s="63"/>
      <c r="BO77" s="63"/>
      <c r="BP77" s="63"/>
      <c r="BQ77" s="63"/>
      <c r="BR77" s="63"/>
      <c r="BS77" s="63"/>
      <c r="BT77" s="63"/>
      <c r="BU77" s="63"/>
      <c r="BV77" s="63"/>
      <c r="BW77" s="63"/>
      <c r="BX77" s="63"/>
    </row>
    <row r="78" spans="2:76" ht="66.75" customHeight="1" outlineLevel="1" x14ac:dyDescent="0.35">
      <c r="B78" s="69" t="s">
        <v>347</v>
      </c>
      <c r="C78" s="97" t="s">
        <v>52</v>
      </c>
      <c r="D78" s="132" t="str">
        <f>IF("Ska Ingå"=D76,"Ska Ingå","")</f>
        <v/>
      </c>
      <c r="F78" s="86" t="str">
        <f t="shared" si="83"/>
        <v/>
      </c>
      <c r="G78" s="87" t="str">
        <f t="shared" ca="1" si="84"/>
        <v>DELL-921CW</v>
      </c>
      <c r="H78" s="87" t="str">
        <f t="shared" ca="1" si="84"/>
        <v>1MZ01AA</v>
      </c>
      <c r="I78" s="87" t="str">
        <f t="shared" ca="1" si="84"/>
        <v>GBX1HE07AA</v>
      </c>
    </row>
    <row r="79" spans="2:76" ht="23.25" customHeight="1" outlineLevel="1" x14ac:dyDescent="0.35">
      <c r="B79" s="69"/>
      <c r="C79" s="220" t="s">
        <v>365</v>
      </c>
      <c r="D79" s="220"/>
      <c r="E79" s="220"/>
      <c r="F79" s="220"/>
      <c r="G79" s="220"/>
      <c r="H79" s="220"/>
      <c r="I79" s="220"/>
    </row>
    <row r="80" spans="2:76" ht="23.25" customHeight="1" outlineLevel="1" x14ac:dyDescent="0.35">
      <c r="B80" s="71" t="s">
        <v>228</v>
      </c>
      <c r="C80" s="96" t="s">
        <v>367</v>
      </c>
      <c r="D80" s="70"/>
      <c r="F80" s="163" t="str">
        <f>IF(F$52="Inget antal angivet","",IFERROR(INDEX($AP$53:$BX$77,MATCH(F$49,$AN$53:$AN$77,0),MATCH($B80,$AP$53:$BX$53,0)),""))</f>
        <v/>
      </c>
      <c r="G80" s="164">
        <f t="shared" ref="G80:I83" ca="1" si="85">IFERROR(INDEX($AP$53:$BX$77,MATCH(G$49,$AN$53:$AN$77,0),MATCH($B80,$AP$53:$BX$53,0)),"")</f>
        <v>275</v>
      </c>
      <c r="H80" s="164">
        <f t="shared" ca="1" si="85"/>
        <v>131</v>
      </c>
      <c r="I80" s="164">
        <f t="shared" ca="1" si="85"/>
        <v>125</v>
      </c>
    </row>
    <row r="81" spans="2:91" ht="23.25" customHeight="1" outlineLevel="1" x14ac:dyDescent="0.35">
      <c r="B81" s="71" t="s">
        <v>229</v>
      </c>
      <c r="C81" s="61" t="s">
        <v>368</v>
      </c>
      <c r="D81" s="70"/>
      <c r="F81" s="165" t="str">
        <f>IF(F$52="Inget antal angivet","",IFERROR(INDEX($AP$53:$BX$77,MATCH(F$49,$AN$53:$AN$77,0),MATCH($B81,$AP$53:$BX$53,0)),""))</f>
        <v/>
      </c>
      <c r="G81" s="166">
        <f t="shared" ca="1" si="85"/>
        <v>70</v>
      </c>
      <c r="H81" s="166">
        <f t="shared" ca="1" si="85"/>
        <v>133</v>
      </c>
      <c r="I81" s="166">
        <f t="shared" ca="1" si="85"/>
        <v>70</v>
      </c>
    </row>
    <row r="82" spans="2:91" ht="23.25" customHeight="1" outlineLevel="1" x14ac:dyDescent="0.35">
      <c r="B82" s="71" t="s">
        <v>230</v>
      </c>
      <c r="C82" s="96" t="s">
        <v>369</v>
      </c>
      <c r="D82" s="70"/>
      <c r="F82" s="163" t="str">
        <f>IF(F$52="Inget antal angivet","",IFERROR(INDEX($AP$53:$BX$77,MATCH(F$49,$AN$53:$AN$77,0),MATCH($B82,$AP$53:$BX$53,0)),""))</f>
        <v/>
      </c>
      <c r="G82" s="164">
        <f t="shared" ca="1" si="85"/>
        <v>25</v>
      </c>
      <c r="H82" s="164">
        <f t="shared" ca="1" si="85"/>
        <v>20</v>
      </c>
      <c r="I82" s="164">
        <f t="shared" ca="1" si="85"/>
        <v>25</v>
      </c>
    </row>
    <row r="83" spans="2:91" ht="23.25" customHeight="1" outlineLevel="1" x14ac:dyDescent="0.35">
      <c r="B83" s="71" t="s">
        <v>231</v>
      </c>
      <c r="C83" s="61" t="s">
        <v>370</v>
      </c>
      <c r="D83" s="70"/>
      <c r="F83" s="165" t="str">
        <f>IF(F$52="Inget antal angivet","",IFERROR(INDEX($AP$53:$BX$77,MATCH(F$49,$AN$53:$AN$77,0),MATCH($B83,$AP$53:$BX$53,0)),""))</f>
        <v/>
      </c>
      <c r="G83" s="166">
        <f t="shared" ca="1" si="85"/>
        <v>25</v>
      </c>
      <c r="H83" s="166">
        <f t="shared" ca="1" si="85"/>
        <v>20</v>
      </c>
      <c r="I83" s="166">
        <f t="shared" ca="1" si="85"/>
        <v>25</v>
      </c>
    </row>
    <row r="84" spans="2:91" ht="23.25" customHeight="1" outlineLevel="1" x14ac:dyDescent="0.35"/>
    <row r="85" spans="2:91" ht="23.25" customHeight="1" collapsed="1" x14ac:dyDescent="0.35"/>
    <row r="86" spans="2:91" ht="23.25" customHeight="1" x14ac:dyDescent="0.35">
      <c r="D86" s="72" t="s">
        <v>233</v>
      </c>
      <c r="E86" s="1"/>
      <c r="F86" s="221" t="s">
        <v>252</v>
      </c>
      <c r="G86" s="221"/>
      <c r="H86" s="221"/>
      <c r="I86" s="222"/>
    </row>
    <row r="87" spans="2:91" ht="23.25" customHeight="1" x14ac:dyDescent="0.35">
      <c r="D87" s="74"/>
      <c r="F87" s="202" t="str">
        <f ca="1">IFERROR(INDEX($Y$54:$Y$65,MATCH(F49,$Z$54:$Z$65,0)) *D87,"")</f>
        <v/>
      </c>
      <c r="G87" s="202">
        <f ca="1">IFERROR(P54 *D87,"")</f>
        <v>0</v>
      </c>
      <c r="H87" s="202">
        <f ca="1">IFERROR(P55 *D87,"")</f>
        <v>0</v>
      </c>
      <c r="I87" s="202">
        <f ca="1">IFERROR(P56 * D87,"")</f>
        <v>0</v>
      </c>
    </row>
    <row r="89" spans="2:91" ht="15" thickBot="1" x14ac:dyDescent="0.4">
      <c r="C89" s="174"/>
      <c r="D89" s="174"/>
      <c r="E89" s="174"/>
      <c r="F89" s="174"/>
      <c r="G89" s="174"/>
      <c r="H89" s="174"/>
      <c r="I89" s="174"/>
    </row>
    <row r="90" spans="2:91" ht="15" thickTop="1" x14ac:dyDescent="0.35"/>
    <row r="91" spans="2:91" ht="68.25" hidden="1" customHeight="1" collapsed="1" x14ac:dyDescent="0.35">
      <c r="C91" s="53"/>
      <c r="D91" s="53"/>
      <c r="F91" s="50" t="e">
        <f ca="1">N95</f>
        <v>#N/A</v>
      </c>
      <c r="G91" s="50" t="str">
        <f ca="1">INDEX(Z96:Z119,MATCH(P96,Y96:Y119,0))</f>
        <v>Offererad produktnr. 05Qlosr Göteborg AB</v>
      </c>
      <c r="H91" s="50" t="str">
        <f ca="1">INDEX(Z95:Z118,MATCH(P97,Y95:Y118,0))</f>
        <v>Offererad produktnr. 05Dustin Sverige AB</v>
      </c>
      <c r="I91" s="50" t="str">
        <f ca="1">INDEX(Z95:Z118,MATCH(P98,Y95:Y118,0))</f>
        <v>Offererad produktnr. 06Qlosr Göteborg AB</v>
      </c>
      <c r="AP91" s="12" t="s">
        <v>124</v>
      </c>
      <c r="AQ91" s="12" t="s">
        <v>124</v>
      </c>
      <c r="AR91" s="12" t="s">
        <v>124</v>
      </c>
      <c r="AS91" s="12" t="s">
        <v>124</v>
      </c>
      <c r="AT91" s="12" t="s">
        <v>124</v>
      </c>
      <c r="AU91" s="12" t="s">
        <v>124</v>
      </c>
      <c r="AV91" s="12" t="s">
        <v>124</v>
      </c>
      <c r="AW91" s="12" t="s">
        <v>124</v>
      </c>
      <c r="AX91" s="12" t="s">
        <v>124</v>
      </c>
      <c r="AY91" s="12" t="s">
        <v>124</v>
      </c>
      <c r="AZ91" s="12" t="s">
        <v>124</v>
      </c>
      <c r="BA91" s="12" t="s">
        <v>124</v>
      </c>
      <c r="BB91" s="12" t="s">
        <v>124</v>
      </c>
      <c r="BC91" s="12" t="s">
        <v>124</v>
      </c>
      <c r="BD91" s="12" t="s">
        <v>124</v>
      </c>
      <c r="BE91" s="12" t="s">
        <v>124</v>
      </c>
      <c r="BF91" s="12" t="s">
        <v>124</v>
      </c>
      <c r="BG91" s="12" t="s">
        <v>124</v>
      </c>
      <c r="BH91" s="12" t="s">
        <v>124</v>
      </c>
      <c r="BI91" s="12" t="s">
        <v>124</v>
      </c>
      <c r="BJ91" s="12" t="s">
        <v>124</v>
      </c>
      <c r="BK91" s="12" t="s">
        <v>124</v>
      </c>
      <c r="BL91" s="12" t="s">
        <v>124</v>
      </c>
      <c r="BM91" s="12" t="s">
        <v>124</v>
      </c>
      <c r="BN91" s="12" t="s">
        <v>124</v>
      </c>
      <c r="BO91" s="12" t="s">
        <v>124</v>
      </c>
      <c r="BP91" s="12" t="s">
        <v>124</v>
      </c>
      <c r="BQ91" s="12" t="s">
        <v>124</v>
      </c>
      <c r="BR91" s="12" t="s">
        <v>124</v>
      </c>
      <c r="BS91" s="12" t="s">
        <v>124</v>
      </c>
      <c r="BT91" s="12" t="s">
        <v>124</v>
      </c>
      <c r="BU91" s="12"/>
      <c r="BV91" s="12"/>
      <c r="BW91" s="12" t="s">
        <v>124</v>
      </c>
      <c r="BX91" s="12" t="s">
        <v>124</v>
      </c>
      <c r="BY91" s="12"/>
      <c r="BZ91" s="12"/>
      <c r="CA91" s="12"/>
      <c r="CB91" s="12"/>
      <c r="CC91" s="12"/>
      <c r="CD91" s="12"/>
      <c r="CE91" s="12"/>
      <c r="CF91" s="12"/>
      <c r="CG91" s="12"/>
      <c r="CH91" s="12"/>
      <c r="CI91" s="12"/>
      <c r="CJ91" s="12"/>
      <c r="CK91" s="12"/>
      <c r="CL91" s="12"/>
    </row>
    <row r="92" spans="2:91" ht="26.25" customHeight="1" thickBot="1" x14ac:dyDescent="0.4">
      <c r="C92" s="53"/>
      <c r="D92" s="53"/>
      <c r="F92" s="140" t="s">
        <v>446</v>
      </c>
      <c r="G92" s="205" t="s">
        <v>447</v>
      </c>
      <c r="H92" s="205"/>
      <c r="I92" s="205"/>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row>
    <row r="93" spans="2:91" ht="22.5" customHeight="1" thickBot="1" x14ac:dyDescent="0.4">
      <c r="B93" t="str">
        <f ca="1" xml:space="preserve"> "Produkt "  &amp; B94</f>
        <v>Produkt 3</v>
      </c>
      <c r="C93" s="206" t="str">
        <f>IF(F94="Ingen produkt motsvarar","Felmeddelande",IF(COUNTIF($P$1:$P$6,TRUE)&gt;0,"","Felmeddelande"))</f>
        <v/>
      </c>
      <c r="D93" s="207"/>
      <c r="F93" s="218" t="s">
        <v>271</v>
      </c>
      <c r="G93" s="218"/>
      <c r="H93" s="218"/>
      <c r="I93" s="219"/>
      <c r="O93">
        <v>1</v>
      </c>
      <c r="AH93" t="s">
        <v>241</v>
      </c>
      <c r="AP93" s="13" t="str">
        <f t="shared" ref="AP93:BD93" si="86">AP95</f>
        <v>Upplösning</v>
      </c>
      <c r="AQ93" s="13" t="str">
        <f t="shared" si="86"/>
        <v>Processor</v>
      </c>
      <c r="AR93" s="13" t="str">
        <f t="shared" si="86"/>
        <v>Internminne (GB)</v>
      </c>
      <c r="AS93" s="13" t="str">
        <f t="shared" si="86"/>
        <v>Hårddisk</v>
      </c>
      <c r="AT93" s="13" t="str">
        <f t="shared" si="86"/>
        <v>Skärmstorlek (tum)</v>
      </c>
      <c r="AU93" s="13" t="str">
        <f t="shared" si="86"/>
        <v>Portar USB</v>
      </c>
      <c r="AV93" s="13" t="str">
        <f t="shared" si="86"/>
        <v>Portar USB C</v>
      </c>
      <c r="AW93" s="13" t="str">
        <f t="shared" si="86"/>
        <v>Portar HDMI/Display</v>
      </c>
      <c r="AX93" s="13" t="str">
        <f t="shared" si="86"/>
        <v>Kommunikation WLAN</v>
      </c>
      <c r="AY93" s="13" t="str">
        <f t="shared" si="86"/>
        <v>Kommunikation Bluetooth</v>
      </c>
      <c r="AZ93" s="13" t="str">
        <f t="shared" si="86"/>
        <v>Batteritid (tim)</v>
      </c>
      <c r="BA93" s="13" t="str">
        <f t="shared" si="86"/>
        <v>Energiprestanda</v>
      </c>
      <c r="BB93" s="13" t="str">
        <f t="shared" si="86"/>
        <v>Låsskydd</v>
      </c>
      <c r="BC93" s="13" t="str">
        <f t="shared" si="86"/>
        <v>Operativsystem</v>
      </c>
      <c r="BD93" s="13" t="str">
        <f t="shared" si="86"/>
        <v>Modellbenämning</v>
      </c>
      <c r="BE93" t="s">
        <v>224</v>
      </c>
      <c r="BF93" s="56" t="s">
        <v>53</v>
      </c>
      <c r="BG93" s="56" t="s">
        <v>54</v>
      </c>
      <c r="BH93" s="56" t="s">
        <v>55</v>
      </c>
      <c r="BI93" s="57" t="s">
        <v>228</v>
      </c>
      <c r="BJ93" s="57" t="s">
        <v>229</v>
      </c>
      <c r="BK93" s="57" t="s">
        <v>230</v>
      </c>
      <c r="BL93" s="57" t="s">
        <v>231</v>
      </c>
      <c r="BM93" s="57" t="s">
        <v>340</v>
      </c>
      <c r="BN93" s="57" t="s">
        <v>341</v>
      </c>
      <c r="BO93" s="57" t="s">
        <v>342</v>
      </c>
      <c r="BP93" s="57" t="s">
        <v>343</v>
      </c>
      <c r="BQ93" s="57" t="s">
        <v>345</v>
      </c>
      <c r="BR93" s="57" t="s">
        <v>346</v>
      </c>
      <c r="BS93" s="57" t="s">
        <v>347</v>
      </c>
      <c r="BT93" s="57" t="s">
        <v>348</v>
      </c>
      <c r="BU93" s="57"/>
      <c r="BV93" s="57"/>
      <c r="BW93" s="57" t="s">
        <v>6</v>
      </c>
      <c r="BX93" s="4" t="s">
        <v>51</v>
      </c>
      <c r="BY93" s="13"/>
      <c r="BZ93" s="13"/>
      <c r="CA93" s="13"/>
      <c r="CB93" s="13"/>
      <c r="CC93" s="13"/>
      <c r="CD93" s="13"/>
      <c r="CE93" s="13"/>
      <c r="CF93" s="13"/>
      <c r="CG93" s="13"/>
      <c r="CH93" s="13"/>
      <c r="CI93" s="13"/>
      <c r="CJ93" s="13"/>
      <c r="CK93" s="13"/>
      <c r="CL93" s="13"/>
    </row>
    <row r="94" spans="2:91" ht="22.5" customHeight="1" x14ac:dyDescent="0.35">
      <c r="B94">
        <f ca="1">COUNTIF($F$7:F97,"Produkt I varukorg*")</f>
        <v>3</v>
      </c>
      <c r="F94" s="51" t="str">
        <f>IF(D129&lt;1,"Inget antal angivet",IFERROR(INDEX($Y$96:$Y$107,MATCH(F91,$Z$96:$Z$107,0)),"Ingen produkt motsvarar"))</f>
        <v>Inget antal angivet</v>
      </c>
      <c r="G94" s="52">
        <f ca="1">IFERROR(P96,"Ingen produkt motsvarar")</f>
        <v>2950</v>
      </c>
      <c r="H94" s="52">
        <f ca="1">IFERROR(P97,"")</f>
        <v>3415</v>
      </c>
      <c r="I94" s="52">
        <f ca="1">IFERROR(P98,"")</f>
        <v>3610</v>
      </c>
      <c r="Z94" t="str">
        <f>IF(COUNTIF(AA94:AI94,FALSE)&gt;0,AN94,"")</f>
        <v/>
      </c>
      <c r="AN94" t="s">
        <v>126</v>
      </c>
      <c r="AP94" s="58" t="str">
        <f t="shared" ref="AP94:BT94" ca="1" si="87">IFERROR(INDEX(INDIRECT(AP$91&amp;"!$A$10:CC100000"),MATCH($AN94,INDIRECT(AP$91&amp;"!BH$10:BH100000"),0),MATCH(AP$93,INDIRECT(AP$91&amp;"!a10:CC10"),0)),"False")</f>
        <v>False</v>
      </c>
      <c r="AQ94" s="58" t="str">
        <f t="shared" ca="1" si="87"/>
        <v>False</v>
      </c>
      <c r="AR94" s="58" t="str">
        <f t="shared" ca="1" si="87"/>
        <v>False</v>
      </c>
      <c r="AS94" s="58" t="str">
        <f t="shared" ca="1" si="87"/>
        <v>False</v>
      </c>
      <c r="AT94" s="58" t="str">
        <f t="shared" ca="1" si="87"/>
        <v>False</v>
      </c>
      <c r="AU94" s="58" t="str">
        <f t="shared" ca="1" si="87"/>
        <v>False</v>
      </c>
      <c r="AV94" s="58" t="str">
        <f t="shared" ca="1" si="87"/>
        <v>False</v>
      </c>
      <c r="AW94" s="58" t="str">
        <f t="shared" ca="1" si="87"/>
        <v>False</v>
      </c>
      <c r="AX94" s="58" t="str">
        <f t="shared" ca="1" si="87"/>
        <v>False</v>
      </c>
      <c r="AY94" s="58" t="str">
        <f t="shared" ca="1" si="87"/>
        <v>False</v>
      </c>
      <c r="AZ94" s="58" t="str">
        <f t="shared" ca="1" si="87"/>
        <v>False</v>
      </c>
      <c r="BA94" s="58" t="str">
        <f t="shared" ca="1" si="87"/>
        <v>False</v>
      </c>
      <c r="BB94" s="58" t="str">
        <f t="shared" ca="1" si="87"/>
        <v>False</v>
      </c>
      <c r="BC94" s="58" t="str">
        <f t="shared" ca="1" si="87"/>
        <v>False</v>
      </c>
      <c r="BD94" s="58" t="str">
        <f t="shared" ca="1" si="87"/>
        <v>False</v>
      </c>
      <c r="BE94" s="58" t="str">
        <f t="shared" ca="1" si="87"/>
        <v>False</v>
      </c>
      <c r="BF94" s="58" t="str">
        <f t="shared" ca="1" si="87"/>
        <v>False</v>
      </c>
      <c r="BG94" s="58" t="str">
        <f t="shared" ca="1" si="87"/>
        <v>False</v>
      </c>
      <c r="BH94" s="58" t="str">
        <f t="shared" ca="1" si="87"/>
        <v>False</v>
      </c>
      <c r="BI94" s="58" t="str">
        <f t="shared" ca="1" si="87"/>
        <v>False</v>
      </c>
      <c r="BJ94" s="58" t="str">
        <f t="shared" ca="1" si="87"/>
        <v>False</v>
      </c>
      <c r="BK94" s="58" t="str">
        <f t="shared" ca="1" si="87"/>
        <v>False</v>
      </c>
      <c r="BL94" s="58" t="str">
        <f t="shared" ca="1" si="87"/>
        <v>False</v>
      </c>
      <c r="BM94" s="58" t="str">
        <f t="shared" ca="1" si="87"/>
        <v>False</v>
      </c>
      <c r="BN94" s="58" t="str">
        <f t="shared" ca="1" si="87"/>
        <v>False</v>
      </c>
      <c r="BO94" s="58" t="str">
        <f t="shared" ca="1" si="87"/>
        <v>False</v>
      </c>
      <c r="BP94" s="58" t="str">
        <f t="shared" ca="1" si="87"/>
        <v>False</v>
      </c>
      <c r="BQ94" s="58" t="str">
        <f t="shared" ca="1" si="87"/>
        <v>False</v>
      </c>
      <c r="BR94" s="58" t="str">
        <f t="shared" ca="1" si="87"/>
        <v>False</v>
      </c>
      <c r="BS94" s="58" t="str">
        <f t="shared" ca="1" si="87"/>
        <v>False</v>
      </c>
      <c r="BT94" s="58" t="str">
        <f t="shared" ca="1" si="87"/>
        <v>False</v>
      </c>
      <c r="BU94" s="58"/>
      <c r="BV94" s="58"/>
      <c r="BW94" s="58" t="str">
        <f ca="1">IFERROR(INDEX(INDIRECT(BW$91&amp;"!$A$10:CC100000"),MATCH($AN94,INDIRECT(BW$91&amp;"!BH$10:BH100000"),0),MATCH(BW$93,INDIRECT(BW$91&amp;"!a10:CC10"),0)),"False")</f>
        <v>False</v>
      </c>
      <c r="BX94" s="58" t="str">
        <f ca="1">IFERROR(INDEX(INDIRECT(BX$91&amp;"!$A$10:CC100000"),MATCH($AN94,INDIRECT(BX$91&amp;"!BH$10:BH100000"),0),MATCH(BX$93,INDIRECT(BX$91&amp;"!a10:CC10"),0)),"False")</f>
        <v>False</v>
      </c>
      <c r="BY94" s="58"/>
      <c r="BZ94" s="58"/>
      <c r="CA94" s="58"/>
      <c r="CB94" s="58"/>
      <c r="CC94" s="58"/>
      <c r="CD94" s="58"/>
      <c r="CE94" s="58"/>
      <c r="CF94" s="58"/>
      <c r="CG94" s="58"/>
      <c r="CH94" s="58"/>
      <c r="CI94" s="58"/>
      <c r="CJ94" s="58"/>
      <c r="CK94" s="58"/>
      <c r="CL94" s="58"/>
    </row>
    <row r="95" spans="2:91" ht="22.5" customHeight="1" x14ac:dyDescent="0.35">
      <c r="C95" s="210" t="str">
        <f ca="1" xml:space="preserve"> "Bärbar dator (B) "  &amp; RIGHT("00" &amp; B94,2)</f>
        <v>Bärbar dator (B) 03</v>
      </c>
      <c r="D95" s="211"/>
      <c r="F95" s="92" t="str">
        <f>IF(F94="Inget antal angivet","",IFERROR(INDEX($AP$95:$BX$119,MATCH(F$91,$AN$95:$AN$119,0),MATCH("Modellbenämning",$AP$95:$BX$95,0)),""))</f>
        <v/>
      </c>
      <c r="G95" s="92" t="str">
        <f ca="1">IFERROR(INDEX($AP$95:$BX$119,MATCH(G$91,$AN$95:$AN$119,0),MATCH("Modellbenämning",$AP$95:$BX$95,0)),"")</f>
        <v>Chromebook 3110</v>
      </c>
      <c r="H95" s="92" t="str">
        <f ca="1">IFERROR(INDEX($AP$95:$BX$119,MATCH(H$91,$AN$95:$AN$119,0),MATCH("Modellbenämning",$AP$95:$BX$95,0)),"")</f>
        <v>ChromeBook 11 G9 EE</v>
      </c>
      <c r="I95" s="92" t="str">
        <f ca="1">IFERROR(INDEX($AP$95:$BX$119,MATCH(I$91,$AN$95:$AN$119,0),MATCH("Modellbenämning",$AP$95:$BX$95,0)),"")</f>
        <v>Chromebook 14 G7</v>
      </c>
      <c r="J95" s="93"/>
      <c r="K95" s="92"/>
      <c r="L95" s="92"/>
      <c r="M95" s="92"/>
      <c r="N95" s="92" t="e">
        <f ca="1">INDEX($N$96:$N$101,MATCH(Överblick!$L$2,$M$96:$M$101,0))</f>
        <v>#N/A</v>
      </c>
      <c r="O95" s="92"/>
      <c r="P95" s="92"/>
      <c r="Q95" s="92"/>
      <c r="R95" s="92">
        <v>1</v>
      </c>
      <c r="S95" s="92">
        <v>2</v>
      </c>
      <c r="T95" s="92">
        <v>3</v>
      </c>
      <c r="U95" s="92">
        <v>5</v>
      </c>
      <c r="V95" s="92">
        <v>6</v>
      </c>
      <c r="W95" s="92">
        <v>7</v>
      </c>
      <c r="X95" s="92">
        <v>8</v>
      </c>
      <c r="Y95" s="92"/>
      <c r="Z95" s="92" t="s">
        <v>122</v>
      </c>
      <c r="AA95" s="92" t="s">
        <v>2</v>
      </c>
      <c r="AB95" s="92" t="s">
        <v>4</v>
      </c>
      <c r="AC95" s="92" t="s">
        <v>119</v>
      </c>
      <c r="AD95" s="92" t="s">
        <v>16</v>
      </c>
      <c r="AE95" s="92" t="s">
        <v>7</v>
      </c>
      <c r="AF95" s="92" t="s">
        <v>67</v>
      </c>
      <c r="AG95" s="92" t="s">
        <v>74</v>
      </c>
      <c r="AH95" s="92" t="s">
        <v>103</v>
      </c>
      <c r="AI95" s="92" t="s">
        <v>75</v>
      </c>
      <c r="AJ95" s="92" t="s">
        <v>38</v>
      </c>
      <c r="AK95" s="92"/>
      <c r="AL95" s="92"/>
      <c r="AM95" s="92"/>
      <c r="AN95" s="92" t="s">
        <v>222</v>
      </c>
      <c r="AO95" s="92">
        <v>1</v>
      </c>
      <c r="AP95" s="92" t="s">
        <v>2</v>
      </c>
      <c r="AQ95" s="92" t="s">
        <v>4</v>
      </c>
      <c r="AR95" s="92" t="s">
        <v>119</v>
      </c>
      <c r="AS95" s="92" t="s">
        <v>16</v>
      </c>
      <c r="AT95" s="92" t="s">
        <v>7</v>
      </c>
      <c r="AU95" s="92" t="s">
        <v>67</v>
      </c>
      <c r="AV95" s="92" t="s">
        <v>74</v>
      </c>
      <c r="AW95" s="92" t="s">
        <v>97</v>
      </c>
      <c r="AX95" s="92" t="s">
        <v>103</v>
      </c>
      <c r="AY95" s="92" t="s">
        <v>75</v>
      </c>
      <c r="AZ95" s="92" t="s">
        <v>120</v>
      </c>
      <c r="BA95" s="92" t="s">
        <v>38</v>
      </c>
      <c r="BB95" s="92" t="s">
        <v>37</v>
      </c>
      <c r="BC95" s="92" t="s">
        <v>3</v>
      </c>
      <c r="BD95" s="92" t="s">
        <v>52</v>
      </c>
      <c r="BE95" s="92" t="s">
        <v>25</v>
      </c>
      <c r="BF95" s="92" t="s">
        <v>53</v>
      </c>
      <c r="BG95" s="92" t="s">
        <v>54</v>
      </c>
      <c r="BH95" s="92" t="s">
        <v>55</v>
      </c>
      <c r="BI95" s="92" t="s">
        <v>228</v>
      </c>
      <c r="BJ95" s="92" t="s">
        <v>229</v>
      </c>
      <c r="BK95" s="92" t="s">
        <v>230</v>
      </c>
      <c r="BL95" s="92" t="s">
        <v>231</v>
      </c>
      <c r="BM95" s="92" t="s">
        <v>340</v>
      </c>
      <c r="BN95" s="92" t="s">
        <v>341</v>
      </c>
      <c r="BO95" s="92" t="s">
        <v>342</v>
      </c>
      <c r="BP95" s="92" t="s">
        <v>343</v>
      </c>
      <c r="BQ95" s="92" t="s">
        <v>345</v>
      </c>
      <c r="BR95" s="92" t="s">
        <v>346</v>
      </c>
      <c r="BS95" s="92" t="s">
        <v>347</v>
      </c>
      <c r="BT95" s="92" t="s">
        <v>348</v>
      </c>
      <c r="BU95" s="92"/>
      <c r="BV95" s="92"/>
      <c r="BW95" s="92" t="s">
        <v>6</v>
      </c>
      <c r="BX95" s="92" t="s">
        <v>51</v>
      </c>
      <c r="BY95" s="92" t="s">
        <v>2</v>
      </c>
      <c r="BZ95" s="92" t="s">
        <v>4</v>
      </c>
      <c r="CA95" s="92" t="s">
        <v>119</v>
      </c>
      <c r="CB95" s="92" t="s">
        <v>16</v>
      </c>
      <c r="CC95" s="92" t="s">
        <v>7</v>
      </c>
      <c r="CD95" s="92" t="s">
        <v>67</v>
      </c>
      <c r="CE95" s="92" t="s">
        <v>74</v>
      </c>
      <c r="CF95" s="92" t="s">
        <v>75</v>
      </c>
      <c r="CG95" s="92" t="s">
        <v>75</v>
      </c>
      <c r="CH95" s="92" t="s">
        <v>120</v>
      </c>
      <c r="CI95" s="92" t="s">
        <v>38</v>
      </c>
      <c r="CJ95" s="92" t="s">
        <v>37</v>
      </c>
      <c r="CK95" s="92" t="s">
        <v>3</v>
      </c>
      <c r="CL95" s="92"/>
      <c r="CM95" s="92"/>
    </row>
    <row r="96" spans="2:91" ht="22.5" customHeight="1" outlineLevel="1" x14ac:dyDescent="0.35">
      <c r="C96" s="210" t="s">
        <v>261</v>
      </c>
      <c r="D96" s="211"/>
      <c r="F96" s="76" t="str">
        <f>IF(F94="Inget antal angivet","",IFERROR(INDEX($AP$95:$BX$119,MATCH(F$91,$AN$95:$AN$119,0),MATCH("Varumärke",$AP$95:$BX$95,0)),""))</f>
        <v/>
      </c>
      <c r="G96" s="77" t="str">
        <f ca="1">IFERROR(INDEX($AP$95:$BX$119,MATCH(G$91,$AN$95:$AN$119,0),MATCH("Varumärke",$AP$95:$BX$95,0)),"")</f>
        <v>Dell</v>
      </c>
      <c r="H96" s="77" t="str">
        <f ca="1">IFERROR(INDEX($AP$95:$BX$119,MATCH(H$91,$AN$95:$AN$119,0),MATCH("Varumärke",$AP$95:$BX$95,0)),"")</f>
        <v>HP</v>
      </c>
      <c r="I96" s="119" t="str">
        <f ca="1">IFERROR(INDEX($AP$95:$BX$119,MATCH(I$91,$AN$95:$AN$119,0),MATCH("Varumärke",$AP$95:$BX$95,0)),"")</f>
        <v>HP</v>
      </c>
      <c r="K96" s="185">
        <f t="shared" ref="K96:K101" ca="1" si="88">O96*$D$129</f>
        <v>0</v>
      </c>
      <c r="L96" s="185" t="b">
        <f t="shared" ref="L96:L101" si="89">IF($D$129=0,TRUE,IF(K96=0,FALSE,TRUE))</f>
        <v>1</v>
      </c>
      <c r="M96" s="185" t="s">
        <v>162</v>
      </c>
      <c r="N96" s="185" t="str">
        <f t="shared" ref="N96:N101" ca="1" si="90">INDEX($Z$96:$Z$107,MATCH(O96,$Y$96:$Y$107,0))</f>
        <v>Offererad produktnr. 05Advania Sverige AB</v>
      </c>
      <c r="O96" s="185" cm="1">
        <f t="array" aca="1" ref="O96" ca="1">MIN(IF(($BW$96:$BW$117=M96)*($AO$96:$AO$117=$O$93),$Y$96:$Y$117))</f>
        <v>3996</v>
      </c>
      <c r="P96" s="197">
        <f ca="1">SMALL($Y$96:$Y$119,1)</f>
        <v>2950</v>
      </c>
      <c r="Q96" s="185">
        <f t="shared" ref="Q96:Q105" si="91">SUM(R96:X96)</f>
        <v>0</v>
      </c>
      <c r="R96" s="185">
        <f t="shared" ref="R96:R105" si="92">IF($D$112="",0,BF96)</f>
        <v>0</v>
      </c>
      <c r="S96" s="185">
        <f t="shared" ref="S96:S105" si="93">IF($D$115="",0,BG96)</f>
        <v>0</v>
      </c>
      <c r="T96" s="185">
        <f t="shared" ref="T96:T105" si="94">IF($D$118="",0,BH96)</f>
        <v>0</v>
      </c>
      <c r="U96" s="185">
        <f t="shared" ref="U96:U105" si="95">IF($D$122="",0,BI96)</f>
        <v>0</v>
      </c>
      <c r="V96" s="185">
        <f t="shared" ref="V96:V105" si="96">IF($D$123="",0,BJ96)</f>
        <v>0</v>
      </c>
      <c r="W96" s="185">
        <f t="shared" ref="W96:W105" si="97">IF($D$124="",0,BK96)</f>
        <v>0</v>
      </c>
      <c r="X96" s="185">
        <f t="shared" ref="X96:X105" si="98">IF($D$125="",0,BL96)</f>
        <v>0</v>
      </c>
      <c r="Y96" s="185">
        <f t="shared" ref="Y96:Y105" ca="1" si="99">IF(Z96="","",SUM(BE96,R96:X96))</f>
        <v>3996</v>
      </c>
      <c r="Z96" s="185" t="str">
        <f t="shared" ref="Z96:Z105" si="100">IF(COUNTIF(AA96:AM96,FALSE)&gt;0,"",AN96)</f>
        <v>Offererad produktnr. 05Advania Sverige AB</v>
      </c>
      <c r="AA96" s="185" t="b">
        <f t="shared" ref="AA96:AA105" si="101">IF(" 1366x768"=$D$99,TRUE,IF($D$99=0,TRUE,IF($D$99=AP96,TRUE,FALSE)))</f>
        <v>1</v>
      </c>
      <c r="AB96" s="185" t="b">
        <f t="shared" ref="AB96:AB105" si="102">IF($D$100="",TRUE,IF(AQ96=$D$100,TRUE,FALSE))</f>
        <v>1</v>
      </c>
      <c r="AC96" s="185" t="b">
        <f t="shared" ref="AC96:AC105" si="103">IF($D$101="",TRUE,IF(AR96&gt;=$D$101,TRUE,FALSE))</f>
        <v>1</v>
      </c>
      <c r="AD96" s="185" t="b">
        <f t="shared" ref="AD96:AD105" si="104">IF($D$102="",TRUE,IF(AS96&gt;=$D$102,TRUE,FALSE))</f>
        <v>1</v>
      </c>
      <c r="AE96" s="185" t="b">
        <f>IF($D$98="",TRUE,IF(COUNTIF(Processor!$I$2:$I$9,$D$98)&gt;0,AND(AT96&gt;INDEX(Processor!$J$2:$J$9,MATCH($D$98,Processor!$I$2:$I$9,0)),AT96&lt;INDEX(Processor!$K$2:$K$9,MATCH($D$98,Processor!$I$2:$I$9,0))),IF(AT96=$D$98,TRUE,FALSE)))</f>
        <v>1</v>
      </c>
      <c r="AF96" s="185" t="b">
        <f t="shared" ref="AF96:AF105" si="105">IF($D$103="",TRUE,IF(AU96&gt;=$D$103,TRUE,FALSE))</f>
        <v>1</v>
      </c>
      <c r="AG96" s="185" t="b">
        <f t="shared" ref="AG96:AG105" si="106">IF($D$104="",TRUE,IF(AV96&gt;=$D$104,TRUE,FALSE))</f>
        <v>1</v>
      </c>
      <c r="AH96" s="185" t="b">
        <f t="shared" ref="AH96:AH105" si="107">IF($D$105="",TRUE,IF($D$105="802.11a/b/g/n/ac",TRUE,IF(AX96&gt;=$D$105,TRUE,FALSE)))</f>
        <v>1</v>
      </c>
      <c r="AI96" s="185" t="b">
        <f t="shared" ref="AI96:AI105" si="108">IF($D$106="",TRUE,IF(AY96&gt;=$D$106,TRUE,FALSE))</f>
        <v>1</v>
      </c>
      <c r="AJ96" s="185" t="b">
        <f>IFERROR(IF($D108="",TRUE,IF(MID(BA96,LEN(BA96)-2,1)*1&gt;=MID($D108,LEN($D108)-2,1)*1,TRUE,FALSE)),FALSE)</f>
        <v>1</v>
      </c>
      <c r="AK96" s="185"/>
      <c r="AL96" s="185"/>
      <c r="AM96" s="185"/>
      <c r="AN96" s="185" t="s">
        <v>202</v>
      </c>
      <c r="AO96" s="185">
        <v>1</v>
      </c>
      <c r="AP96" s="185" t="str">
        <f t="shared" ref="AP96:AY105" ca="1" si="109">IFERROR(INDEX(INDIRECT(AP$91&amp;"!$A$10:CC100000"),MATCH($AN96,INDIRECT(AP$91&amp;"!BH$10:BH100000"),0),MATCH(AP$93,INDIRECT(AP$91&amp;"!a10:CC10"),0)),"False")</f>
        <v>1366x768</v>
      </c>
      <c r="AQ96" s="185" t="str">
        <f t="shared" ca="1" si="109"/>
        <v>Intel Celeron</v>
      </c>
      <c r="AR96" s="185">
        <f t="shared" ca="1" si="109"/>
        <v>4</v>
      </c>
      <c r="AS96" s="185">
        <f t="shared" ca="1" si="109"/>
        <v>32</v>
      </c>
      <c r="AT96" s="185">
        <f t="shared" ca="1" si="109"/>
        <v>11.6</v>
      </c>
      <c r="AU96" s="185">
        <f t="shared" ca="1" si="109"/>
        <v>3</v>
      </c>
      <c r="AV96" s="185">
        <f t="shared" ca="1" si="109"/>
        <v>1</v>
      </c>
      <c r="AW96" s="185">
        <f t="shared" ca="1" si="109"/>
        <v>0</v>
      </c>
      <c r="AX96" s="185" t="str">
        <f t="shared" ca="1" si="109"/>
        <v>802.11a/b/g/n/ac</v>
      </c>
      <c r="AY96" s="185">
        <f t="shared" ca="1" si="109"/>
        <v>5</v>
      </c>
      <c r="AZ96" s="185">
        <f t="shared" ref="AZ96:BI105" ca="1" si="110">IFERROR(INDEX(INDIRECT(AZ$91&amp;"!$A$10:CC100000"),MATCH($AN96,INDIRECT(AZ$91&amp;"!BH$10:BH100000"),0),MATCH(AZ$93,INDIRECT(AZ$91&amp;"!a10:CC10"),0)),"False")</f>
        <v>11</v>
      </c>
      <c r="BA96" s="185" t="str">
        <f t="shared" ca="1" si="110"/>
        <v>Version 8.0</v>
      </c>
      <c r="BB96" s="185" t="str">
        <f t="shared" ca="1" si="110"/>
        <v>Ja</v>
      </c>
      <c r="BC96" s="185" t="str">
        <f t="shared" ca="1" si="110"/>
        <v>Google Chrome OS</v>
      </c>
      <c r="BD96" s="185" t="str">
        <f t="shared" ca="1" si="110"/>
        <v>ChromeBook 11 G9 EE</v>
      </c>
      <c r="BE96" s="185">
        <f t="shared" ca="1" si="110"/>
        <v>3996</v>
      </c>
      <c r="BF96" s="192">
        <f t="shared" ca="1" si="110"/>
        <v>64</v>
      </c>
      <c r="BG96" s="192">
        <f t="shared" ca="1" si="110"/>
        <v>213</v>
      </c>
      <c r="BH96" s="192">
        <f t="shared" ca="1" si="110"/>
        <v>251</v>
      </c>
      <c r="BI96" s="192">
        <f t="shared" ca="1" si="110"/>
        <v>594</v>
      </c>
      <c r="BJ96" s="192">
        <f t="shared" ref="BJ96:BT105" ca="1" si="111">IFERROR(INDEX(INDIRECT(BJ$91&amp;"!$A$10:CC100000"),MATCH($AN96,INDIRECT(BJ$91&amp;"!BH$10:BH100000"),0),MATCH(BJ$93,INDIRECT(BJ$91&amp;"!a10:CC10"),0)),"False")</f>
        <v>112</v>
      </c>
      <c r="BK96" s="192">
        <f t="shared" ca="1" si="111"/>
        <v>50</v>
      </c>
      <c r="BL96" s="192">
        <f t="shared" ca="1" si="111"/>
        <v>50</v>
      </c>
      <c r="BM96" s="192" t="str">
        <f t="shared" ca="1" si="111"/>
        <v>V7</v>
      </c>
      <c r="BN96" s="192" t="str">
        <f t="shared" ca="1" si="111"/>
        <v>PORT Designs</v>
      </c>
      <c r="BO96" s="192" t="str">
        <f t="shared" ca="1" si="111"/>
        <v>CoreParts</v>
      </c>
      <c r="BP96" s="192">
        <f t="shared" ca="1" si="111"/>
        <v>0</v>
      </c>
      <c r="BQ96" s="192" t="str">
        <f t="shared" ca="1" si="111"/>
        <v xml:space="preserve"> CSE12-BLK-3E  - Fodral för bärbar dator 12" - svart</v>
      </c>
      <c r="BR96" s="192" t="str">
        <f t="shared" ca="1" si="111"/>
        <v>900265 - Sekretessfilter till bärbar dator - 11.6" - guld</v>
      </c>
      <c r="BS96" s="192" t="str">
        <f t="shared" ca="1" si="111"/>
        <v>MBXUSBC-AC0005 - USB-C - strömadapter 45 Watt</v>
      </c>
      <c r="BT96" s="192">
        <f t="shared" ca="1" si="111"/>
        <v>0</v>
      </c>
      <c r="BU96" s="192"/>
      <c r="BV96" s="192"/>
      <c r="BW96" s="192" t="str">
        <f t="shared" ref="BW96:BX105" ca="1" si="112">IFERROR(INDEX(INDIRECT(BW$91&amp;"!$A$10:CC100000"),MATCH($AN96,INDIRECT(BW$91&amp;"!BH$10:BH100000"),0),MATCH(BW$93,INDIRECT(BW$91&amp;"!a10:CC10"),0)),"False")</f>
        <v>Advania Sverige AB</v>
      </c>
      <c r="BX96" s="192" t="str">
        <f t="shared" ca="1" si="112"/>
        <v>HP</v>
      </c>
      <c r="BY96" s="185" t="s">
        <v>706</v>
      </c>
      <c r="BZ96" s="185" t="s">
        <v>81</v>
      </c>
      <c r="CA96" s="185">
        <v>4</v>
      </c>
      <c r="CB96" s="185">
        <v>32</v>
      </c>
      <c r="CC96" s="191">
        <v>11.6</v>
      </c>
      <c r="CD96" s="185">
        <v>2</v>
      </c>
      <c r="CE96" s="185">
        <v>1</v>
      </c>
      <c r="CF96" s="185" t="s">
        <v>86</v>
      </c>
      <c r="CG96" s="186">
        <v>5</v>
      </c>
      <c r="CH96" s="186">
        <v>11</v>
      </c>
      <c r="CI96" s="185" t="s">
        <v>527</v>
      </c>
      <c r="CJ96" s="185" t="s">
        <v>69</v>
      </c>
      <c r="CK96" s="185" t="s">
        <v>82</v>
      </c>
      <c r="CL96" s="185"/>
      <c r="CM96" s="185"/>
    </row>
    <row r="97" spans="2:91" ht="22.5" customHeight="1" outlineLevel="1" x14ac:dyDescent="0.35">
      <c r="C97" s="61" t="s">
        <v>3</v>
      </c>
      <c r="D97" s="64"/>
      <c r="F97" s="78" t="str">
        <f t="shared" ref="F97:F109" si="113">IF(F$94="Inget antal angivet","",IFERROR(INDEX($AP$95:$BX$119,MATCH(F$91,$AN$95:$AN$119,0),MATCH($C97,$AP$95:$BX$95,0)),""))</f>
        <v/>
      </c>
      <c r="G97" s="79" t="str">
        <f t="shared" ref="G97:I109" ca="1" si="114">IFERROR(INDEX($AP$95:$BX$119,MATCH(G$91,$AN$95:$AN$119,0),MATCH($C97,$AP$95:$BX$95,0)),"")</f>
        <v>Google Chrome OS</v>
      </c>
      <c r="H97" s="79" t="str">
        <f t="shared" ca="1" si="114"/>
        <v>Google Chrome OS</v>
      </c>
      <c r="I97" s="120" t="str">
        <f t="shared" ca="1" si="114"/>
        <v>Google Chrome OS</v>
      </c>
      <c r="J97" s="62"/>
      <c r="K97" s="185">
        <f t="shared" ca="1" si="88"/>
        <v>0</v>
      </c>
      <c r="L97" s="185" t="b">
        <f t="shared" si="89"/>
        <v>1</v>
      </c>
      <c r="M97" s="185" t="s">
        <v>150</v>
      </c>
      <c r="N97" s="185" t="str">
        <f t="shared" ca="1" si="90"/>
        <v>Offererad produktnr. 05Atea Sverige AB</v>
      </c>
      <c r="O97" s="185" cm="1">
        <f t="array" aca="1" ref="O97" ca="1">MIN(IF(($BW$96:$BW$117=M97)*($AO$96:$AO$117=$O$93),$Y$96:$Y$117))</f>
        <v>4802</v>
      </c>
      <c r="P97" s="197">
        <f ca="1">SMALL($Y$96:$Y$119,2)</f>
        <v>3415</v>
      </c>
      <c r="Q97" s="185">
        <f t="shared" si="91"/>
        <v>0</v>
      </c>
      <c r="R97" s="185">
        <f t="shared" si="92"/>
        <v>0</v>
      </c>
      <c r="S97" s="185">
        <f t="shared" si="93"/>
        <v>0</v>
      </c>
      <c r="T97" s="185">
        <f t="shared" si="94"/>
        <v>0</v>
      </c>
      <c r="U97" s="185">
        <f t="shared" si="95"/>
        <v>0</v>
      </c>
      <c r="V97" s="185">
        <f t="shared" si="96"/>
        <v>0</v>
      </c>
      <c r="W97" s="185">
        <f t="shared" si="97"/>
        <v>0</v>
      </c>
      <c r="X97" s="185">
        <f t="shared" si="98"/>
        <v>0</v>
      </c>
      <c r="Y97" s="185">
        <f t="shared" ca="1" si="99"/>
        <v>4882</v>
      </c>
      <c r="Z97" s="185" t="str">
        <f t="shared" si="100"/>
        <v>Offererad produktnr. 06Advania Sverige AB</v>
      </c>
      <c r="AA97" s="185" t="b">
        <f t="shared" si="101"/>
        <v>1</v>
      </c>
      <c r="AB97" s="185" t="b">
        <f t="shared" si="102"/>
        <v>1</v>
      </c>
      <c r="AC97" s="185" t="b">
        <f t="shared" si="103"/>
        <v>1</v>
      </c>
      <c r="AD97" s="185" t="b">
        <f t="shared" si="104"/>
        <v>1</v>
      </c>
      <c r="AE97" s="185" t="b">
        <f>IF($D$98="",TRUE,IF(COUNTIF(Processor!$I$2:$I$9,$D$98)&gt;0,AND(AT97&gt;INDEX(Processor!$J$2:$J$9,MATCH($D$98,Processor!$I$2:$I$9,0)),AT97&lt;INDEX(Processor!$K$2:$K$9,MATCH($D$98,Processor!$I$2:$I$9,0))),IF(AT97=$D$98,TRUE,FALSE)))</f>
        <v>1</v>
      </c>
      <c r="AF97" s="185" t="b">
        <f t="shared" si="105"/>
        <v>1</v>
      </c>
      <c r="AG97" s="185" t="b">
        <f t="shared" si="106"/>
        <v>1</v>
      </c>
      <c r="AH97" s="185" t="b">
        <f t="shared" si="107"/>
        <v>1</v>
      </c>
      <c r="AI97" s="185" t="b">
        <f t="shared" si="108"/>
        <v>1</v>
      </c>
      <c r="AJ97" s="185" t="b">
        <f>IFERROR(IF($D108="",TRUE,IF(MID(BA97,LEN(BA97)-2,1)*1&gt;=MID($D108,LEN($D108)-2,1)*1,TRUE,FALSE)),FALSE)</f>
        <v>1</v>
      </c>
      <c r="AK97" s="185"/>
      <c r="AL97" s="185"/>
      <c r="AM97" s="185"/>
      <c r="AN97" s="185" t="s">
        <v>203</v>
      </c>
      <c r="AO97" s="185">
        <v>1</v>
      </c>
      <c r="AP97" s="185" t="str">
        <f t="shared" ca="1" si="109"/>
        <v>1920x1080</v>
      </c>
      <c r="AQ97" s="185" t="str">
        <f t="shared" ca="1" si="109"/>
        <v>Intel Celeron</v>
      </c>
      <c r="AR97" s="185">
        <f t="shared" ca="1" si="109"/>
        <v>8</v>
      </c>
      <c r="AS97" s="185">
        <f t="shared" ca="1" si="109"/>
        <v>64</v>
      </c>
      <c r="AT97" s="185">
        <f t="shared" ca="1" si="109"/>
        <v>14</v>
      </c>
      <c r="AU97" s="185">
        <f t="shared" ca="1" si="109"/>
        <v>3</v>
      </c>
      <c r="AV97" s="185">
        <f t="shared" ca="1" si="109"/>
        <v>1</v>
      </c>
      <c r="AW97" s="185">
        <f t="shared" ca="1" si="109"/>
        <v>0</v>
      </c>
      <c r="AX97" s="185" t="str">
        <f t="shared" ca="1" si="109"/>
        <v>802.11a/b/g/n/ac/ax</v>
      </c>
      <c r="AY97" s="185">
        <f t="shared" ca="1" si="109"/>
        <v>5</v>
      </c>
      <c r="AZ97" s="185">
        <f t="shared" ca="1" si="110"/>
        <v>11</v>
      </c>
      <c r="BA97" s="185" t="str">
        <f t="shared" ca="1" si="110"/>
        <v>Version 8.0</v>
      </c>
      <c r="BB97" s="185" t="str">
        <f t="shared" ca="1" si="110"/>
        <v>Ja</v>
      </c>
      <c r="BC97" s="185" t="str">
        <f t="shared" ca="1" si="110"/>
        <v>Google Chrome OS</v>
      </c>
      <c r="BD97" s="185" t="str">
        <f t="shared" ca="1" si="110"/>
        <v>Chromebook 14 G7</v>
      </c>
      <c r="BE97" s="185">
        <f t="shared" ca="1" si="110"/>
        <v>4882</v>
      </c>
      <c r="BF97" s="192">
        <f t="shared" ca="1" si="110"/>
        <v>60</v>
      </c>
      <c r="BG97" s="192">
        <f t="shared" ca="1" si="110"/>
        <v>218</v>
      </c>
      <c r="BH97" s="192">
        <f t="shared" ca="1" si="110"/>
        <v>251</v>
      </c>
      <c r="BI97" s="192">
        <f t="shared" ca="1" si="110"/>
        <v>244</v>
      </c>
      <c r="BJ97" s="192">
        <f t="shared" ca="1" si="111"/>
        <v>112</v>
      </c>
      <c r="BK97" s="192">
        <f t="shared" ca="1" si="111"/>
        <v>50</v>
      </c>
      <c r="BL97" s="192">
        <f t="shared" ca="1" si="111"/>
        <v>50</v>
      </c>
      <c r="BM97" s="192" t="str">
        <f t="shared" ca="1" si="111"/>
        <v>V7</v>
      </c>
      <c r="BN97" s="192" t="str">
        <f t="shared" ca="1" si="111"/>
        <v>PORT Designs</v>
      </c>
      <c r="BO97" s="192" t="str">
        <f t="shared" ca="1" si="111"/>
        <v>CoreParts</v>
      </c>
      <c r="BP97" s="192">
        <f t="shared" ca="1" si="111"/>
        <v>0</v>
      </c>
      <c r="BQ97" s="192" t="str">
        <f t="shared" ca="1" si="111"/>
        <v xml:space="preserve"> CSE14-BLK-3E  -Fodral för bärbar dator - 14" - svart</v>
      </c>
      <c r="BR97" s="192" t="str">
        <f t="shared" ca="1" si="111"/>
        <v>900003 - Professional - filter för personlig integritet - 14"</v>
      </c>
      <c r="BS97" s="192" t="str">
        <f t="shared" ca="1" si="111"/>
        <v>MBXUSBC-AC0005 - USB-C - strömadapter 45 Watt</v>
      </c>
      <c r="BT97" s="192">
        <f t="shared" ca="1" si="111"/>
        <v>0</v>
      </c>
      <c r="BU97" s="192"/>
      <c r="BV97" s="192"/>
      <c r="BW97" s="192" t="str">
        <f t="shared" ca="1" si="112"/>
        <v>Advania Sverige AB</v>
      </c>
      <c r="BX97" s="192" t="str">
        <f t="shared" ca="1" si="112"/>
        <v>HP</v>
      </c>
      <c r="BY97" s="185" t="s">
        <v>71</v>
      </c>
      <c r="BZ97" s="185" t="s">
        <v>696</v>
      </c>
      <c r="CA97" s="185">
        <v>8</v>
      </c>
      <c r="CB97" s="185">
        <v>64</v>
      </c>
      <c r="CC97" s="191">
        <v>14</v>
      </c>
      <c r="CD97" s="185">
        <v>3</v>
      </c>
      <c r="CE97" s="185">
        <v>2</v>
      </c>
      <c r="CF97" s="185" t="s">
        <v>79</v>
      </c>
      <c r="CG97" s="186">
        <v>5.0999999999999996</v>
      </c>
      <c r="CH97" s="186"/>
      <c r="CI97" s="185"/>
      <c r="CJ97" s="185"/>
      <c r="CK97" s="185"/>
      <c r="CL97" s="185"/>
      <c r="CM97" s="185"/>
    </row>
    <row r="98" spans="2:91" ht="22.5" customHeight="1" outlineLevel="1" x14ac:dyDescent="0.35">
      <c r="C98" s="61" t="s">
        <v>7</v>
      </c>
      <c r="D98" s="64"/>
      <c r="F98" s="78" t="str">
        <f t="shared" si="113"/>
        <v/>
      </c>
      <c r="G98" s="79">
        <f t="shared" ca="1" si="114"/>
        <v>11.6</v>
      </c>
      <c r="H98" s="79">
        <f t="shared" ca="1" si="114"/>
        <v>11.6</v>
      </c>
      <c r="I98" s="120">
        <f t="shared" ca="1" si="114"/>
        <v>14</v>
      </c>
      <c r="J98" s="62"/>
      <c r="K98" s="185">
        <f t="shared" ca="1" si="88"/>
        <v>0</v>
      </c>
      <c r="L98" s="185" t="b">
        <f t="shared" si="89"/>
        <v>1</v>
      </c>
      <c r="M98" s="185" t="s">
        <v>128</v>
      </c>
      <c r="N98" s="185" t="str">
        <f t="shared" ca="1" si="90"/>
        <v>Offererad produktnr. 05Dustin Sverige AB</v>
      </c>
      <c r="O98" s="185" cm="1">
        <f t="array" aca="1" ref="O98" ca="1">MIN(IF(($BW$96:$BW$117=M98)*($AO$96:$AO$117=$O$93),$Y$96:$Y$117))</f>
        <v>3415</v>
      </c>
      <c r="P98" s="197">
        <f ca="1">SMALL($Y$96:$Y$119,3)</f>
        <v>3610</v>
      </c>
      <c r="Q98" s="185">
        <f t="shared" si="91"/>
        <v>0</v>
      </c>
      <c r="R98" s="185">
        <f t="shared" si="92"/>
        <v>0</v>
      </c>
      <c r="S98" s="185">
        <f t="shared" si="93"/>
        <v>0</v>
      </c>
      <c r="T98" s="185">
        <f t="shared" si="94"/>
        <v>0</v>
      </c>
      <c r="U98" s="185">
        <f t="shared" si="95"/>
        <v>0</v>
      </c>
      <c r="V98" s="185">
        <f t="shared" si="96"/>
        <v>0</v>
      </c>
      <c r="W98" s="185">
        <f t="shared" si="97"/>
        <v>0</v>
      </c>
      <c r="X98" s="185">
        <f t="shared" si="98"/>
        <v>0</v>
      </c>
      <c r="Y98" s="185">
        <f t="shared" ca="1" si="99"/>
        <v>4802</v>
      </c>
      <c r="Z98" s="185" t="str">
        <f t="shared" si="100"/>
        <v>Offererad produktnr. 05Atea Sverige AB</v>
      </c>
      <c r="AA98" s="185" t="b">
        <f t="shared" si="101"/>
        <v>1</v>
      </c>
      <c r="AB98" s="185" t="b">
        <f t="shared" si="102"/>
        <v>1</v>
      </c>
      <c r="AC98" s="185" t="b">
        <f t="shared" si="103"/>
        <v>1</v>
      </c>
      <c r="AD98" s="185" t="b">
        <f t="shared" si="104"/>
        <v>1</v>
      </c>
      <c r="AE98" s="185" t="b">
        <f>IF($D$98="",TRUE,IF(COUNTIF(Processor!$I$2:$I$9,$D$98)&gt;0,AND(AT98&gt;INDEX(Processor!$J$2:$J$9,MATCH($D$98,Processor!$I$2:$I$9,0)),AT98&lt;INDEX(Processor!$K$2:$K$9,MATCH($D$98,Processor!$I$2:$I$9,0))),IF(AT98=$D$98,TRUE,FALSE)))</f>
        <v>1</v>
      </c>
      <c r="AF98" s="185" t="b">
        <f t="shared" si="105"/>
        <v>1</v>
      </c>
      <c r="AG98" s="185" t="b">
        <f t="shared" si="106"/>
        <v>1</v>
      </c>
      <c r="AH98" s="185" t="b">
        <f t="shared" si="107"/>
        <v>1</v>
      </c>
      <c r="AI98" s="185" t="b">
        <f t="shared" si="108"/>
        <v>1</v>
      </c>
      <c r="AJ98" s="185" t="b">
        <f>IFERROR(IF($D108="",TRUE,IF(MID(BA98,LEN(BA98)-2,1)*1&gt;=MID($D108,LEN($D108)-2,1)*1,TRUE,FALSE)),FALSE)</f>
        <v>1</v>
      </c>
      <c r="AK98" s="185"/>
      <c r="AL98" s="185"/>
      <c r="AM98" s="185"/>
      <c r="AN98" s="185" t="s">
        <v>190</v>
      </c>
      <c r="AO98" s="185">
        <v>1</v>
      </c>
      <c r="AP98" s="185" t="str">
        <f t="shared" ca="1" si="109"/>
        <v>1366x768</v>
      </c>
      <c r="AQ98" s="185" t="str">
        <f t="shared" ca="1" si="109"/>
        <v>Intel Celeron</v>
      </c>
      <c r="AR98" s="185">
        <f t="shared" ca="1" si="109"/>
        <v>4</v>
      </c>
      <c r="AS98" s="185">
        <f t="shared" ca="1" si="109"/>
        <v>32</v>
      </c>
      <c r="AT98" s="185">
        <f t="shared" ca="1" si="109"/>
        <v>11.6</v>
      </c>
      <c r="AU98" s="185">
        <f t="shared" ca="1" si="109"/>
        <v>2</v>
      </c>
      <c r="AV98" s="185">
        <f t="shared" ca="1" si="109"/>
        <v>1</v>
      </c>
      <c r="AW98" s="185">
        <f t="shared" ca="1" si="109"/>
        <v>0</v>
      </c>
      <c r="AX98" s="185" t="str">
        <f t="shared" ca="1" si="109"/>
        <v>802.11a/b/g/n/ac/ax</v>
      </c>
      <c r="AY98" s="185">
        <f t="shared" ca="1" si="109"/>
        <v>5.0999999999999996</v>
      </c>
      <c r="AZ98" s="185">
        <f t="shared" ca="1" si="110"/>
        <v>11</v>
      </c>
      <c r="BA98" s="185" t="str">
        <f t="shared" ca="1" si="110"/>
        <v>Version 8.0</v>
      </c>
      <c r="BB98" s="185" t="str">
        <f t="shared" ca="1" si="110"/>
        <v>Ja</v>
      </c>
      <c r="BC98" s="185" t="str">
        <f t="shared" ca="1" si="110"/>
        <v>Google Chrome OS</v>
      </c>
      <c r="BD98" s="185" t="str">
        <f t="shared" ca="1" si="110"/>
        <v>100e Chr Gen3</v>
      </c>
      <c r="BE98" s="185">
        <f t="shared" ca="1" si="110"/>
        <v>4802</v>
      </c>
      <c r="BF98" s="192">
        <f t="shared" ca="1" si="110"/>
        <v>145</v>
      </c>
      <c r="BG98" s="192">
        <f t="shared" ca="1" si="110"/>
        <v>431</v>
      </c>
      <c r="BH98" s="192">
        <f t="shared" ca="1" si="110"/>
        <v>361</v>
      </c>
      <c r="BI98" s="192">
        <f t="shared" ca="1" si="110"/>
        <v>728</v>
      </c>
      <c r="BJ98" s="192">
        <f t="shared" ca="1" si="111"/>
        <v>120</v>
      </c>
      <c r="BK98" s="192">
        <f t="shared" ca="1" si="111"/>
        <v>85</v>
      </c>
      <c r="BL98" s="192">
        <f t="shared" ca="1" si="111"/>
        <v>100</v>
      </c>
      <c r="BM98" s="192" t="str">
        <f t="shared" ca="1" si="111"/>
        <v xml:space="preserve">Lenovo </v>
      </c>
      <c r="BN98" s="192" t="str">
        <f t="shared" ca="1" si="111"/>
        <v>Lenovo</v>
      </c>
      <c r="BO98" s="192" t="str">
        <f t="shared" ca="1" si="111"/>
        <v>Lenovo</v>
      </c>
      <c r="BP98" s="192">
        <f t="shared" ca="1" si="111"/>
        <v>0</v>
      </c>
      <c r="BQ98" s="192" t="str">
        <f t="shared" ca="1" si="111"/>
        <v>Basic Sleeve 11"</v>
      </c>
      <c r="BR98" s="192" t="str">
        <f t="shared" ca="1" si="111"/>
        <v>Lenovo 11.6" Privacy Filter</v>
      </c>
      <c r="BS98" s="192" t="str">
        <f t="shared" ca="1" si="111"/>
        <v>Power adapter USB-C 45w</v>
      </c>
      <c r="BT98" s="192">
        <f t="shared" ca="1" si="111"/>
        <v>0</v>
      </c>
      <c r="BU98" s="192"/>
      <c r="BV98" s="192"/>
      <c r="BW98" s="192" t="str">
        <f t="shared" ca="1" si="112"/>
        <v>Atea Sverige AB</v>
      </c>
      <c r="BX98" s="192" t="str">
        <f t="shared" ca="1" si="112"/>
        <v>Lenovo</v>
      </c>
      <c r="BY98" s="185"/>
      <c r="BZ98" s="185"/>
      <c r="CA98" s="185"/>
      <c r="CB98" s="185"/>
      <c r="CC98" s="185"/>
      <c r="CD98" s="185">
        <v>4</v>
      </c>
      <c r="CE98" s="185"/>
      <c r="CF98" s="185"/>
      <c r="CG98" s="186"/>
      <c r="CH98" s="186"/>
      <c r="CI98" s="185"/>
      <c r="CJ98" s="185"/>
      <c r="CK98" s="185"/>
      <c r="CL98" s="185"/>
      <c r="CM98" s="185"/>
    </row>
    <row r="99" spans="2:91" ht="22.5" customHeight="1" outlineLevel="1" x14ac:dyDescent="0.35">
      <c r="C99" s="61" t="s">
        <v>2</v>
      </c>
      <c r="D99" s="64"/>
      <c r="F99" s="78" t="str">
        <f t="shared" si="113"/>
        <v/>
      </c>
      <c r="G99" s="79" t="str">
        <f t="shared" ca="1" si="114"/>
        <v>1366x768</v>
      </c>
      <c r="H99" s="79" t="str">
        <f t="shared" ca="1" si="114"/>
        <v>1366x768</v>
      </c>
      <c r="I99" s="120" t="str">
        <f t="shared" ca="1" si="114"/>
        <v>1920x1080</v>
      </c>
      <c r="J99" s="62"/>
      <c r="K99" s="185">
        <f t="shared" ca="1" si="88"/>
        <v>0</v>
      </c>
      <c r="L99" s="185" t="b">
        <f t="shared" si="89"/>
        <v>1</v>
      </c>
      <c r="M99" s="185" t="s">
        <v>169</v>
      </c>
      <c r="N99" s="185" t="str">
        <f t="shared" ca="1" si="90"/>
        <v>Offererad produktnr. 05Foxway Education AB</v>
      </c>
      <c r="O99" s="185" cm="1">
        <f t="array" aca="1" ref="O99" ca="1">MIN(IF(($BW$96:$BW$117=M99)*($AO$96:$AO$117=$O$93),$Y$96:$Y$117))</f>
        <v>3636</v>
      </c>
      <c r="P99" s="197"/>
      <c r="Q99" s="185">
        <f t="shared" si="91"/>
        <v>0</v>
      </c>
      <c r="R99" s="185">
        <f t="shared" si="92"/>
        <v>0</v>
      </c>
      <c r="S99" s="185">
        <f t="shared" si="93"/>
        <v>0</v>
      </c>
      <c r="T99" s="185">
        <f t="shared" si="94"/>
        <v>0</v>
      </c>
      <c r="U99" s="185">
        <f t="shared" si="95"/>
        <v>0</v>
      </c>
      <c r="V99" s="185">
        <f t="shared" si="96"/>
        <v>0</v>
      </c>
      <c r="W99" s="185">
        <f t="shared" si="97"/>
        <v>0</v>
      </c>
      <c r="X99" s="185">
        <f t="shared" si="98"/>
        <v>0</v>
      </c>
      <c r="Y99" s="185">
        <f t="shared" ca="1" si="99"/>
        <v>6392</v>
      </c>
      <c r="Z99" s="185" t="str">
        <f t="shared" si="100"/>
        <v>Offererad produktnr. 06Atea Sverige AB</v>
      </c>
      <c r="AA99" s="185" t="b">
        <f t="shared" si="101"/>
        <v>1</v>
      </c>
      <c r="AB99" s="185" t="b">
        <f t="shared" si="102"/>
        <v>1</v>
      </c>
      <c r="AC99" s="185" t="b">
        <f t="shared" si="103"/>
        <v>1</v>
      </c>
      <c r="AD99" s="185" t="b">
        <f t="shared" si="104"/>
        <v>1</v>
      </c>
      <c r="AE99" s="185" t="b">
        <f>IF($D$98="",TRUE,IF(COUNTIF(Processor!$I$2:$I$9,$D$98)&gt;0,AND(AT99&gt;INDEX(Processor!$J$2:$J$9,MATCH($D$98,Processor!$I$2:$I$9,0)),AT99&lt;INDEX(Processor!$K$2:$K$9,MATCH($D$98,Processor!$I$2:$I$9,0))),IF(AT99=$D$98,TRUE,FALSE)))</f>
        <v>1</v>
      </c>
      <c r="AF99" s="185" t="b">
        <f t="shared" si="105"/>
        <v>1</v>
      </c>
      <c r="AG99" s="185" t="b">
        <f t="shared" si="106"/>
        <v>1</v>
      </c>
      <c r="AH99" s="185" t="b">
        <f t="shared" si="107"/>
        <v>1</v>
      </c>
      <c r="AI99" s="185" t="b">
        <f t="shared" si="108"/>
        <v>1</v>
      </c>
      <c r="AJ99" s="185" t="b">
        <f>IFERROR(IF($D108="",TRUE,IF(MID(BA99,LEN(BA99)-2,1)*1&gt;=MID($D108,LEN($D108)-2,1)*1,TRUE,FALSE)),FALSE)</f>
        <v>1</v>
      </c>
      <c r="AK99" s="185"/>
      <c r="AL99" s="185"/>
      <c r="AM99" s="185"/>
      <c r="AN99" s="185" t="s">
        <v>191</v>
      </c>
      <c r="AO99" s="185">
        <v>1</v>
      </c>
      <c r="AP99" s="185" t="str">
        <f t="shared" ca="1" si="109"/>
        <v>1920x1080</v>
      </c>
      <c r="AQ99" s="185" t="str">
        <f t="shared" ca="1" si="109"/>
        <v>Intel Celeron</v>
      </c>
      <c r="AR99" s="185">
        <f t="shared" ca="1" si="109"/>
        <v>8</v>
      </c>
      <c r="AS99" s="185">
        <f t="shared" ca="1" si="109"/>
        <v>64</v>
      </c>
      <c r="AT99" s="185">
        <f t="shared" ca="1" si="109"/>
        <v>14</v>
      </c>
      <c r="AU99" s="185">
        <f t="shared" ca="1" si="109"/>
        <v>3</v>
      </c>
      <c r="AV99" s="185">
        <f t="shared" ca="1" si="109"/>
        <v>1</v>
      </c>
      <c r="AW99" s="185">
        <f t="shared" ca="1" si="109"/>
        <v>0</v>
      </c>
      <c r="AX99" s="185" t="str">
        <f t="shared" ca="1" si="109"/>
        <v>802.11a/b/g/n/ac/ax</v>
      </c>
      <c r="AY99" s="185">
        <f t="shared" ca="1" si="109"/>
        <v>5</v>
      </c>
      <c r="AZ99" s="185">
        <f t="shared" ca="1" si="110"/>
        <v>11</v>
      </c>
      <c r="BA99" s="185" t="str">
        <f t="shared" ca="1" si="110"/>
        <v>Version 8.0</v>
      </c>
      <c r="BB99" s="185" t="str">
        <f t="shared" ca="1" si="110"/>
        <v>Ja</v>
      </c>
      <c r="BC99" s="185" t="str">
        <f t="shared" ca="1" si="110"/>
        <v>Google Chrome OS</v>
      </c>
      <c r="BD99" s="185" t="str">
        <f t="shared" ca="1" si="110"/>
        <v>Chromebook 14 G7</v>
      </c>
      <c r="BE99" s="185">
        <f t="shared" ca="1" si="110"/>
        <v>6392</v>
      </c>
      <c r="BF99" s="192">
        <f t="shared" ca="1" si="110"/>
        <v>134</v>
      </c>
      <c r="BG99" s="192">
        <f t="shared" ca="1" si="110"/>
        <v>449</v>
      </c>
      <c r="BH99" s="192">
        <f t="shared" ca="1" si="110"/>
        <v>389</v>
      </c>
      <c r="BI99" s="192">
        <f t="shared" ca="1" si="110"/>
        <v>276</v>
      </c>
      <c r="BJ99" s="192">
        <f t="shared" ca="1" si="111"/>
        <v>120</v>
      </c>
      <c r="BK99" s="192">
        <f t="shared" ca="1" si="111"/>
        <v>85</v>
      </c>
      <c r="BL99" s="192">
        <f t="shared" ca="1" si="111"/>
        <v>100</v>
      </c>
      <c r="BM99" s="192" t="str">
        <f t="shared" ca="1" si="111"/>
        <v>DELTACO</v>
      </c>
      <c r="BN99" s="192" t="str">
        <f t="shared" ca="1" si="111"/>
        <v>Targus</v>
      </c>
      <c r="BO99" s="192" t="str">
        <f t="shared" ca="1" si="111"/>
        <v>HP</v>
      </c>
      <c r="BP99" s="192">
        <f t="shared" ca="1" si="111"/>
        <v>0</v>
      </c>
      <c r="BQ99" s="192" t="str">
        <f t="shared" ca="1" si="111"/>
        <v xml:space="preserve">Fodral för bärbar dator </v>
      </c>
      <c r="BR99" s="192" t="str">
        <f t="shared" ca="1" si="111"/>
        <v>Targus Privacy Screen 14"</v>
      </c>
      <c r="BS99" s="192" t="str">
        <f t="shared" ca="1" si="111"/>
        <v>HP 45W USB-C Power Adapter G2</v>
      </c>
      <c r="BT99" s="192">
        <f t="shared" ca="1" si="111"/>
        <v>0</v>
      </c>
      <c r="BU99" s="192"/>
      <c r="BV99" s="192"/>
      <c r="BW99" s="192" t="str">
        <f t="shared" ca="1" si="112"/>
        <v>Atea Sverige AB</v>
      </c>
      <c r="BX99" s="192" t="str">
        <f t="shared" ca="1" si="112"/>
        <v>HP</v>
      </c>
      <c r="BY99" s="185"/>
      <c r="BZ99" s="185"/>
      <c r="CA99" s="185"/>
      <c r="CB99" s="185"/>
      <c r="CC99" s="185"/>
      <c r="CD99" s="185"/>
      <c r="CE99" s="185"/>
      <c r="CF99" s="185"/>
      <c r="CG99" s="186"/>
      <c r="CH99" s="186"/>
      <c r="CI99" s="185"/>
      <c r="CJ99" s="185"/>
      <c r="CK99" s="185"/>
      <c r="CL99" s="185"/>
      <c r="CM99" s="185"/>
    </row>
    <row r="100" spans="2:91" ht="22.5" customHeight="1" outlineLevel="1" x14ac:dyDescent="0.35">
      <c r="C100" s="61" t="s">
        <v>4</v>
      </c>
      <c r="D100" s="64"/>
      <c r="F100" s="78" t="str">
        <f t="shared" si="113"/>
        <v/>
      </c>
      <c r="G100" s="79" t="str">
        <f t="shared" ca="1" si="114"/>
        <v>Intel Celeron</v>
      </c>
      <c r="H100" s="79" t="str">
        <f t="shared" ca="1" si="114"/>
        <v>Intel Celeron</v>
      </c>
      <c r="I100" s="120" t="str">
        <f t="shared" ca="1" si="114"/>
        <v>Intel Celeron</v>
      </c>
      <c r="J100" s="62"/>
      <c r="K100" s="185">
        <f t="shared" ca="1" si="88"/>
        <v>0</v>
      </c>
      <c r="L100" s="185" t="b">
        <f t="shared" si="89"/>
        <v>1</v>
      </c>
      <c r="M100" s="185" t="s">
        <v>167</v>
      </c>
      <c r="N100" s="185" t="e">
        <f t="shared" ca="1" si="90"/>
        <v>#N/A</v>
      </c>
      <c r="O100" s="185" cm="1">
        <f t="array" aca="1" ref="O100" ca="1">MIN(IF(($BW$96:$BW$117=M100)*($AO$96:$AO$117=$O$93),$Y$96:$Y$117))</f>
        <v>0</v>
      </c>
      <c r="P100" s="197"/>
      <c r="Q100" s="185">
        <f t="shared" si="91"/>
        <v>0</v>
      </c>
      <c r="R100" s="185">
        <f t="shared" si="92"/>
        <v>0</v>
      </c>
      <c r="S100" s="185">
        <f t="shared" si="93"/>
        <v>0</v>
      </c>
      <c r="T100" s="185">
        <f t="shared" si="94"/>
        <v>0</v>
      </c>
      <c r="U100" s="185">
        <f t="shared" si="95"/>
        <v>0</v>
      </c>
      <c r="V100" s="185">
        <f t="shared" si="96"/>
        <v>0</v>
      </c>
      <c r="W100" s="185">
        <f t="shared" si="97"/>
        <v>0</v>
      </c>
      <c r="X100" s="185">
        <f t="shared" si="98"/>
        <v>0</v>
      </c>
      <c r="Y100" s="185">
        <f t="shared" ca="1" si="99"/>
        <v>3415</v>
      </c>
      <c r="Z100" s="185" t="str">
        <f t="shared" si="100"/>
        <v>Offererad produktnr. 05Dustin Sverige AB</v>
      </c>
      <c r="AA100" s="185" t="b">
        <f t="shared" si="101"/>
        <v>1</v>
      </c>
      <c r="AB100" s="185" t="b">
        <f t="shared" si="102"/>
        <v>1</v>
      </c>
      <c r="AC100" s="185" t="b">
        <f t="shared" si="103"/>
        <v>1</v>
      </c>
      <c r="AD100" s="185" t="b">
        <f t="shared" si="104"/>
        <v>1</v>
      </c>
      <c r="AE100" s="185" t="b">
        <f>IF($D$98="",TRUE,IF(COUNTIF(Processor!$I$2:$I$9,$D$98)&gt;0,AND(AT100&gt;INDEX(Processor!$J$2:$J$9,MATCH($D$98,Processor!$I$2:$I$9,0)),AT100&lt;INDEX(Processor!$K$2:$K$9,MATCH($D$98,Processor!$I$2:$I$9,0))),IF(AT100=$D$98,TRUE,FALSE)))</f>
        <v>1</v>
      </c>
      <c r="AF100" s="185" t="b">
        <f t="shared" si="105"/>
        <v>1</v>
      </c>
      <c r="AG100" s="185" t="b">
        <f t="shared" si="106"/>
        <v>1</v>
      </c>
      <c r="AH100" s="185" t="b">
        <f t="shared" si="107"/>
        <v>1</v>
      </c>
      <c r="AI100" s="185" t="b">
        <f t="shared" si="108"/>
        <v>1</v>
      </c>
      <c r="AJ100" s="185" t="b">
        <f>IFERROR(IF($D108="",TRUE,IF(MID(BA100,LEN(BA100)-2,1)*1&gt;=MID($D108,LEN($D108)-2,1)*1,TRUE,FALSE)),FALSE)</f>
        <v>1</v>
      </c>
      <c r="AK100" s="185"/>
      <c r="AL100" s="185"/>
      <c r="AM100" s="185"/>
      <c r="AN100" s="185" t="s">
        <v>178</v>
      </c>
      <c r="AO100" s="185">
        <v>1</v>
      </c>
      <c r="AP100" s="185" t="str">
        <f t="shared" ca="1" si="109"/>
        <v>1366x768</v>
      </c>
      <c r="AQ100" s="185" t="str">
        <f t="shared" ca="1" si="109"/>
        <v>Intel Celeron</v>
      </c>
      <c r="AR100" s="185">
        <f t="shared" ca="1" si="109"/>
        <v>4</v>
      </c>
      <c r="AS100" s="185">
        <f t="shared" ca="1" si="109"/>
        <v>32</v>
      </c>
      <c r="AT100" s="185">
        <f t="shared" ca="1" si="109"/>
        <v>11.6</v>
      </c>
      <c r="AU100" s="185">
        <f t="shared" ca="1" si="109"/>
        <v>4</v>
      </c>
      <c r="AV100" s="185">
        <f t="shared" ca="1" si="109"/>
        <v>2</v>
      </c>
      <c r="AW100" s="185">
        <f t="shared" ca="1" si="109"/>
        <v>0</v>
      </c>
      <c r="AX100" s="185" t="str">
        <f t="shared" ca="1" si="109"/>
        <v>802.11a/b/g/n/ac/ax</v>
      </c>
      <c r="AY100" s="185">
        <f t="shared" ca="1" si="109"/>
        <v>5</v>
      </c>
      <c r="AZ100" s="185">
        <f t="shared" ca="1" si="110"/>
        <v>11</v>
      </c>
      <c r="BA100" s="185" t="str">
        <f t="shared" ca="1" si="110"/>
        <v>Version 8.0</v>
      </c>
      <c r="BB100" s="185" t="str">
        <f t="shared" ca="1" si="110"/>
        <v>Ja</v>
      </c>
      <c r="BC100" s="185" t="str">
        <f t="shared" ca="1" si="110"/>
        <v>Google Chrome OS</v>
      </c>
      <c r="BD100" s="185" t="str">
        <f t="shared" ca="1" si="110"/>
        <v>ChromeBook 11 G9 EE</v>
      </c>
      <c r="BE100" s="185">
        <f t="shared" ca="1" si="110"/>
        <v>3415</v>
      </c>
      <c r="BF100" s="192">
        <f t="shared" ca="1" si="110"/>
        <v>87</v>
      </c>
      <c r="BG100" s="192">
        <f t="shared" ca="1" si="110"/>
        <v>123</v>
      </c>
      <c r="BH100" s="192">
        <f t="shared" ca="1" si="110"/>
        <v>249</v>
      </c>
      <c r="BI100" s="192">
        <f t="shared" ca="1" si="110"/>
        <v>131</v>
      </c>
      <c r="BJ100" s="192">
        <f t="shared" ca="1" si="111"/>
        <v>133</v>
      </c>
      <c r="BK100" s="192">
        <f t="shared" ca="1" si="111"/>
        <v>20</v>
      </c>
      <c r="BL100" s="192">
        <f t="shared" ca="1" si="111"/>
        <v>20</v>
      </c>
      <c r="BM100" s="192" t="str">
        <f t="shared" ca="1" si="111"/>
        <v>Cirafon</v>
      </c>
      <c r="BN100" s="192" t="str">
        <f t="shared" ca="1" si="111"/>
        <v>Cirafon</v>
      </c>
      <c r="BO100" s="192" t="str">
        <f t="shared" ca="1" si="111"/>
        <v>HP</v>
      </c>
      <c r="BP100" s="192">
        <f t="shared" ca="1" si="111"/>
        <v>0</v>
      </c>
      <c r="BQ100" s="192" t="str">
        <f t="shared" ca="1" si="111"/>
        <v>LSN9117-11</v>
      </c>
      <c r="BR100" s="192" t="str">
        <f t="shared" ca="1" si="111"/>
        <v>DPF11.6-9</v>
      </c>
      <c r="BS100" s="192" t="str">
        <f t="shared" ca="1" si="111"/>
        <v>1MZ01AA</v>
      </c>
      <c r="BT100" s="192">
        <f t="shared" ca="1" si="111"/>
        <v>0</v>
      </c>
      <c r="BU100" s="192"/>
      <c r="BV100" s="192"/>
      <c r="BW100" s="192" t="str">
        <f t="shared" ca="1" si="112"/>
        <v>Dustin Sverige AB</v>
      </c>
      <c r="BX100" s="192" t="str">
        <f t="shared" ca="1" si="112"/>
        <v>HP</v>
      </c>
      <c r="BY100" s="185"/>
      <c r="BZ100" s="185"/>
      <c r="CA100" s="185"/>
      <c r="CB100" s="185"/>
      <c r="CC100" s="185">
        <v>0</v>
      </c>
      <c r="CD100" s="185"/>
      <c r="CE100" s="185"/>
      <c r="CF100" s="185"/>
      <c r="CG100" s="186">
        <v>0</v>
      </c>
      <c r="CH100" s="185"/>
      <c r="CI100" s="185"/>
      <c r="CJ100" s="185"/>
      <c r="CK100" s="185"/>
      <c r="CL100" s="185"/>
      <c r="CM100" s="185"/>
    </row>
    <row r="101" spans="2:91" ht="22.5" customHeight="1" outlineLevel="1" x14ac:dyDescent="0.35">
      <c r="C101" s="61" t="s">
        <v>119</v>
      </c>
      <c r="D101" s="64"/>
      <c r="F101" s="78" t="str">
        <f t="shared" si="113"/>
        <v/>
      </c>
      <c r="G101" s="79">
        <f t="shared" ca="1" si="114"/>
        <v>4</v>
      </c>
      <c r="H101" s="79">
        <f t="shared" ca="1" si="114"/>
        <v>4</v>
      </c>
      <c r="I101" s="120">
        <f t="shared" ca="1" si="114"/>
        <v>8</v>
      </c>
      <c r="J101" s="62"/>
      <c r="K101" s="185">
        <f t="shared" ca="1" si="88"/>
        <v>0</v>
      </c>
      <c r="L101" s="185" t="b">
        <f t="shared" si="89"/>
        <v>1</v>
      </c>
      <c r="M101" s="185" t="s">
        <v>546</v>
      </c>
      <c r="N101" s="185" t="str">
        <f t="shared" ca="1" si="90"/>
        <v>Offererad produktnr. 05Qlosr Göteborg AB</v>
      </c>
      <c r="O101" s="185" cm="1">
        <f t="array" aca="1" ref="O101" ca="1">MIN(IF(($BW$96:$BW$117=M101)*($AO$96:$AO$117=$O$93),$Y$96:$Y$117))</f>
        <v>2950</v>
      </c>
      <c r="P101" s="197"/>
      <c r="Q101" s="185">
        <f t="shared" si="91"/>
        <v>0</v>
      </c>
      <c r="R101" s="185">
        <f t="shared" si="92"/>
        <v>0</v>
      </c>
      <c r="S101" s="185">
        <f t="shared" si="93"/>
        <v>0</v>
      </c>
      <c r="T101" s="185">
        <f t="shared" si="94"/>
        <v>0</v>
      </c>
      <c r="U101" s="185">
        <f t="shared" si="95"/>
        <v>0</v>
      </c>
      <c r="V101" s="185">
        <f t="shared" si="96"/>
        <v>0</v>
      </c>
      <c r="W101" s="185">
        <f t="shared" si="97"/>
        <v>0</v>
      </c>
      <c r="X101" s="185">
        <f t="shared" si="98"/>
        <v>0</v>
      </c>
      <c r="Y101" s="185">
        <f t="shared" ca="1" si="99"/>
        <v>4088</v>
      </c>
      <c r="Z101" s="185" t="str">
        <f t="shared" si="100"/>
        <v>Offererad produktnr. 06Dustin Sverige AB</v>
      </c>
      <c r="AA101" s="185" t="b">
        <f t="shared" si="101"/>
        <v>1</v>
      </c>
      <c r="AB101" s="185" t="b">
        <f t="shared" si="102"/>
        <v>1</v>
      </c>
      <c r="AC101" s="185" t="b">
        <f t="shared" si="103"/>
        <v>1</v>
      </c>
      <c r="AD101" s="185" t="b">
        <f t="shared" si="104"/>
        <v>1</v>
      </c>
      <c r="AE101" s="185" t="b">
        <f>IF($D$98="",TRUE,IF(COUNTIF(Processor!$I$2:$I$9,$D$98)&gt;0,AND(AT101&gt;INDEX(Processor!$J$2:$J$9,MATCH($D$98,Processor!$I$2:$I$9,0)),AT101&lt;INDEX(Processor!$K$2:$K$9,MATCH($D$98,Processor!$I$2:$I$9,0))),IF(AT101=$D$98,TRUE,FALSE)))</f>
        <v>1</v>
      </c>
      <c r="AF101" s="185" t="b">
        <f t="shared" si="105"/>
        <v>1</v>
      </c>
      <c r="AG101" s="185" t="b">
        <f t="shared" si="106"/>
        <v>1</v>
      </c>
      <c r="AH101" s="185" t="b">
        <f t="shared" si="107"/>
        <v>1</v>
      </c>
      <c r="AI101" s="185" t="b">
        <f t="shared" si="108"/>
        <v>1</v>
      </c>
      <c r="AJ101" s="185" t="b">
        <f>IFERROR(IF($D108="",TRUE,IF(MID(BA101,LEN(BA101)-2,1)*1&gt;=MID($D108,LEN($D108)-2,1)*1,TRUE,FALSE)),FALSE)</f>
        <v>1</v>
      </c>
      <c r="AK101" s="185"/>
      <c r="AL101" s="185"/>
      <c r="AM101" s="185"/>
      <c r="AN101" s="185" t="s">
        <v>179</v>
      </c>
      <c r="AO101" s="185">
        <v>1</v>
      </c>
      <c r="AP101" s="185" t="str">
        <f t="shared" ca="1" si="109"/>
        <v>1920x1080</v>
      </c>
      <c r="AQ101" s="185" t="str">
        <f t="shared" ca="1" si="109"/>
        <v>Intel Celeron</v>
      </c>
      <c r="AR101" s="185">
        <f t="shared" ca="1" si="109"/>
        <v>8</v>
      </c>
      <c r="AS101" s="185">
        <f t="shared" ca="1" si="109"/>
        <v>64</v>
      </c>
      <c r="AT101" s="185">
        <f t="shared" ca="1" si="109"/>
        <v>14</v>
      </c>
      <c r="AU101" s="185">
        <f t="shared" ca="1" si="109"/>
        <v>3</v>
      </c>
      <c r="AV101" s="185">
        <f t="shared" ca="1" si="109"/>
        <v>1</v>
      </c>
      <c r="AW101" s="185">
        <f t="shared" ca="1" si="109"/>
        <v>0</v>
      </c>
      <c r="AX101" s="185" t="str">
        <f t="shared" ca="1" si="109"/>
        <v>802.11a/b/g/n/ac/ax</v>
      </c>
      <c r="AY101" s="185">
        <f t="shared" ca="1" si="109"/>
        <v>5.0999999999999996</v>
      </c>
      <c r="AZ101" s="185">
        <f t="shared" ca="1" si="110"/>
        <v>11</v>
      </c>
      <c r="BA101" s="185" t="str">
        <f t="shared" ca="1" si="110"/>
        <v>Version 8.0</v>
      </c>
      <c r="BB101" s="185" t="str">
        <f t="shared" ca="1" si="110"/>
        <v>Ja</v>
      </c>
      <c r="BC101" s="185" t="str">
        <f t="shared" ca="1" si="110"/>
        <v>Google Chrome OS</v>
      </c>
      <c r="BD101" s="185" t="str">
        <f t="shared" ca="1" si="110"/>
        <v>Chromebook 14 G7</v>
      </c>
      <c r="BE101" s="185">
        <f t="shared" ca="1" si="110"/>
        <v>4088</v>
      </c>
      <c r="BF101" s="192">
        <f t="shared" ca="1" si="110"/>
        <v>123</v>
      </c>
      <c r="BG101" s="192">
        <f t="shared" ca="1" si="110"/>
        <v>425</v>
      </c>
      <c r="BH101" s="192">
        <f t="shared" ca="1" si="110"/>
        <v>249</v>
      </c>
      <c r="BI101" s="192">
        <f t="shared" ca="1" si="110"/>
        <v>131</v>
      </c>
      <c r="BJ101" s="192">
        <f t="shared" ca="1" si="111"/>
        <v>133</v>
      </c>
      <c r="BK101" s="192">
        <f t="shared" ca="1" si="111"/>
        <v>20</v>
      </c>
      <c r="BL101" s="192">
        <f t="shared" ca="1" si="111"/>
        <v>20</v>
      </c>
      <c r="BM101" s="192" t="str">
        <f t="shared" ca="1" si="111"/>
        <v>Cirafon</v>
      </c>
      <c r="BN101" s="192" t="str">
        <f t="shared" ca="1" si="111"/>
        <v>Cirafon</v>
      </c>
      <c r="BO101" s="192" t="str">
        <f t="shared" ca="1" si="111"/>
        <v>HP</v>
      </c>
      <c r="BP101" s="192">
        <f t="shared" ca="1" si="111"/>
        <v>0</v>
      </c>
      <c r="BQ101" s="192" t="str">
        <f t="shared" ca="1" si="111"/>
        <v>LSN8696R2-14.1</v>
      </c>
      <c r="BR101" s="192" t="str">
        <f t="shared" ca="1" si="111"/>
        <v>DPF14-9</v>
      </c>
      <c r="BS101" s="192" t="str">
        <f t="shared" ca="1" si="111"/>
        <v>1MZ01AA</v>
      </c>
      <c r="BT101" s="192">
        <f t="shared" ca="1" si="111"/>
        <v>0</v>
      </c>
      <c r="BU101" s="192"/>
      <c r="BV101" s="192"/>
      <c r="BW101" s="192" t="str">
        <f t="shared" ca="1" si="112"/>
        <v>Dustin Sverige AB</v>
      </c>
      <c r="BX101" s="192" t="str">
        <f t="shared" ca="1" si="112"/>
        <v>HP</v>
      </c>
      <c r="BY101" s="185"/>
      <c r="BZ101" s="185"/>
      <c r="CA101" s="185"/>
      <c r="CB101" s="185"/>
      <c r="CC101" s="185"/>
      <c r="CD101" s="185"/>
      <c r="CE101" s="185"/>
      <c r="CF101" s="185"/>
      <c r="CG101" s="185"/>
      <c r="CH101" s="185"/>
      <c r="CI101" s="185"/>
      <c r="CJ101" s="185"/>
      <c r="CK101" s="185"/>
      <c r="CL101" s="185"/>
      <c r="CM101" s="185"/>
    </row>
    <row r="102" spans="2:91" ht="22.5" customHeight="1" outlineLevel="1" x14ac:dyDescent="0.35">
      <c r="C102" s="61" t="s">
        <v>16</v>
      </c>
      <c r="D102" s="64"/>
      <c r="F102" s="78" t="str">
        <f t="shared" si="113"/>
        <v/>
      </c>
      <c r="G102" s="79">
        <f t="shared" ca="1" si="114"/>
        <v>32</v>
      </c>
      <c r="H102" s="79">
        <f t="shared" ca="1" si="114"/>
        <v>32</v>
      </c>
      <c r="I102" s="120">
        <f t="shared" ca="1" si="114"/>
        <v>64</v>
      </c>
      <c r="J102" s="62"/>
      <c r="Q102" s="185">
        <f t="shared" si="91"/>
        <v>0</v>
      </c>
      <c r="R102" s="185">
        <f t="shared" si="92"/>
        <v>0</v>
      </c>
      <c r="S102" s="185">
        <f t="shared" si="93"/>
        <v>0</v>
      </c>
      <c r="T102" s="185">
        <f t="shared" si="94"/>
        <v>0</v>
      </c>
      <c r="U102" s="185">
        <f t="shared" si="95"/>
        <v>0</v>
      </c>
      <c r="V102" s="185">
        <f t="shared" si="96"/>
        <v>0</v>
      </c>
      <c r="W102" s="185">
        <f t="shared" si="97"/>
        <v>0</v>
      </c>
      <c r="X102" s="185">
        <f t="shared" si="98"/>
        <v>0</v>
      </c>
      <c r="Y102" s="185">
        <f t="shared" ca="1" si="99"/>
        <v>3636</v>
      </c>
      <c r="Z102" s="185" t="str">
        <f t="shared" si="100"/>
        <v>Offererad produktnr. 05Foxway Education AB</v>
      </c>
      <c r="AA102" s="185" t="b">
        <f t="shared" si="101"/>
        <v>1</v>
      </c>
      <c r="AB102" s="185" t="b">
        <f t="shared" si="102"/>
        <v>1</v>
      </c>
      <c r="AC102" s="185" t="b">
        <f t="shared" si="103"/>
        <v>1</v>
      </c>
      <c r="AD102" s="185" t="b">
        <f t="shared" si="104"/>
        <v>1</v>
      </c>
      <c r="AE102" s="185" t="b">
        <f>IF($D$98="",TRUE,IF(COUNTIF(Processor!$I$2:$I$9,$D$98)&gt;0,AND(AT102&gt;INDEX(Processor!$J$2:$J$9,MATCH($D$98,Processor!$I$2:$I$9,0)),AT102&lt;INDEX(Processor!$K$2:$K$9,MATCH($D$98,Processor!$I$2:$I$9,0))),IF(AT102=$D$98,TRUE,FALSE)))</f>
        <v>1</v>
      </c>
      <c r="AF102" s="185" t="b">
        <f t="shared" si="105"/>
        <v>1</v>
      </c>
      <c r="AG102" s="185" t="b">
        <f t="shared" si="106"/>
        <v>1</v>
      </c>
      <c r="AH102" s="185" t="b">
        <f t="shared" si="107"/>
        <v>1</v>
      </c>
      <c r="AI102" s="185" t="b">
        <f t="shared" si="108"/>
        <v>1</v>
      </c>
      <c r="AJ102" s="185" t="b">
        <f>IFERROR(IF($D108="",TRUE,IF(MID(BA102,LEN(BA102)-2,1)*1&gt;=MID($D108,LEN($D108)-2,1)*1,TRUE,FALSE)),FALSE)</f>
        <v>1</v>
      </c>
      <c r="AK102" s="185"/>
      <c r="AL102" s="185"/>
      <c r="AM102" s="185"/>
      <c r="AN102" s="185" t="s">
        <v>214</v>
      </c>
      <c r="AO102" s="185">
        <v>1</v>
      </c>
      <c r="AP102" s="185" t="str">
        <f t="shared" ca="1" si="109"/>
        <v>1366x768</v>
      </c>
      <c r="AQ102" s="185" t="str">
        <f t="shared" ca="1" si="109"/>
        <v>MT8186</v>
      </c>
      <c r="AR102" s="185">
        <f t="shared" ca="1" si="109"/>
        <v>4</v>
      </c>
      <c r="AS102" s="185">
        <f t="shared" ca="1" si="109"/>
        <v>32</v>
      </c>
      <c r="AT102" s="185">
        <f t="shared" ca="1" si="109"/>
        <v>11.6</v>
      </c>
      <c r="AU102" s="185">
        <f t="shared" ca="1" si="109"/>
        <v>3</v>
      </c>
      <c r="AV102" s="185">
        <f t="shared" ca="1" si="109"/>
        <v>1</v>
      </c>
      <c r="AW102" s="185">
        <f t="shared" ca="1" si="109"/>
        <v>0</v>
      </c>
      <c r="AX102" s="185" t="str">
        <f t="shared" ca="1" si="109"/>
        <v>802.11a/b/g/n/ac</v>
      </c>
      <c r="AY102" s="185">
        <f t="shared" ca="1" si="109"/>
        <v>5.0999999999999996</v>
      </c>
      <c r="AZ102" s="185">
        <f t="shared" ca="1" si="110"/>
        <v>11</v>
      </c>
      <c r="BA102" s="185" t="str">
        <f t="shared" ca="1" si="110"/>
        <v>Version 8.0</v>
      </c>
      <c r="BB102" s="185" t="str">
        <f t="shared" ca="1" si="110"/>
        <v>Ja</v>
      </c>
      <c r="BC102" s="185" t="str">
        <f t="shared" ca="1" si="110"/>
        <v>Google Chrome OS</v>
      </c>
      <c r="BD102" s="185" t="str">
        <f t="shared" ca="1" si="110"/>
        <v>100e Chr Gen4</v>
      </c>
      <c r="BE102" s="185">
        <f t="shared" ca="1" si="110"/>
        <v>3636</v>
      </c>
      <c r="BF102" s="192">
        <f t="shared" ca="1" si="110"/>
        <v>78</v>
      </c>
      <c r="BG102" s="192">
        <f t="shared" ca="1" si="110"/>
        <v>240</v>
      </c>
      <c r="BH102" s="192">
        <f t="shared" ca="1" si="110"/>
        <v>210</v>
      </c>
      <c r="BI102" s="192">
        <f t="shared" ca="1" si="110"/>
        <v>405</v>
      </c>
      <c r="BJ102" s="192">
        <f t="shared" ca="1" si="111"/>
        <v>185</v>
      </c>
      <c r="BK102" s="192">
        <f t="shared" ca="1" si="111"/>
        <v>60</v>
      </c>
      <c r="BL102" s="192">
        <f t="shared" ca="1" si="111"/>
        <v>50</v>
      </c>
      <c r="BM102" s="192" t="str">
        <f t="shared" ca="1" si="111"/>
        <v>V7</v>
      </c>
      <c r="BN102" s="192" t="str">
        <f t="shared" ca="1" si="111"/>
        <v>Lenovo</v>
      </c>
      <c r="BO102" s="192" t="str">
        <f t="shared" ca="1" si="111"/>
        <v>Lenovo</v>
      </c>
      <c r="BP102" s="192">
        <f t="shared" ca="1" si="111"/>
        <v>0</v>
      </c>
      <c r="BQ102" s="192" t="str">
        <f t="shared" ca="1" si="111"/>
        <v>V7 Elite Sleeve 12"</v>
      </c>
      <c r="BR102" s="192" t="str">
        <f t="shared" ca="1" si="111"/>
        <v>Lenovo 11.6" Privacy Filter</v>
      </c>
      <c r="BS102" s="192" t="str">
        <f t="shared" ca="1" si="111"/>
        <v>Power adapter USB-C 45w</v>
      </c>
      <c r="BT102" s="192">
        <f t="shared" ca="1" si="111"/>
        <v>0</v>
      </c>
      <c r="BU102" s="192"/>
      <c r="BV102" s="192"/>
      <c r="BW102" s="192" t="str">
        <f t="shared" ca="1" si="112"/>
        <v>Foxway Education AB</v>
      </c>
      <c r="BX102" s="192" t="str">
        <f t="shared" ca="1" si="112"/>
        <v>Lenovo</v>
      </c>
      <c r="BY102" s="185"/>
      <c r="BZ102" s="185"/>
      <c r="CA102" s="185"/>
      <c r="CB102" s="185"/>
      <c r="CC102" s="185"/>
      <c r="CD102" s="185"/>
      <c r="CE102" s="185"/>
      <c r="CF102" s="185"/>
      <c r="CG102" s="185"/>
      <c r="CH102" s="185"/>
      <c r="CI102" s="185"/>
      <c r="CJ102" s="185"/>
      <c r="CK102" s="185"/>
      <c r="CL102" s="185"/>
      <c r="CM102" s="185"/>
    </row>
    <row r="103" spans="2:91" ht="22.5" customHeight="1" outlineLevel="1" x14ac:dyDescent="0.35">
      <c r="C103" s="61" t="s">
        <v>67</v>
      </c>
      <c r="D103" s="64"/>
      <c r="F103" s="78" t="str">
        <f t="shared" si="113"/>
        <v/>
      </c>
      <c r="G103" s="79">
        <f t="shared" ca="1" si="114"/>
        <v>2</v>
      </c>
      <c r="H103" s="79">
        <f t="shared" ca="1" si="114"/>
        <v>4</v>
      </c>
      <c r="I103" s="120">
        <f t="shared" ca="1" si="114"/>
        <v>3</v>
      </c>
      <c r="J103" s="62"/>
      <c r="Q103" s="185">
        <f t="shared" si="91"/>
        <v>0</v>
      </c>
      <c r="R103" s="185">
        <f t="shared" si="92"/>
        <v>0</v>
      </c>
      <c r="S103" s="185">
        <f t="shared" si="93"/>
        <v>0</v>
      </c>
      <c r="T103" s="185">
        <f t="shared" si="94"/>
        <v>0</v>
      </c>
      <c r="U103" s="185">
        <f t="shared" si="95"/>
        <v>0</v>
      </c>
      <c r="V103" s="185">
        <f t="shared" si="96"/>
        <v>0</v>
      </c>
      <c r="W103" s="185">
        <f t="shared" si="97"/>
        <v>0</v>
      </c>
      <c r="X103" s="185">
        <f t="shared" si="98"/>
        <v>0</v>
      </c>
      <c r="Y103" s="185">
        <f t="shared" ca="1" si="99"/>
        <v>5133</v>
      </c>
      <c r="Z103" s="185" t="str">
        <f t="shared" si="100"/>
        <v>Offererad produktnr. 06Foxway Education AB</v>
      </c>
      <c r="AA103" s="185" t="b">
        <f t="shared" si="101"/>
        <v>1</v>
      </c>
      <c r="AB103" s="185" t="b">
        <f t="shared" si="102"/>
        <v>1</v>
      </c>
      <c r="AC103" s="185" t="b">
        <f t="shared" si="103"/>
        <v>1</v>
      </c>
      <c r="AD103" s="185" t="b">
        <f t="shared" si="104"/>
        <v>1</v>
      </c>
      <c r="AE103" s="185" t="b">
        <f>IF($D$98="",TRUE,IF(COUNTIF(Processor!$I$2:$I$9,$D$98)&gt;0,AND(AT103&gt;INDEX(Processor!$J$2:$J$9,MATCH($D$98,Processor!$I$2:$I$9,0)),AT103&lt;INDEX(Processor!$K$2:$K$9,MATCH($D$98,Processor!$I$2:$I$9,0))),IF(AT103=$D$98,TRUE,FALSE)))</f>
        <v>1</v>
      </c>
      <c r="AF103" s="185" t="b">
        <f t="shared" si="105"/>
        <v>1</v>
      </c>
      <c r="AG103" s="185" t="b">
        <f t="shared" si="106"/>
        <v>1</v>
      </c>
      <c r="AH103" s="185" t="b">
        <f t="shared" si="107"/>
        <v>1</v>
      </c>
      <c r="AI103" s="185" t="b">
        <f t="shared" si="108"/>
        <v>1</v>
      </c>
      <c r="AJ103" s="185" t="b">
        <f>IFERROR(IF($D108="",TRUE,IF(MID(BA103,LEN(BA103)-2,1)*1&gt;=MID($D108,LEN($D108)-2,1)*1,TRUE,FALSE)),FALSE)</f>
        <v>1</v>
      </c>
      <c r="AK103" s="185"/>
      <c r="AL103" s="185"/>
      <c r="AM103" s="185"/>
      <c r="AN103" s="185" t="s">
        <v>215</v>
      </c>
      <c r="AO103" s="185">
        <v>1</v>
      </c>
      <c r="AP103" s="185" t="str">
        <f t="shared" ca="1" si="109"/>
        <v>1920x1080</v>
      </c>
      <c r="AQ103" s="185" t="str">
        <f t="shared" ca="1" si="109"/>
        <v>Intel Celeron</v>
      </c>
      <c r="AR103" s="185">
        <f t="shared" ca="1" si="109"/>
        <v>8</v>
      </c>
      <c r="AS103" s="185">
        <f t="shared" ca="1" si="109"/>
        <v>64</v>
      </c>
      <c r="AT103" s="185">
        <f t="shared" ca="1" si="109"/>
        <v>14</v>
      </c>
      <c r="AU103" s="185">
        <f t="shared" ca="1" si="109"/>
        <v>3</v>
      </c>
      <c r="AV103" s="185">
        <f t="shared" ca="1" si="109"/>
        <v>1</v>
      </c>
      <c r="AW103" s="185">
        <f t="shared" ca="1" si="109"/>
        <v>0</v>
      </c>
      <c r="AX103" s="185" t="str">
        <f t="shared" ca="1" si="109"/>
        <v>802.11a/b/g/n/ac/ax</v>
      </c>
      <c r="AY103" s="185">
        <f t="shared" ca="1" si="109"/>
        <v>5</v>
      </c>
      <c r="AZ103" s="185">
        <f t="shared" ca="1" si="110"/>
        <v>11</v>
      </c>
      <c r="BA103" s="185" t="str">
        <f t="shared" ca="1" si="110"/>
        <v>Version 8.0</v>
      </c>
      <c r="BB103" s="185" t="str">
        <f t="shared" ca="1" si="110"/>
        <v>Ja</v>
      </c>
      <c r="BC103" s="185" t="str">
        <f t="shared" ca="1" si="110"/>
        <v>Google Chrome OS</v>
      </c>
      <c r="BD103" s="185" t="str">
        <f t="shared" ca="1" si="110"/>
        <v>Chromebook 14 G7</v>
      </c>
      <c r="BE103" s="185">
        <f t="shared" ca="1" si="110"/>
        <v>5133</v>
      </c>
      <c r="BF103" s="192">
        <f t="shared" ca="1" si="110"/>
        <v>78</v>
      </c>
      <c r="BG103" s="192">
        <f t="shared" ca="1" si="110"/>
        <v>276</v>
      </c>
      <c r="BH103" s="192">
        <f t="shared" ca="1" si="110"/>
        <v>240</v>
      </c>
      <c r="BI103" s="192">
        <f t="shared" ca="1" si="110"/>
        <v>162</v>
      </c>
      <c r="BJ103" s="192">
        <f t="shared" ca="1" si="111"/>
        <v>185</v>
      </c>
      <c r="BK103" s="192">
        <f t="shared" ca="1" si="111"/>
        <v>60</v>
      </c>
      <c r="BL103" s="192">
        <f t="shared" ca="1" si="111"/>
        <v>50</v>
      </c>
      <c r="BM103" s="192" t="str">
        <f t="shared" ca="1" si="111"/>
        <v>V7</v>
      </c>
      <c r="BN103" s="192" t="str">
        <f t="shared" ca="1" si="111"/>
        <v>Targus</v>
      </c>
      <c r="BO103" s="192" t="str">
        <f t="shared" ca="1" si="111"/>
        <v>HP</v>
      </c>
      <c r="BP103" s="192">
        <f t="shared" ca="1" si="111"/>
        <v>0</v>
      </c>
      <c r="BQ103" s="192" t="str">
        <f t="shared" ca="1" si="111"/>
        <v>V7 Elite Sleeve 12"</v>
      </c>
      <c r="BR103" s="192" t="str">
        <f t="shared" ca="1" si="111"/>
        <v>Targus Privacy Screen 14"</v>
      </c>
      <c r="BS103" s="192" t="str">
        <f t="shared" ca="1" si="111"/>
        <v>HP 45W USB-C Power Adapter G2</v>
      </c>
      <c r="BT103" s="192">
        <f t="shared" ca="1" si="111"/>
        <v>0</v>
      </c>
      <c r="BU103" s="192"/>
      <c r="BV103" s="192"/>
      <c r="BW103" s="192" t="str">
        <f t="shared" ca="1" si="112"/>
        <v>Foxway Education AB</v>
      </c>
      <c r="BX103" s="192" t="str">
        <f t="shared" ca="1" si="112"/>
        <v>HP</v>
      </c>
      <c r="BY103" s="185"/>
      <c r="BZ103" s="185"/>
      <c r="CA103" s="185"/>
      <c r="CB103" s="185"/>
      <c r="CC103" s="185"/>
      <c r="CD103" s="185"/>
      <c r="CE103" s="185"/>
      <c r="CF103" s="185"/>
      <c r="CG103" s="185"/>
      <c r="CH103" s="185"/>
      <c r="CI103" s="185"/>
      <c r="CJ103" s="185"/>
      <c r="CK103" s="185"/>
      <c r="CL103" s="185"/>
      <c r="CM103" s="185"/>
    </row>
    <row r="104" spans="2:91" ht="22.5" customHeight="1" outlineLevel="1" x14ac:dyDescent="0.35">
      <c r="C104" s="61" t="s">
        <v>74</v>
      </c>
      <c r="D104" s="64"/>
      <c r="F104" s="78" t="str">
        <f t="shared" si="113"/>
        <v/>
      </c>
      <c r="G104" s="79">
        <f t="shared" ca="1" si="114"/>
        <v>1</v>
      </c>
      <c r="H104" s="79">
        <f t="shared" ca="1" si="114"/>
        <v>2</v>
      </c>
      <c r="I104" s="120">
        <f t="shared" ca="1" si="114"/>
        <v>1</v>
      </c>
      <c r="J104" s="62"/>
      <c r="Q104" s="185">
        <f t="shared" si="91"/>
        <v>0</v>
      </c>
      <c r="R104" s="185">
        <f t="shared" si="92"/>
        <v>0</v>
      </c>
      <c r="S104" s="185">
        <f t="shared" si="93"/>
        <v>0</v>
      </c>
      <c r="T104" s="185">
        <f t="shared" si="94"/>
        <v>0</v>
      </c>
      <c r="U104" s="185">
        <f t="shared" si="95"/>
        <v>0</v>
      </c>
      <c r="V104" s="185">
        <f t="shared" si="96"/>
        <v>0</v>
      </c>
      <c r="W104" s="185">
        <f t="shared" si="97"/>
        <v>0</v>
      </c>
      <c r="X104" s="185">
        <f t="shared" si="98"/>
        <v>0</v>
      </c>
      <c r="Y104" s="185">
        <f t="shared" ca="1" si="99"/>
        <v>2950</v>
      </c>
      <c r="Z104" s="185" t="str">
        <f t="shared" si="100"/>
        <v>Offererad produktnr. 05Qlosr Göteborg AB</v>
      </c>
      <c r="AA104" s="185" t="b">
        <f t="shared" si="101"/>
        <v>1</v>
      </c>
      <c r="AB104" s="185" t="b">
        <f t="shared" si="102"/>
        <v>1</v>
      </c>
      <c r="AC104" s="185" t="b">
        <f t="shared" si="103"/>
        <v>1</v>
      </c>
      <c r="AD104" s="185" t="b">
        <f t="shared" si="104"/>
        <v>1</v>
      </c>
      <c r="AE104" s="185" t="b">
        <f>IF($D$98="",TRUE,IF(COUNTIF(Processor!$I$2:$I$9,$D$98)&gt;0,AND(AT104&gt;INDEX(Processor!$J$2:$J$9,MATCH($D$98,Processor!$I$2:$I$9,0)),AT104&lt;INDEX(Processor!$K$2:$K$9,MATCH($D$98,Processor!$I$2:$I$9,0))),IF(AT104=$D$98,TRUE,FALSE)))</f>
        <v>1</v>
      </c>
      <c r="AF104" s="185" t="b">
        <f t="shared" si="105"/>
        <v>1</v>
      </c>
      <c r="AG104" s="185" t="b">
        <f t="shared" si="106"/>
        <v>1</v>
      </c>
      <c r="AH104" s="185" t="b">
        <f t="shared" si="107"/>
        <v>1</v>
      </c>
      <c r="AI104" s="185" t="b">
        <f t="shared" si="108"/>
        <v>1</v>
      </c>
      <c r="AJ104" s="185" t="b">
        <f>IFERROR(IF($D108="",TRUE,IF(MID(BA104,LEN(BA104)-2,1)*1&gt;=MID($D108,LEN($D108)-2,1)*1,TRUE,FALSE)),FALSE)</f>
        <v>1</v>
      </c>
      <c r="AK104" s="185"/>
      <c r="AL104" s="185"/>
      <c r="AM104" s="185"/>
      <c r="AN104" s="185" t="s">
        <v>556</v>
      </c>
      <c r="AO104" s="185">
        <v>1</v>
      </c>
      <c r="AP104" s="185" t="str">
        <f t="shared" ca="1" si="109"/>
        <v>1366x768</v>
      </c>
      <c r="AQ104" s="185" t="str">
        <f t="shared" ca="1" si="109"/>
        <v>Intel Celeron</v>
      </c>
      <c r="AR104" s="185">
        <f t="shared" ca="1" si="109"/>
        <v>4</v>
      </c>
      <c r="AS104" s="185">
        <f t="shared" ca="1" si="109"/>
        <v>32</v>
      </c>
      <c r="AT104" s="185">
        <f t="shared" ca="1" si="109"/>
        <v>11.6</v>
      </c>
      <c r="AU104" s="185">
        <f t="shared" ca="1" si="109"/>
        <v>2</v>
      </c>
      <c r="AV104" s="185">
        <f t="shared" ca="1" si="109"/>
        <v>1</v>
      </c>
      <c r="AW104" s="185">
        <f t="shared" ca="1" si="109"/>
        <v>0</v>
      </c>
      <c r="AX104" s="185" t="str">
        <f t="shared" ca="1" si="109"/>
        <v>802.11a/b/g/n/ac/ax</v>
      </c>
      <c r="AY104" s="185">
        <f t="shared" ca="1" si="109"/>
        <v>5.0999999999999996</v>
      </c>
      <c r="AZ104" s="185">
        <f t="shared" ca="1" si="110"/>
        <v>11</v>
      </c>
      <c r="BA104" s="185" t="str">
        <f t="shared" ca="1" si="110"/>
        <v>Version 8.0</v>
      </c>
      <c r="BB104" s="185" t="str">
        <f t="shared" ca="1" si="110"/>
        <v>Ja</v>
      </c>
      <c r="BC104" s="185" t="str">
        <f t="shared" ca="1" si="110"/>
        <v>Google Chrome OS</v>
      </c>
      <c r="BD104" s="185" t="str">
        <f t="shared" ca="1" si="110"/>
        <v>Chromebook 3110</v>
      </c>
      <c r="BE104" s="185">
        <f t="shared" ca="1" si="110"/>
        <v>2950</v>
      </c>
      <c r="BF104" s="192">
        <f t="shared" ca="1" si="110"/>
        <v>59</v>
      </c>
      <c r="BG104" s="192">
        <f t="shared" ca="1" si="110"/>
        <v>287</v>
      </c>
      <c r="BH104" s="192">
        <f t="shared" ca="1" si="110"/>
        <v>240</v>
      </c>
      <c r="BI104" s="192">
        <f t="shared" ca="1" si="110"/>
        <v>275</v>
      </c>
      <c r="BJ104" s="192">
        <f t="shared" ca="1" si="111"/>
        <v>70</v>
      </c>
      <c r="BK104" s="192">
        <f t="shared" ca="1" si="111"/>
        <v>25</v>
      </c>
      <c r="BL104" s="192">
        <f t="shared" ca="1" si="111"/>
        <v>25</v>
      </c>
      <c r="BM104" s="192" t="str">
        <f t="shared" ca="1" si="111"/>
        <v>HP</v>
      </c>
      <c r="BN104" s="192" t="str">
        <f t="shared" ca="1" si="111"/>
        <v>Kapsolo</v>
      </c>
      <c r="BO104" s="192" t="str">
        <f t="shared" ca="1" si="111"/>
        <v>Dell</v>
      </c>
      <c r="BP104" s="192">
        <f t="shared" ca="1" si="111"/>
        <v>0</v>
      </c>
      <c r="BQ104" s="192" t="str">
        <f t="shared" ca="1" si="111"/>
        <v>GBX77E81AA</v>
      </c>
      <c r="BR104" s="192" t="str">
        <f t="shared" ca="1" si="111"/>
        <v>GBXKAP10145</v>
      </c>
      <c r="BS104" s="192" t="str">
        <f t="shared" ca="1" si="111"/>
        <v>DELL-921CW</v>
      </c>
      <c r="BT104" s="192">
        <f t="shared" ca="1" si="111"/>
        <v>0</v>
      </c>
      <c r="BU104" s="192"/>
      <c r="BV104" s="192"/>
      <c r="BW104" s="192" t="str">
        <f t="shared" ca="1" si="112"/>
        <v>Qlosr Göteborg AB</v>
      </c>
      <c r="BX104" s="192" t="str">
        <f t="shared" ca="1" si="112"/>
        <v>Dell</v>
      </c>
      <c r="BY104" s="185"/>
      <c r="BZ104" s="185"/>
      <c r="CA104" s="185"/>
      <c r="CB104" s="185"/>
      <c r="CC104" s="185"/>
      <c r="CD104" s="185"/>
      <c r="CE104" s="185"/>
      <c r="CF104" s="185"/>
      <c r="CG104" s="185"/>
      <c r="CH104" s="185"/>
      <c r="CI104" s="185"/>
      <c r="CJ104" s="185"/>
      <c r="CK104" s="185"/>
      <c r="CL104" s="185"/>
      <c r="CM104" s="185"/>
    </row>
    <row r="105" spans="2:91" ht="22.5" customHeight="1" outlineLevel="1" x14ac:dyDescent="0.35">
      <c r="C105" s="61" t="s">
        <v>103</v>
      </c>
      <c r="D105" s="64"/>
      <c r="F105" s="78" t="str">
        <f t="shared" si="113"/>
        <v/>
      </c>
      <c r="G105" s="79" t="str">
        <f t="shared" ca="1" si="114"/>
        <v>802.11a/b/g/n/ac/ax</v>
      </c>
      <c r="H105" s="79" t="str">
        <f t="shared" ca="1" si="114"/>
        <v>802.11a/b/g/n/ac/ax</v>
      </c>
      <c r="I105" s="120" t="str">
        <f t="shared" ca="1" si="114"/>
        <v>802.11a/b/g/n/ac/ax</v>
      </c>
      <c r="J105" s="62"/>
      <c r="Q105" s="185">
        <f t="shared" si="91"/>
        <v>0</v>
      </c>
      <c r="R105" s="185">
        <f t="shared" si="92"/>
        <v>0</v>
      </c>
      <c r="S105" s="185">
        <f t="shared" si="93"/>
        <v>0</v>
      </c>
      <c r="T105" s="185">
        <f t="shared" si="94"/>
        <v>0</v>
      </c>
      <c r="U105" s="185">
        <f t="shared" si="95"/>
        <v>0</v>
      </c>
      <c r="V105" s="185">
        <f t="shared" si="96"/>
        <v>0</v>
      </c>
      <c r="W105" s="185">
        <f t="shared" si="97"/>
        <v>0</v>
      </c>
      <c r="X105" s="185">
        <f t="shared" si="98"/>
        <v>0</v>
      </c>
      <c r="Y105" s="185">
        <f t="shared" ca="1" si="99"/>
        <v>3610</v>
      </c>
      <c r="Z105" s="185" t="str">
        <f t="shared" si="100"/>
        <v>Offererad produktnr. 06Qlosr Göteborg AB</v>
      </c>
      <c r="AA105" s="185" t="b">
        <f t="shared" si="101"/>
        <v>1</v>
      </c>
      <c r="AB105" s="185" t="b">
        <f t="shared" si="102"/>
        <v>1</v>
      </c>
      <c r="AC105" s="185" t="b">
        <f t="shared" si="103"/>
        <v>1</v>
      </c>
      <c r="AD105" s="185" t="b">
        <f t="shared" si="104"/>
        <v>1</v>
      </c>
      <c r="AE105" s="185" t="b">
        <f>IF($D$98="",TRUE,IF(COUNTIF(Processor!$I$2:$I$9,$D$98)&gt;0,AND(AT105&gt;INDEX(Processor!$J$2:$J$9,MATCH($D$98,Processor!$I$2:$I$9,0)),AT105&lt;INDEX(Processor!$K$2:$K$9,MATCH($D$98,Processor!$I$2:$I$9,0))),IF(AT105=$D$98,TRUE,FALSE)))</f>
        <v>1</v>
      </c>
      <c r="AF105" s="185" t="b">
        <f t="shared" si="105"/>
        <v>1</v>
      </c>
      <c r="AG105" s="185" t="b">
        <f t="shared" si="106"/>
        <v>1</v>
      </c>
      <c r="AH105" s="185" t="b">
        <f t="shared" si="107"/>
        <v>1</v>
      </c>
      <c r="AI105" s="185" t="b">
        <f t="shared" si="108"/>
        <v>1</v>
      </c>
      <c r="AJ105" s="185" t="b">
        <f>IFERROR(IF($D108="",TRUE,IF(MID(BA105,LEN(BA105)-2,1)*1&gt;=MID($D108,LEN($D108)-2,1)*1,TRUE,FALSE)),FALSE)</f>
        <v>1</v>
      </c>
      <c r="AK105" s="185"/>
      <c r="AL105" s="185"/>
      <c r="AM105" s="185"/>
      <c r="AN105" s="185" t="s">
        <v>557</v>
      </c>
      <c r="AO105" s="185">
        <v>1</v>
      </c>
      <c r="AP105" s="185" t="str">
        <f t="shared" ca="1" si="109"/>
        <v>1920x1080</v>
      </c>
      <c r="AQ105" s="185" t="str">
        <f t="shared" ca="1" si="109"/>
        <v>Intel Celeron</v>
      </c>
      <c r="AR105" s="185">
        <f t="shared" ca="1" si="109"/>
        <v>8</v>
      </c>
      <c r="AS105" s="185">
        <f t="shared" ca="1" si="109"/>
        <v>64</v>
      </c>
      <c r="AT105" s="185">
        <f t="shared" ca="1" si="109"/>
        <v>14</v>
      </c>
      <c r="AU105" s="185">
        <f t="shared" ca="1" si="109"/>
        <v>3</v>
      </c>
      <c r="AV105" s="185">
        <f t="shared" ca="1" si="109"/>
        <v>1</v>
      </c>
      <c r="AW105" s="185">
        <f t="shared" ca="1" si="109"/>
        <v>0</v>
      </c>
      <c r="AX105" s="185" t="str">
        <f t="shared" ca="1" si="109"/>
        <v>802.11a/b/g/n/ac/ax</v>
      </c>
      <c r="AY105" s="185">
        <f t="shared" ca="1" si="109"/>
        <v>5</v>
      </c>
      <c r="AZ105" s="185">
        <f t="shared" ca="1" si="110"/>
        <v>11</v>
      </c>
      <c r="BA105" s="185" t="str">
        <f t="shared" ca="1" si="110"/>
        <v>Version 8.0</v>
      </c>
      <c r="BB105" s="185" t="str">
        <f t="shared" ca="1" si="110"/>
        <v>Ja</v>
      </c>
      <c r="BC105" s="185" t="str">
        <f t="shared" ca="1" si="110"/>
        <v>Google Chrome OS</v>
      </c>
      <c r="BD105" s="185" t="str">
        <f t="shared" ca="1" si="110"/>
        <v>Chromebook 14 G7</v>
      </c>
      <c r="BE105" s="185">
        <f t="shared" ca="1" si="110"/>
        <v>3610</v>
      </c>
      <c r="BF105" s="192">
        <f t="shared" ca="1" si="110"/>
        <v>64</v>
      </c>
      <c r="BG105" s="192">
        <f t="shared" ca="1" si="110"/>
        <v>298</v>
      </c>
      <c r="BH105" s="192">
        <f t="shared" ca="1" si="110"/>
        <v>198</v>
      </c>
      <c r="BI105" s="192">
        <f t="shared" ca="1" si="110"/>
        <v>125</v>
      </c>
      <c r="BJ105" s="192">
        <f t="shared" ca="1" si="111"/>
        <v>70</v>
      </c>
      <c r="BK105" s="192">
        <f t="shared" ca="1" si="111"/>
        <v>25</v>
      </c>
      <c r="BL105" s="192">
        <f t="shared" ca="1" si="111"/>
        <v>25</v>
      </c>
      <c r="BM105" s="192" t="str">
        <f t="shared" ca="1" si="111"/>
        <v>HP</v>
      </c>
      <c r="BN105" s="192" t="str">
        <f t="shared" ca="1" si="111"/>
        <v>Kapsolo</v>
      </c>
      <c r="BO105" s="192" t="str">
        <f t="shared" ca="1" si="111"/>
        <v>HP</v>
      </c>
      <c r="BP105" s="192">
        <f t="shared" ca="1" si="111"/>
        <v>0</v>
      </c>
      <c r="BQ105" s="192" t="str">
        <f t="shared" ca="1" si="111"/>
        <v>GBX2UW01AA</v>
      </c>
      <c r="BR105" s="192" t="str">
        <f t="shared" ca="1" si="111"/>
        <v>GBXKAP10478</v>
      </c>
      <c r="BS105" s="192" t="str">
        <f t="shared" ca="1" si="111"/>
        <v>GBX1HE07AA</v>
      </c>
      <c r="BT105" s="192">
        <f t="shared" ca="1" si="111"/>
        <v>0</v>
      </c>
      <c r="BU105" s="192"/>
      <c r="BV105" s="192"/>
      <c r="BW105" s="192" t="str">
        <f t="shared" ca="1" si="112"/>
        <v>Qlosr Göteborg AB</v>
      </c>
      <c r="BX105" s="192" t="str">
        <f t="shared" ca="1" si="112"/>
        <v>HP</v>
      </c>
      <c r="BY105" s="185"/>
      <c r="BZ105" s="185"/>
      <c r="CA105" s="185"/>
      <c r="CB105" s="185"/>
      <c r="CC105" s="185"/>
      <c r="CD105" s="185"/>
      <c r="CE105" s="185"/>
      <c r="CF105" s="185"/>
      <c r="CG105" s="185"/>
      <c r="CH105" s="185"/>
      <c r="CI105" s="185"/>
      <c r="CJ105" s="185"/>
      <c r="CK105" s="185"/>
      <c r="CL105" s="185"/>
      <c r="CM105" s="185"/>
    </row>
    <row r="106" spans="2:91" ht="33.75" customHeight="1" outlineLevel="1" x14ac:dyDescent="0.35">
      <c r="C106" s="61" t="s">
        <v>75</v>
      </c>
      <c r="D106" s="110"/>
      <c r="F106" s="78" t="str">
        <f t="shared" si="113"/>
        <v/>
      </c>
      <c r="G106" s="79">
        <f t="shared" ca="1" si="114"/>
        <v>5.0999999999999996</v>
      </c>
      <c r="H106" s="79">
        <f t="shared" ca="1" si="114"/>
        <v>5</v>
      </c>
      <c r="I106" s="120">
        <f t="shared" ca="1" si="114"/>
        <v>5</v>
      </c>
      <c r="J106" s="94"/>
      <c r="BF106" s="63"/>
      <c r="BG106" s="63"/>
      <c r="BH106" s="63"/>
      <c r="BI106" s="63"/>
      <c r="BJ106" s="63"/>
      <c r="BK106" s="63"/>
      <c r="BL106" s="63"/>
      <c r="BM106" s="63"/>
      <c r="BN106" s="63"/>
      <c r="BO106" s="63"/>
      <c r="BP106" s="63"/>
      <c r="BQ106" s="63"/>
      <c r="BR106" s="63"/>
      <c r="BS106" s="63"/>
      <c r="BT106" s="63"/>
      <c r="BU106" s="63"/>
      <c r="BV106" s="63"/>
      <c r="BW106" s="63"/>
      <c r="BX106" s="63"/>
    </row>
    <row r="107" spans="2:91" ht="33.75" customHeight="1" outlineLevel="1" x14ac:dyDescent="0.35">
      <c r="C107" s="61" t="s">
        <v>120</v>
      </c>
      <c r="D107" s="65"/>
      <c r="F107" s="80" t="str">
        <f t="shared" si="113"/>
        <v/>
      </c>
      <c r="G107" s="81">
        <f t="shared" ca="1" si="114"/>
        <v>11</v>
      </c>
      <c r="H107" s="81">
        <f t="shared" ca="1" si="114"/>
        <v>11</v>
      </c>
      <c r="I107" s="121">
        <f t="shared" ca="1" si="114"/>
        <v>11</v>
      </c>
      <c r="J107" s="62"/>
      <c r="BF107" s="63"/>
      <c r="BG107" s="63"/>
      <c r="BH107" s="63"/>
      <c r="BI107" s="63"/>
      <c r="BJ107" s="63"/>
      <c r="BK107" s="63"/>
      <c r="BL107" s="63"/>
      <c r="BM107" s="63"/>
      <c r="BN107" s="63"/>
      <c r="BO107" s="63"/>
      <c r="BP107" s="63"/>
      <c r="BQ107" s="63"/>
      <c r="BR107" s="63"/>
      <c r="BS107" s="63"/>
      <c r="BT107" s="63"/>
      <c r="BU107" s="63"/>
      <c r="BV107" s="63"/>
      <c r="BW107" s="63"/>
      <c r="BX107" s="63"/>
    </row>
    <row r="108" spans="2:91" ht="33.75" customHeight="1" outlineLevel="1" x14ac:dyDescent="0.35">
      <c r="C108" s="61" t="s">
        <v>38</v>
      </c>
      <c r="D108" s="64"/>
      <c r="F108" s="78" t="str">
        <f t="shared" si="113"/>
        <v/>
      </c>
      <c r="G108" s="81" t="str">
        <f t="shared" ca="1" si="114"/>
        <v>Version 8.0</v>
      </c>
      <c r="H108" s="81" t="str">
        <f t="shared" ca="1" si="114"/>
        <v>Version 8.0</v>
      </c>
      <c r="I108" s="121" t="str">
        <f t="shared" ca="1" si="114"/>
        <v>Version 8.0</v>
      </c>
      <c r="J108" s="62"/>
      <c r="BF108" s="63"/>
      <c r="BG108" s="63"/>
      <c r="BH108" s="63"/>
      <c r="BI108" s="63"/>
      <c r="BJ108" s="63"/>
      <c r="BK108" s="63"/>
      <c r="BL108" s="63"/>
      <c r="BM108" s="63"/>
      <c r="BN108" s="63"/>
      <c r="BO108" s="63"/>
      <c r="BP108" s="63"/>
      <c r="BQ108" s="63"/>
      <c r="BR108" s="63"/>
      <c r="BS108" s="63"/>
      <c r="BT108" s="63"/>
      <c r="BU108" s="63"/>
      <c r="BV108" s="63"/>
      <c r="BW108" s="63"/>
      <c r="BX108" s="63"/>
    </row>
    <row r="109" spans="2:91" ht="33.75" customHeight="1" outlineLevel="1" x14ac:dyDescent="0.35">
      <c r="C109" s="61" t="s">
        <v>37</v>
      </c>
      <c r="D109" s="64"/>
      <c r="F109" s="78" t="str">
        <f t="shared" si="113"/>
        <v/>
      </c>
      <c r="G109" s="79" t="str">
        <f t="shared" ca="1" si="114"/>
        <v>Ja</v>
      </c>
      <c r="H109" s="79" t="str">
        <f t="shared" ca="1" si="114"/>
        <v>Ja</v>
      </c>
      <c r="I109" s="120" t="str">
        <f t="shared" ca="1" si="114"/>
        <v>Ja</v>
      </c>
      <c r="J109" s="62"/>
      <c r="BF109" s="63"/>
      <c r="BG109" s="63"/>
      <c r="BH109" s="63"/>
      <c r="BI109" s="63"/>
      <c r="BJ109" s="63"/>
      <c r="BK109" s="63"/>
      <c r="BL109" s="63"/>
      <c r="BM109" s="63"/>
      <c r="BN109" s="63"/>
      <c r="BO109" s="63"/>
      <c r="BP109" s="63"/>
      <c r="BQ109" s="63"/>
      <c r="BR109" s="63"/>
      <c r="BS109" s="63"/>
      <c r="BT109" s="63"/>
      <c r="BU109" s="63"/>
      <c r="BV109" s="63"/>
      <c r="BW109" s="63"/>
      <c r="BX109" s="63"/>
    </row>
    <row r="110" spans="2:91" ht="23.25" customHeight="1" outlineLevel="1" x14ac:dyDescent="0.35">
      <c r="C110" s="66"/>
      <c r="D110" s="67"/>
      <c r="G110" s="62"/>
      <c r="H110" s="62"/>
      <c r="I110" s="62"/>
      <c r="J110" s="62"/>
      <c r="BF110" s="63"/>
      <c r="BG110" s="63"/>
      <c r="BH110" s="63"/>
      <c r="BI110" s="63"/>
      <c r="BJ110" s="63"/>
      <c r="BK110" s="63"/>
      <c r="BL110" s="63"/>
      <c r="BM110" s="63"/>
      <c r="BN110" s="63"/>
      <c r="BO110" s="63"/>
      <c r="BP110" s="63"/>
      <c r="BQ110" s="63"/>
      <c r="BR110" s="63"/>
      <c r="BS110" s="63"/>
      <c r="BT110" s="63"/>
      <c r="BU110" s="63"/>
      <c r="BV110" s="63"/>
      <c r="BW110" s="63"/>
      <c r="BX110" s="63"/>
    </row>
    <row r="111" spans="2:91" ht="23.25" customHeight="1" outlineLevel="1" x14ac:dyDescent="0.35">
      <c r="C111" s="212" t="s">
        <v>366</v>
      </c>
      <c r="D111" s="213"/>
      <c r="E111" s="213"/>
      <c r="F111" s="213"/>
      <c r="G111" s="213"/>
      <c r="H111" s="213"/>
      <c r="I111" s="214"/>
      <c r="J111" s="62"/>
      <c r="BF111" s="63"/>
      <c r="BG111" s="63"/>
      <c r="BH111" s="63"/>
      <c r="BI111" s="63"/>
      <c r="BJ111" s="63"/>
      <c r="BK111" s="63"/>
      <c r="BL111" s="63"/>
      <c r="BM111" s="63"/>
      <c r="BN111" s="63"/>
      <c r="BO111" s="63"/>
      <c r="BP111" s="63"/>
      <c r="BQ111" s="63"/>
      <c r="BR111" s="63"/>
      <c r="BS111" s="63"/>
      <c r="BT111" s="63"/>
      <c r="BU111" s="63"/>
      <c r="BV111" s="63"/>
      <c r="BW111" s="63"/>
      <c r="BX111" s="63"/>
    </row>
    <row r="112" spans="2:91" ht="23.25" customHeight="1" outlineLevel="1" x14ac:dyDescent="0.35">
      <c r="B112" s="69" t="s">
        <v>53</v>
      </c>
      <c r="C112" s="95" t="s">
        <v>363</v>
      </c>
      <c r="D112" s="70"/>
      <c r="F112" s="159" t="str">
        <f t="shared" ref="F112:F120" si="115">IF(F$94="Inget antal angivet","",IFERROR(INDEX($AP$95:$BX$119,MATCH(F$91,$AN$95:$AN$119,0),MATCH($B112,$AP$95:$BX$95,0)),""))</f>
        <v/>
      </c>
      <c r="G112" s="160">
        <f t="shared" ref="G112:I120" ca="1" si="116">IFERROR(INDEX($AP$95:$BX$119,MATCH(G$91,$AN$95:$AN$119,0),MATCH($B112,$AP$95:$BX$95,0)),"")</f>
        <v>59</v>
      </c>
      <c r="H112" s="160">
        <f t="shared" ca="1" si="116"/>
        <v>87</v>
      </c>
      <c r="I112" s="160">
        <f t="shared" ca="1" si="116"/>
        <v>64</v>
      </c>
      <c r="J112" s="73"/>
      <c r="BF112" s="63"/>
      <c r="BG112" s="63"/>
      <c r="BH112" s="63"/>
      <c r="BI112" s="63"/>
      <c r="BJ112" s="63"/>
      <c r="BK112" s="63"/>
      <c r="BL112" s="63"/>
      <c r="BM112" s="63"/>
      <c r="BN112" s="63"/>
      <c r="BO112" s="63"/>
      <c r="BP112" s="63"/>
      <c r="BQ112" s="63"/>
      <c r="BR112" s="63"/>
      <c r="BS112" s="63"/>
      <c r="BT112" s="63"/>
      <c r="BU112" s="63"/>
      <c r="BV112" s="63"/>
      <c r="BW112" s="63"/>
      <c r="BX112" s="63"/>
    </row>
    <row r="113" spans="2:76" ht="23.25" customHeight="1" outlineLevel="1" x14ac:dyDescent="0.35">
      <c r="B113" s="69" t="s">
        <v>340</v>
      </c>
      <c r="C113" s="96" t="s">
        <v>51</v>
      </c>
      <c r="D113" s="131" t="str">
        <f>IF("Ska Ingå"=D112,"Ska Ingå","")</f>
        <v/>
      </c>
      <c r="F113" s="84" t="str">
        <f t="shared" si="115"/>
        <v/>
      </c>
      <c r="G113" s="85" t="str">
        <f t="shared" ca="1" si="116"/>
        <v>HP</v>
      </c>
      <c r="H113" s="85" t="str">
        <f t="shared" ca="1" si="116"/>
        <v>Cirafon</v>
      </c>
      <c r="I113" s="85" t="str">
        <f t="shared" ca="1" si="116"/>
        <v>HP</v>
      </c>
      <c r="J113" s="54"/>
      <c r="BF113" s="63"/>
      <c r="BG113" s="63"/>
      <c r="BH113" s="63"/>
      <c r="BI113" s="63"/>
      <c r="BJ113" s="63"/>
      <c r="BK113" s="63"/>
      <c r="BL113" s="63"/>
      <c r="BM113" s="63"/>
      <c r="BN113" s="63"/>
      <c r="BO113" s="63"/>
      <c r="BP113" s="63"/>
      <c r="BQ113" s="63"/>
      <c r="BR113" s="63"/>
      <c r="BS113" s="63"/>
      <c r="BT113" s="63"/>
      <c r="BU113" s="63"/>
      <c r="BV113" s="63"/>
      <c r="BW113" s="63"/>
      <c r="BX113" s="63"/>
    </row>
    <row r="114" spans="2:76" ht="67.5" customHeight="1" outlineLevel="1" x14ac:dyDescent="0.35">
      <c r="B114" s="69" t="s">
        <v>345</v>
      </c>
      <c r="C114" s="97" t="s">
        <v>52</v>
      </c>
      <c r="D114" s="132" t="str">
        <f>IF("Ska Ingå"=D112,"Ska Ingå","")</f>
        <v/>
      </c>
      <c r="F114" s="86" t="str">
        <f t="shared" si="115"/>
        <v/>
      </c>
      <c r="G114" s="87" t="str">
        <f t="shared" ca="1" si="116"/>
        <v>GBX77E81AA</v>
      </c>
      <c r="H114" s="87" t="str">
        <f t="shared" ca="1" si="116"/>
        <v>LSN9117-11</v>
      </c>
      <c r="I114" s="87" t="str">
        <f t="shared" ca="1" si="116"/>
        <v>GBX2UW01AA</v>
      </c>
      <c r="J114" s="73"/>
      <c r="BF114" s="63"/>
      <c r="BG114" s="63"/>
      <c r="BH114" s="63"/>
      <c r="BI114" s="63"/>
      <c r="BJ114" s="63"/>
      <c r="BK114" s="63"/>
      <c r="BL114" s="63"/>
      <c r="BM114" s="63"/>
      <c r="BN114" s="63"/>
      <c r="BO114" s="63"/>
      <c r="BP114" s="63"/>
      <c r="BQ114" s="63"/>
      <c r="BR114" s="63"/>
      <c r="BS114" s="63"/>
      <c r="BT114" s="63"/>
      <c r="BU114" s="63"/>
      <c r="BV114" s="63"/>
      <c r="BW114" s="63"/>
      <c r="BX114" s="63"/>
    </row>
    <row r="115" spans="2:76" ht="23.25" customHeight="1" outlineLevel="1" x14ac:dyDescent="0.35">
      <c r="B115" s="69" t="s">
        <v>54</v>
      </c>
      <c r="C115" s="98" t="s">
        <v>77</v>
      </c>
      <c r="D115" s="70"/>
      <c r="F115" s="157" t="str">
        <f t="shared" si="115"/>
        <v/>
      </c>
      <c r="G115" s="158">
        <f t="shared" ca="1" si="116"/>
        <v>287</v>
      </c>
      <c r="H115" s="158">
        <f t="shared" ca="1" si="116"/>
        <v>123</v>
      </c>
      <c r="I115" s="158">
        <f t="shared" ca="1" si="116"/>
        <v>298</v>
      </c>
      <c r="J115" s="54"/>
      <c r="BF115" s="63"/>
      <c r="BG115" s="63"/>
      <c r="BH115" s="63"/>
      <c r="BI115" s="63"/>
      <c r="BJ115" s="63"/>
      <c r="BK115" s="63"/>
      <c r="BL115" s="63"/>
      <c r="BM115" s="63"/>
      <c r="BN115" s="63"/>
      <c r="BO115" s="63"/>
      <c r="BP115" s="63"/>
      <c r="BQ115" s="63"/>
      <c r="BR115" s="63"/>
      <c r="BS115" s="63"/>
      <c r="BT115" s="63"/>
      <c r="BU115" s="63"/>
      <c r="BV115" s="63"/>
      <c r="BW115" s="63"/>
      <c r="BX115" s="63"/>
    </row>
    <row r="116" spans="2:76" ht="23.25" customHeight="1" outlineLevel="1" x14ac:dyDescent="0.35">
      <c r="B116" s="69" t="s">
        <v>341</v>
      </c>
      <c r="C116" s="61" t="s">
        <v>51</v>
      </c>
      <c r="D116" s="131" t="str">
        <f>IF("Ska Ingå"=D115,"Ska Ingå","")</f>
        <v/>
      </c>
      <c r="F116" s="88" t="str">
        <f t="shared" si="115"/>
        <v/>
      </c>
      <c r="G116" s="89" t="str">
        <f t="shared" ca="1" si="116"/>
        <v>Kapsolo</v>
      </c>
      <c r="H116" s="89" t="str">
        <f t="shared" ca="1" si="116"/>
        <v>Cirafon</v>
      </c>
      <c r="I116" s="89" t="str">
        <f t="shared" ca="1" si="116"/>
        <v>Kapsolo</v>
      </c>
      <c r="J116" s="73"/>
      <c r="BF116" s="63"/>
      <c r="BG116" s="63"/>
      <c r="BH116" s="63"/>
      <c r="BI116" s="63"/>
      <c r="BJ116" s="63"/>
      <c r="BK116" s="63"/>
      <c r="BL116" s="63"/>
      <c r="BM116" s="63"/>
      <c r="BN116" s="63"/>
      <c r="BO116" s="63"/>
      <c r="BP116" s="63"/>
      <c r="BQ116" s="63"/>
      <c r="BR116" s="63"/>
      <c r="BS116" s="63"/>
      <c r="BT116" s="63"/>
      <c r="BU116" s="63"/>
      <c r="BV116" s="63"/>
      <c r="BW116" s="63"/>
      <c r="BX116" s="63"/>
    </row>
    <row r="117" spans="2:76" ht="68.25" customHeight="1" outlineLevel="1" x14ac:dyDescent="0.35">
      <c r="B117" s="69" t="s">
        <v>346</v>
      </c>
      <c r="C117" s="99" t="s">
        <v>52</v>
      </c>
      <c r="D117" s="132" t="str">
        <f>IF("Ska Ingå"=D115,"Ska Ingå","")</f>
        <v/>
      </c>
      <c r="F117" s="90" t="str">
        <f t="shared" si="115"/>
        <v/>
      </c>
      <c r="G117" s="91" t="str">
        <f t="shared" ca="1" si="116"/>
        <v>GBXKAP10145</v>
      </c>
      <c r="H117" s="91" t="str">
        <f t="shared" ca="1" si="116"/>
        <v>DPF11.6-9</v>
      </c>
      <c r="I117" s="91" t="str">
        <f t="shared" ca="1" si="116"/>
        <v>GBXKAP10478</v>
      </c>
      <c r="J117" s="54"/>
      <c r="BF117" s="63"/>
      <c r="BG117" s="63"/>
      <c r="BH117" s="63"/>
      <c r="BI117" s="63"/>
      <c r="BJ117" s="63"/>
      <c r="BK117" s="63"/>
      <c r="BL117" s="63"/>
      <c r="BM117" s="63"/>
      <c r="BN117" s="63"/>
      <c r="BO117" s="63"/>
      <c r="BP117" s="63"/>
      <c r="BQ117" s="63"/>
      <c r="BR117" s="63"/>
      <c r="BS117" s="63"/>
      <c r="BT117" s="63"/>
      <c r="BU117" s="63"/>
      <c r="BV117" s="63"/>
      <c r="BW117" s="63"/>
      <c r="BX117" s="63"/>
    </row>
    <row r="118" spans="2:76" ht="31.5" customHeight="1" outlineLevel="1" x14ac:dyDescent="0.35">
      <c r="B118" s="69" t="s">
        <v>55</v>
      </c>
      <c r="C118" s="95" t="s">
        <v>371</v>
      </c>
      <c r="D118" s="70"/>
      <c r="F118" s="159" t="str">
        <f t="shared" si="115"/>
        <v/>
      </c>
      <c r="G118" s="160">
        <f t="shared" ca="1" si="116"/>
        <v>240</v>
      </c>
      <c r="H118" s="160">
        <f t="shared" ca="1" si="116"/>
        <v>249</v>
      </c>
      <c r="I118" s="160">
        <f t="shared" ca="1" si="116"/>
        <v>198</v>
      </c>
      <c r="BF118" s="63"/>
      <c r="BG118" s="63"/>
      <c r="BH118" s="63"/>
      <c r="BI118" s="63"/>
      <c r="BJ118" s="63"/>
      <c r="BK118" s="63"/>
      <c r="BL118" s="63"/>
      <c r="BM118" s="63"/>
      <c r="BN118" s="63"/>
      <c r="BO118" s="63"/>
      <c r="BP118" s="63"/>
      <c r="BQ118" s="63"/>
      <c r="BR118" s="63"/>
      <c r="BS118" s="63"/>
      <c r="BT118" s="63"/>
      <c r="BU118" s="63"/>
      <c r="BV118" s="63"/>
      <c r="BW118" s="63"/>
      <c r="BX118" s="63"/>
    </row>
    <row r="119" spans="2:76" ht="23.25" customHeight="1" outlineLevel="1" x14ac:dyDescent="0.35">
      <c r="B119" s="69" t="s">
        <v>342</v>
      </c>
      <c r="C119" s="96" t="s">
        <v>51</v>
      </c>
      <c r="D119" s="131" t="str">
        <f>IF("Ska Ingå"=D118,"Ska Ingå","")</f>
        <v/>
      </c>
      <c r="F119" s="84" t="str">
        <f t="shared" si="115"/>
        <v/>
      </c>
      <c r="G119" s="85" t="str">
        <f t="shared" ca="1" si="116"/>
        <v>Dell</v>
      </c>
      <c r="H119" s="85" t="str">
        <f t="shared" ca="1" si="116"/>
        <v>HP</v>
      </c>
      <c r="I119" s="85" t="str">
        <f t="shared" ca="1" si="116"/>
        <v>HP</v>
      </c>
      <c r="BF119" s="63"/>
      <c r="BG119" s="63"/>
      <c r="BH119" s="63"/>
      <c r="BI119" s="63"/>
      <c r="BJ119" s="63"/>
      <c r="BK119" s="63"/>
      <c r="BL119" s="63"/>
      <c r="BM119" s="63"/>
      <c r="BN119" s="63"/>
      <c r="BO119" s="63"/>
      <c r="BP119" s="63"/>
      <c r="BQ119" s="63"/>
      <c r="BR119" s="63"/>
      <c r="BS119" s="63"/>
      <c r="BT119" s="63"/>
      <c r="BU119" s="63"/>
      <c r="BV119" s="63"/>
      <c r="BW119" s="63"/>
      <c r="BX119" s="63"/>
    </row>
    <row r="120" spans="2:76" ht="66.75" customHeight="1" outlineLevel="1" x14ac:dyDescent="0.35">
      <c r="B120" s="69" t="s">
        <v>347</v>
      </c>
      <c r="C120" s="97" t="s">
        <v>52</v>
      </c>
      <c r="D120" s="132" t="str">
        <f>IF("Ska Ingå"=D118,"Ska Ingå","")</f>
        <v/>
      </c>
      <c r="F120" s="86" t="str">
        <f t="shared" si="115"/>
        <v/>
      </c>
      <c r="G120" s="87" t="str">
        <f t="shared" ca="1" si="116"/>
        <v>DELL-921CW</v>
      </c>
      <c r="H120" s="87" t="str">
        <f t="shared" ca="1" si="116"/>
        <v>1MZ01AA</v>
      </c>
      <c r="I120" s="87" t="str">
        <f t="shared" ca="1" si="116"/>
        <v>GBX1HE07AA</v>
      </c>
    </row>
    <row r="121" spans="2:76" ht="23.25" customHeight="1" outlineLevel="1" x14ac:dyDescent="0.35">
      <c r="B121" s="69"/>
      <c r="C121" s="220" t="s">
        <v>365</v>
      </c>
      <c r="D121" s="220"/>
      <c r="E121" s="220"/>
      <c r="F121" s="220"/>
      <c r="G121" s="220"/>
      <c r="H121" s="220"/>
      <c r="I121" s="220"/>
    </row>
    <row r="122" spans="2:76" ht="23.25" customHeight="1" outlineLevel="1" x14ac:dyDescent="0.35">
      <c r="B122" s="71" t="s">
        <v>228</v>
      </c>
      <c r="C122" s="96" t="s">
        <v>367</v>
      </c>
      <c r="D122" s="70"/>
      <c r="F122" s="163" t="str">
        <f>IF(F$94="Inget antal angivet","",IFERROR(INDEX($AP$95:$BX$119,MATCH(F$91,$AN$95:$AN$119,0),MATCH($B122,$AP$95:$BX$95,0)),""))</f>
        <v/>
      </c>
      <c r="G122" s="164">
        <f t="shared" ref="G122:I125" ca="1" si="117">IFERROR(INDEX($AP$95:$BX$119,MATCH(G$91,$AN$95:$AN$119,0),MATCH($B122,$AP$95:$BX$95,0)),"")</f>
        <v>275</v>
      </c>
      <c r="H122" s="164">
        <f t="shared" ca="1" si="117"/>
        <v>131</v>
      </c>
      <c r="I122" s="164">
        <f t="shared" ca="1" si="117"/>
        <v>125</v>
      </c>
    </row>
    <row r="123" spans="2:76" ht="23.25" customHeight="1" outlineLevel="1" x14ac:dyDescent="0.35">
      <c r="B123" s="71" t="s">
        <v>229</v>
      </c>
      <c r="C123" s="61" t="s">
        <v>368</v>
      </c>
      <c r="D123" s="70"/>
      <c r="F123" s="165" t="str">
        <f>IF(F$94="Inget antal angivet","",IFERROR(INDEX($AP$95:$BX$119,MATCH(F$91,$AN$95:$AN$119,0),MATCH($B123,$AP$95:$BX$95,0)),""))</f>
        <v/>
      </c>
      <c r="G123" s="166">
        <f t="shared" ca="1" si="117"/>
        <v>70</v>
      </c>
      <c r="H123" s="166">
        <f t="shared" ca="1" si="117"/>
        <v>133</v>
      </c>
      <c r="I123" s="166">
        <f t="shared" ca="1" si="117"/>
        <v>70</v>
      </c>
    </row>
    <row r="124" spans="2:76" ht="23.25" customHeight="1" outlineLevel="1" x14ac:dyDescent="0.35">
      <c r="B124" s="71" t="s">
        <v>230</v>
      </c>
      <c r="C124" s="96" t="s">
        <v>369</v>
      </c>
      <c r="D124" s="70"/>
      <c r="F124" s="163" t="str">
        <f>IF(F$94="Inget antal angivet","",IFERROR(INDEX($AP$95:$BX$119,MATCH(F$91,$AN$95:$AN$119,0),MATCH($B124,$AP$95:$BX$95,0)),""))</f>
        <v/>
      </c>
      <c r="G124" s="164">
        <f t="shared" ca="1" si="117"/>
        <v>25</v>
      </c>
      <c r="H124" s="164">
        <f t="shared" ca="1" si="117"/>
        <v>20</v>
      </c>
      <c r="I124" s="164">
        <f t="shared" ca="1" si="117"/>
        <v>25</v>
      </c>
    </row>
    <row r="125" spans="2:76" ht="23.25" customHeight="1" outlineLevel="1" x14ac:dyDescent="0.35">
      <c r="B125" s="71" t="s">
        <v>231</v>
      </c>
      <c r="C125" s="61" t="s">
        <v>370</v>
      </c>
      <c r="D125" s="70"/>
      <c r="F125" s="165" t="str">
        <f>IF(F$94="Inget antal angivet","",IFERROR(INDEX($AP$95:$BX$119,MATCH(F$91,$AN$95:$AN$119,0),MATCH($B125,$AP$95:$BX$95,0)),""))</f>
        <v/>
      </c>
      <c r="G125" s="166">
        <f t="shared" ca="1" si="117"/>
        <v>25</v>
      </c>
      <c r="H125" s="166">
        <f t="shared" ca="1" si="117"/>
        <v>20</v>
      </c>
      <c r="I125" s="166">
        <f t="shared" ca="1" si="117"/>
        <v>25</v>
      </c>
    </row>
    <row r="126" spans="2:76" ht="23.25" customHeight="1" outlineLevel="1" x14ac:dyDescent="0.35"/>
    <row r="127" spans="2:76" ht="23.25" customHeight="1" collapsed="1" x14ac:dyDescent="0.35"/>
    <row r="128" spans="2:76" ht="23.25" customHeight="1" x14ac:dyDescent="0.35">
      <c r="D128" s="72" t="s">
        <v>233</v>
      </c>
      <c r="E128" s="1"/>
      <c r="F128" s="221" t="s">
        <v>252</v>
      </c>
      <c r="G128" s="221"/>
      <c r="H128" s="221"/>
      <c r="I128" s="222"/>
    </row>
    <row r="129" spans="2:91" ht="23.25" customHeight="1" x14ac:dyDescent="0.35">
      <c r="D129" s="74"/>
      <c r="F129" s="202" t="str">
        <f ca="1">IFERROR(INDEX($Y$394:$Y$405,MATCH(F91,$Z$394:$Z$405,0)) *D129,"")</f>
        <v/>
      </c>
      <c r="G129" s="202">
        <f ca="1">IFERROR(P96 *D129,"")</f>
        <v>0</v>
      </c>
      <c r="H129" s="202">
        <f ca="1">IFERROR(P97 *D129,"")</f>
        <v>0</v>
      </c>
      <c r="I129" s="202">
        <f ca="1">IFERROR(P98 * D129,"")</f>
        <v>0</v>
      </c>
    </row>
    <row r="131" spans="2:91" ht="15" thickBot="1" x14ac:dyDescent="0.4">
      <c r="C131" s="174"/>
      <c r="D131" s="174"/>
      <c r="E131" s="174"/>
      <c r="F131" s="174"/>
      <c r="G131" s="174"/>
      <c r="H131" s="174"/>
      <c r="I131" s="174"/>
    </row>
    <row r="132" spans="2:91" ht="15" thickTop="1" x14ac:dyDescent="0.35"/>
    <row r="133" spans="2:91" ht="68.25" hidden="1" customHeight="1" collapsed="1" x14ac:dyDescent="0.35">
      <c r="C133" s="53"/>
      <c r="D133" s="53"/>
      <c r="F133" s="50" t="e">
        <f ca="1">N137</f>
        <v>#N/A</v>
      </c>
      <c r="G133" s="50" t="str">
        <f ca="1">INDEX(Z138:Z161,MATCH(P138,Y138:Y161,0))</f>
        <v>Offererad produktnr. 05Qlosr Göteborg AB</v>
      </c>
      <c r="H133" s="50" t="str">
        <f ca="1">INDEX(Z137:Z160,MATCH(P139,Y137:Y160,0))</f>
        <v>Offererad produktnr. 05Dustin Sverige AB</v>
      </c>
      <c r="I133" s="50" t="str">
        <f ca="1">INDEX(Z137:Z160,MATCH(P140,Y137:Y160,0))</f>
        <v>Offererad produktnr. 06Qlosr Göteborg AB</v>
      </c>
      <c r="AP133" s="12" t="s">
        <v>124</v>
      </c>
      <c r="AQ133" s="12" t="s">
        <v>124</v>
      </c>
      <c r="AR133" s="12" t="s">
        <v>124</v>
      </c>
      <c r="AS133" s="12" t="s">
        <v>124</v>
      </c>
      <c r="AT133" s="12" t="s">
        <v>124</v>
      </c>
      <c r="AU133" s="12" t="s">
        <v>124</v>
      </c>
      <c r="AV133" s="12" t="s">
        <v>124</v>
      </c>
      <c r="AW133" s="12" t="s">
        <v>124</v>
      </c>
      <c r="AX133" s="12" t="s">
        <v>124</v>
      </c>
      <c r="AY133" s="12" t="s">
        <v>124</v>
      </c>
      <c r="AZ133" s="12" t="s">
        <v>124</v>
      </c>
      <c r="BA133" s="12" t="s">
        <v>124</v>
      </c>
      <c r="BB133" s="12" t="s">
        <v>124</v>
      </c>
      <c r="BC133" s="12" t="s">
        <v>124</v>
      </c>
      <c r="BD133" s="12" t="s">
        <v>124</v>
      </c>
      <c r="BE133" s="12" t="s">
        <v>124</v>
      </c>
      <c r="BF133" s="12" t="s">
        <v>124</v>
      </c>
      <c r="BG133" s="12" t="s">
        <v>124</v>
      </c>
      <c r="BH133" s="12" t="s">
        <v>124</v>
      </c>
      <c r="BI133" s="12" t="s">
        <v>124</v>
      </c>
      <c r="BJ133" s="12" t="s">
        <v>124</v>
      </c>
      <c r="BK133" s="12" t="s">
        <v>124</v>
      </c>
      <c r="BL133" s="12" t="s">
        <v>124</v>
      </c>
      <c r="BM133" s="12" t="s">
        <v>124</v>
      </c>
      <c r="BN133" s="12" t="s">
        <v>124</v>
      </c>
      <c r="BO133" s="12" t="s">
        <v>124</v>
      </c>
      <c r="BP133" s="12" t="s">
        <v>124</v>
      </c>
      <c r="BQ133" s="12" t="s">
        <v>124</v>
      </c>
      <c r="BR133" s="12" t="s">
        <v>124</v>
      </c>
      <c r="BS133" s="12" t="s">
        <v>124</v>
      </c>
      <c r="BT133" s="12" t="s">
        <v>124</v>
      </c>
      <c r="BU133" s="12"/>
      <c r="BV133" s="12"/>
      <c r="BW133" s="12" t="s">
        <v>124</v>
      </c>
      <c r="BX133" s="12" t="s">
        <v>124</v>
      </c>
      <c r="BY133" s="12"/>
      <c r="BZ133" s="12"/>
      <c r="CA133" s="12"/>
      <c r="CB133" s="12"/>
      <c r="CC133" s="12"/>
      <c r="CD133" s="12"/>
      <c r="CE133" s="12"/>
      <c r="CF133" s="12"/>
      <c r="CG133" s="12"/>
      <c r="CH133" s="12"/>
      <c r="CI133" s="12"/>
      <c r="CJ133" s="12"/>
      <c r="CK133" s="12"/>
      <c r="CL133" s="12"/>
    </row>
    <row r="134" spans="2:91" ht="26.25" customHeight="1" thickBot="1" x14ac:dyDescent="0.4">
      <c r="C134" s="53"/>
      <c r="D134" s="53"/>
      <c r="F134" s="140" t="s">
        <v>446</v>
      </c>
      <c r="G134" s="205" t="s">
        <v>447</v>
      </c>
      <c r="H134" s="205"/>
      <c r="I134" s="205"/>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row>
    <row r="135" spans="2:91" ht="22.5" customHeight="1" thickBot="1" x14ac:dyDescent="0.4">
      <c r="B135" t="str">
        <f ca="1" xml:space="preserve"> "Produkt "  &amp; B136</f>
        <v>Produkt 4</v>
      </c>
      <c r="C135" s="206" t="str">
        <f>IF(F136="Ingen produkt motsvarar","Felmeddelande",IF(COUNTIF($P$1:$P$6,TRUE)&gt;0,"","Felmeddelande"))</f>
        <v/>
      </c>
      <c r="D135" s="207"/>
      <c r="F135" s="218" t="s">
        <v>271</v>
      </c>
      <c r="G135" s="218"/>
      <c r="H135" s="218"/>
      <c r="I135" s="219"/>
      <c r="O135">
        <v>1</v>
      </c>
      <c r="AH135" t="s">
        <v>241</v>
      </c>
      <c r="AP135" s="13" t="str">
        <f t="shared" ref="AP135:BD135" si="118">AP137</f>
        <v>Upplösning</v>
      </c>
      <c r="AQ135" s="13" t="str">
        <f t="shared" si="118"/>
        <v>Processor</v>
      </c>
      <c r="AR135" s="13" t="str">
        <f t="shared" si="118"/>
        <v>Internminne (GB)</v>
      </c>
      <c r="AS135" s="13" t="str">
        <f t="shared" si="118"/>
        <v>Hårddisk</v>
      </c>
      <c r="AT135" s="13" t="str">
        <f t="shared" si="118"/>
        <v>Skärmstorlek (tum)</v>
      </c>
      <c r="AU135" s="13" t="str">
        <f t="shared" si="118"/>
        <v>Portar USB</v>
      </c>
      <c r="AV135" s="13" t="str">
        <f t="shared" si="118"/>
        <v>Portar USB C</v>
      </c>
      <c r="AW135" s="13" t="str">
        <f t="shared" si="118"/>
        <v>Portar HDMI/Display</v>
      </c>
      <c r="AX135" s="13" t="str">
        <f t="shared" si="118"/>
        <v>Kommunikation WLAN</v>
      </c>
      <c r="AY135" s="13" t="str">
        <f t="shared" si="118"/>
        <v>Kommunikation Bluetooth</v>
      </c>
      <c r="AZ135" s="13" t="str">
        <f t="shared" si="118"/>
        <v>Batteritid (tim)</v>
      </c>
      <c r="BA135" s="13" t="str">
        <f t="shared" si="118"/>
        <v>Energiprestanda</v>
      </c>
      <c r="BB135" s="13" t="str">
        <f t="shared" si="118"/>
        <v>Låsskydd</v>
      </c>
      <c r="BC135" s="13" t="str">
        <f t="shared" si="118"/>
        <v>Operativsystem</v>
      </c>
      <c r="BD135" s="13" t="str">
        <f t="shared" si="118"/>
        <v>Modellbenämning</v>
      </c>
      <c r="BE135" t="s">
        <v>224</v>
      </c>
      <c r="BF135" s="56" t="s">
        <v>53</v>
      </c>
      <c r="BG135" s="56" t="s">
        <v>54</v>
      </c>
      <c r="BH135" s="56" t="s">
        <v>55</v>
      </c>
      <c r="BI135" s="57" t="s">
        <v>228</v>
      </c>
      <c r="BJ135" s="57" t="s">
        <v>229</v>
      </c>
      <c r="BK135" s="57" t="s">
        <v>230</v>
      </c>
      <c r="BL135" s="57" t="s">
        <v>231</v>
      </c>
      <c r="BM135" s="57" t="s">
        <v>340</v>
      </c>
      <c r="BN135" s="57" t="s">
        <v>341</v>
      </c>
      <c r="BO135" s="57" t="s">
        <v>342</v>
      </c>
      <c r="BP135" s="57" t="s">
        <v>343</v>
      </c>
      <c r="BQ135" s="57" t="s">
        <v>345</v>
      </c>
      <c r="BR135" s="57" t="s">
        <v>346</v>
      </c>
      <c r="BS135" s="57" t="s">
        <v>347</v>
      </c>
      <c r="BT135" s="57" t="s">
        <v>348</v>
      </c>
      <c r="BU135" s="57"/>
      <c r="BV135" s="57"/>
      <c r="BW135" s="57" t="s">
        <v>6</v>
      </c>
      <c r="BX135" s="4" t="s">
        <v>51</v>
      </c>
      <c r="BY135" s="13"/>
      <c r="BZ135" s="13"/>
      <c r="CA135" s="13"/>
      <c r="CB135" s="13"/>
      <c r="CC135" s="13"/>
      <c r="CD135" s="13"/>
      <c r="CE135" s="13"/>
      <c r="CF135" s="13"/>
      <c r="CG135" s="13"/>
      <c r="CH135" s="13"/>
      <c r="CI135" s="13"/>
      <c r="CJ135" s="13"/>
      <c r="CK135" s="13"/>
      <c r="CL135" s="13"/>
    </row>
    <row r="136" spans="2:91" ht="22.5" customHeight="1" x14ac:dyDescent="0.35">
      <c r="B136">
        <f ca="1">COUNTIF($F$7:F139,"Produkt I varukorg*")</f>
        <v>4</v>
      </c>
      <c r="F136" s="51" t="str">
        <f>IF(D171&lt;1,"Inget antal angivet",IFERROR(INDEX($Y$138:$Y$149,MATCH(F133,$Z$138:$Z$149,0)),"Ingen produkt motsvarar"))</f>
        <v>Inget antal angivet</v>
      </c>
      <c r="G136" s="52">
        <f ca="1">IFERROR(P138,"Ingen produkt motsvarar")</f>
        <v>2950</v>
      </c>
      <c r="H136" s="52">
        <f ca="1">IFERROR(P139,"")</f>
        <v>3415</v>
      </c>
      <c r="I136" s="52">
        <f ca="1">IFERROR(P140,"")</f>
        <v>3610</v>
      </c>
      <c r="Z136" t="str">
        <f>IF(COUNTIF(AA136:AI136,FALSE)&gt;0,AN136,"")</f>
        <v/>
      </c>
      <c r="AN136" t="s">
        <v>126</v>
      </c>
      <c r="AP136" s="58" t="str">
        <f t="shared" ref="AP136:BT136" ca="1" si="119">IFERROR(INDEX(INDIRECT(AP$133&amp;"!$A$10:CC100000"),MATCH($AN136,INDIRECT(AP$133&amp;"!BH$10:BH100000"),0),MATCH(AP$135,INDIRECT(AP$133&amp;"!a10:CC10"),0)),"False")</f>
        <v>False</v>
      </c>
      <c r="AQ136" s="58" t="str">
        <f t="shared" ca="1" si="119"/>
        <v>False</v>
      </c>
      <c r="AR136" s="58" t="str">
        <f t="shared" ca="1" si="119"/>
        <v>False</v>
      </c>
      <c r="AS136" s="58" t="str">
        <f t="shared" ca="1" si="119"/>
        <v>False</v>
      </c>
      <c r="AT136" s="58" t="str">
        <f t="shared" ca="1" si="119"/>
        <v>False</v>
      </c>
      <c r="AU136" s="58" t="str">
        <f t="shared" ca="1" si="119"/>
        <v>False</v>
      </c>
      <c r="AV136" s="58" t="str">
        <f t="shared" ca="1" si="119"/>
        <v>False</v>
      </c>
      <c r="AW136" s="58" t="str">
        <f t="shared" ca="1" si="119"/>
        <v>False</v>
      </c>
      <c r="AX136" s="58" t="str">
        <f t="shared" ca="1" si="119"/>
        <v>False</v>
      </c>
      <c r="AY136" s="58" t="str">
        <f t="shared" ca="1" si="119"/>
        <v>False</v>
      </c>
      <c r="AZ136" s="58" t="str">
        <f t="shared" ca="1" si="119"/>
        <v>False</v>
      </c>
      <c r="BA136" s="58" t="str">
        <f t="shared" ca="1" si="119"/>
        <v>False</v>
      </c>
      <c r="BB136" s="58" t="str">
        <f t="shared" ca="1" si="119"/>
        <v>False</v>
      </c>
      <c r="BC136" s="58" t="str">
        <f t="shared" ca="1" si="119"/>
        <v>False</v>
      </c>
      <c r="BD136" s="58" t="str">
        <f t="shared" ca="1" si="119"/>
        <v>False</v>
      </c>
      <c r="BE136" s="58" t="str">
        <f t="shared" ca="1" si="119"/>
        <v>False</v>
      </c>
      <c r="BF136" s="58" t="str">
        <f t="shared" ca="1" si="119"/>
        <v>False</v>
      </c>
      <c r="BG136" s="58" t="str">
        <f t="shared" ca="1" si="119"/>
        <v>False</v>
      </c>
      <c r="BH136" s="58" t="str">
        <f t="shared" ca="1" si="119"/>
        <v>False</v>
      </c>
      <c r="BI136" s="58" t="str">
        <f t="shared" ca="1" si="119"/>
        <v>False</v>
      </c>
      <c r="BJ136" s="58" t="str">
        <f t="shared" ca="1" si="119"/>
        <v>False</v>
      </c>
      <c r="BK136" s="58" t="str">
        <f t="shared" ca="1" si="119"/>
        <v>False</v>
      </c>
      <c r="BL136" s="58" t="str">
        <f t="shared" ca="1" si="119"/>
        <v>False</v>
      </c>
      <c r="BM136" s="58" t="str">
        <f t="shared" ca="1" si="119"/>
        <v>False</v>
      </c>
      <c r="BN136" s="58" t="str">
        <f t="shared" ca="1" si="119"/>
        <v>False</v>
      </c>
      <c r="BO136" s="58" t="str">
        <f t="shared" ca="1" si="119"/>
        <v>False</v>
      </c>
      <c r="BP136" s="58" t="str">
        <f t="shared" ca="1" si="119"/>
        <v>False</v>
      </c>
      <c r="BQ136" s="58" t="str">
        <f t="shared" ca="1" si="119"/>
        <v>False</v>
      </c>
      <c r="BR136" s="58" t="str">
        <f t="shared" ca="1" si="119"/>
        <v>False</v>
      </c>
      <c r="BS136" s="58" t="str">
        <f t="shared" ca="1" si="119"/>
        <v>False</v>
      </c>
      <c r="BT136" s="58" t="str">
        <f t="shared" ca="1" si="119"/>
        <v>False</v>
      </c>
      <c r="BU136" s="58"/>
      <c r="BV136" s="58"/>
      <c r="BW136" s="58" t="str">
        <f ca="1">IFERROR(INDEX(INDIRECT(BW$133&amp;"!$A$10:CC100000"),MATCH($AN136,INDIRECT(BW$133&amp;"!BH$10:BH100000"),0),MATCH(BW$135,INDIRECT(BW$133&amp;"!a10:CC10"),0)),"False")</f>
        <v>False</v>
      </c>
      <c r="BX136" s="58" t="str">
        <f ca="1">IFERROR(INDEX(INDIRECT(BX$133&amp;"!$A$10:CC100000"),MATCH($AN136,INDIRECT(BX$133&amp;"!BH$10:BH100000"),0),MATCH(BX$135,INDIRECT(BX$133&amp;"!a10:CC10"),0)),"False")</f>
        <v>False</v>
      </c>
      <c r="BY136" s="58"/>
      <c r="BZ136" s="58"/>
      <c r="CA136" s="58"/>
      <c r="CB136" s="58"/>
      <c r="CC136" s="58"/>
      <c r="CD136" s="58"/>
      <c r="CE136" s="58"/>
      <c r="CF136" s="58"/>
      <c r="CG136" s="58"/>
      <c r="CH136" s="58"/>
      <c r="CI136" s="58"/>
      <c r="CJ136" s="58"/>
      <c r="CK136" s="58"/>
      <c r="CL136" s="58"/>
    </row>
    <row r="137" spans="2:91" ht="22.5" customHeight="1" x14ac:dyDescent="0.35">
      <c r="C137" s="210" t="str">
        <f ca="1" xml:space="preserve"> "Bärbar dator (B) "  &amp; RIGHT("00" &amp; B136,2)</f>
        <v>Bärbar dator (B) 04</v>
      </c>
      <c r="D137" s="211"/>
      <c r="F137" s="92" t="str">
        <f>IF(F136="Inget antal angivet","",IFERROR(INDEX($AP$137:$BX$161,MATCH(F$133,$AN$137:$AN$161,0),MATCH("Modellbenämning",$AP$137:$BX$137,0)),""))</f>
        <v/>
      </c>
      <c r="G137" s="92" t="str">
        <f ca="1">IFERROR(INDEX($AP$137:$BX$161,MATCH(G$133,$AN$137:$AN$161,0),MATCH("Modellbenämning",$AP$137:$BX$137,0)),"")</f>
        <v>Chromebook 3110</v>
      </c>
      <c r="H137" s="92" t="str">
        <f ca="1">IFERROR(INDEX($AP$137:$BX$161,MATCH(H$133,$AN$137:$AN$161,0),MATCH("Modellbenämning",$AP$137:$BX$137,0)),"")</f>
        <v>ChromeBook 11 G9 EE</v>
      </c>
      <c r="I137" s="92" t="str">
        <f ca="1">IFERROR(INDEX($AP$137:$BX$161,MATCH(I$133,$AN$137:$AN$161,0),MATCH("Modellbenämning",$AP$137:$BX$137,0)),"")</f>
        <v>Chromebook 14 G7</v>
      </c>
      <c r="J137" s="93"/>
      <c r="K137" s="92"/>
      <c r="L137" s="92"/>
      <c r="M137" s="92"/>
      <c r="N137" s="92" t="e">
        <f ca="1">INDEX($N$138:$N$143,MATCH(Överblick!$L$2,$M$138:$M$143,0))</f>
        <v>#N/A</v>
      </c>
      <c r="O137" s="92"/>
      <c r="P137" s="92"/>
      <c r="Q137" s="92"/>
      <c r="R137" s="92">
        <v>1</v>
      </c>
      <c r="S137" s="92">
        <v>2</v>
      </c>
      <c r="T137" s="92">
        <v>3</v>
      </c>
      <c r="U137" s="92">
        <v>5</v>
      </c>
      <c r="V137" s="92">
        <v>6</v>
      </c>
      <c r="W137" s="92">
        <v>7</v>
      </c>
      <c r="X137" s="92">
        <v>8</v>
      </c>
      <c r="Y137" s="92"/>
      <c r="Z137" s="92" t="s">
        <v>122</v>
      </c>
      <c r="AA137" s="92" t="s">
        <v>2</v>
      </c>
      <c r="AB137" s="92" t="s">
        <v>4</v>
      </c>
      <c r="AC137" s="92" t="s">
        <v>119</v>
      </c>
      <c r="AD137" s="92" t="s">
        <v>16</v>
      </c>
      <c r="AE137" s="92" t="s">
        <v>7</v>
      </c>
      <c r="AF137" s="92" t="s">
        <v>67</v>
      </c>
      <c r="AG137" s="92" t="s">
        <v>74</v>
      </c>
      <c r="AH137" s="92" t="s">
        <v>103</v>
      </c>
      <c r="AI137" s="92" t="s">
        <v>75</v>
      </c>
      <c r="AJ137" s="92" t="s">
        <v>38</v>
      </c>
      <c r="AK137" s="92"/>
      <c r="AL137" s="92"/>
      <c r="AM137" s="92"/>
      <c r="AN137" s="92" t="s">
        <v>222</v>
      </c>
      <c r="AO137" s="92">
        <v>1</v>
      </c>
      <c r="AP137" s="92" t="s">
        <v>2</v>
      </c>
      <c r="AQ137" s="92" t="s">
        <v>4</v>
      </c>
      <c r="AR137" s="92" t="s">
        <v>119</v>
      </c>
      <c r="AS137" s="92" t="s">
        <v>16</v>
      </c>
      <c r="AT137" s="92" t="s">
        <v>7</v>
      </c>
      <c r="AU137" s="92" t="s">
        <v>67</v>
      </c>
      <c r="AV137" s="92" t="s">
        <v>74</v>
      </c>
      <c r="AW137" s="92" t="s">
        <v>97</v>
      </c>
      <c r="AX137" s="92" t="s">
        <v>103</v>
      </c>
      <c r="AY137" s="92" t="s">
        <v>75</v>
      </c>
      <c r="AZ137" s="92" t="s">
        <v>120</v>
      </c>
      <c r="BA137" s="92" t="s">
        <v>38</v>
      </c>
      <c r="BB137" s="92" t="s">
        <v>37</v>
      </c>
      <c r="BC137" s="92" t="s">
        <v>3</v>
      </c>
      <c r="BD137" s="92" t="s">
        <v>52</v>
      </c>
      <c r="BE137" s="92" t="s">
        <v>25</v>
      </c>
      <c r="BF137" s="92" t="s">
        <v>53</v>
      </c>
      <c r="BG137" s="92" t="s">
        <v>54</v>
      </c>
      <c r="BH137" s="92" t="s">
        <v>55</v>
      </c>
      <c r="BI137" s="92" t="s">
        <v>228</v>
      </c>
      <c r="BJ137" s="92" t="s">
        <v>229</v>
      </c>
      <c r="BK137" s="92" t="s">
        <v>230</v>
      </c>
      <c r="BL137" s="92" t="s">
        <v>231</v>
      </c>
      <c r="BM137" s="92" t="s">
        <v>340</v>
      </c>
      <c r="BN137" s="92" t="s">
        <v>341</v>
      </c>
      <c r="BO137" s="92" t="s">
        <v>342</v>
      </c>
      <c r="BP137" s="92" t="s">
        <v>343</v>
      </c>
      <c r="BQ137" s="92" t="s">
        <v>345</v>
      </c>
      <c r="BR137" s="92" t="s">
        <v>346</v>
      </c>
      <c r="BS137" s="92" t="s">
        <v>347</v>
      </c>
      <c r="BT137" s="92" t="s">
        <v>348</v>
      </c>
      <c r="BU137" s="92"/>
      <c r="BV137" s="92"/>
      <c r="BW137" s="92" t="s">
        <v>6</v>
      </c>
      <c r="BX137" s="92" t="s">
        <v>51</v>
      </c>
      <c r="BY137" s="92" t="s">
        <v>2</v>
      </c>
      <c r="BZ137" s="92" t="s">
        <v>4</v>
      </c>
      <c r="CA137" s="92" t="s">
        <v>119</v>
      </c>
      <c r="CB137" s="92" t="s">
        <v>16</v>
      </c>
      <c r="CC137" s="92" t="s">
        <v>7</v>
      </c>
      <c r="CD137" s="92" t="s">
        <v>67</v>
      </c>
      <c r="CE137" s="92" t="s">
        <v>74</v>
      </c>
      <c r="CF137" s="92" t="s">
        <v>75</v>
      </c>
      <c r="CG137" s="92" t="s">
        <v>75</v>
      </c>
      <c r="CH137" s="92" t="s">
        <v>120</v>
      </c>
      <c r="CI137" s="92" t="s">
        <v>38</v>
      </c>
      <c r="CJ137" s="92" t="s">
        <v>37</v>
      </c>
      <c r="CK137" s="92" t="s">
        <v>3</v>
      </c>
      <c r="CL137" s="92"/>
      <c r="CM137" s="92"/>
    </row>
    <row r="138" spans="2:91" ht="22.5" customHeight="1" outlineLevel="1" x14ac:dyDescent="0.35">
      <c r="C138" s="210" t="s">
        <v>261</v>
      </c>
      <c r="D138" s="211"/>
      <c r="F138" s="76" t="str">
        <f>IF(F136="Inget antal angivet","",IFERROR(INDEX($AP$137:$BX$161,MATCH(F$133,$AN$137:$AN$161,0),MATCH("Varumärke",$AP$137:$BX$137,0)),""))</f>
        <v/>
      </c>
      <c r="G138" s="77" t="str">
        <f ca="1">IFERROR(INDEX($AP$137:$BX$161,MATCH(G$133,$AN$137:$AN$161,0),MATCH("Varumärke",$AP$137:$BX$137,0)),"")</f>
        <v>Dell</v>
      </c>
      <c r="H138" s="77" t="str">
        <f ca="1">IFERROR(INDEX($AP$137:$BX$161,MATCH(H$133,$AN$137:$AN$161,0),MATCH("Varumärke",$AP$137:$BX$137,0)),"")</f>
        <v>HP</v>
      </c>
      <c r="I138" s="119" t="str">
        <f ca="1">IFERROR(INDEX($AP$137:$BX$161,MATCH(I$133,$AN$137:$AN$161,0),MATCH("Varumärke",$AP$137:$BX$137,0)),"")</f>
        <v>HP</v>
      </c>
      <c r="K138" s="185">
        <f t="shared" ref="K138:K143" ca="1" si="120">O138*$D$171</f>
        <v>0</v>
      </c>
      <c r="L138" s="185" t="b">
        <f t="shared" ref="L138:L143" si="121">IF($D$171=0,TRUE,IF(K138=0,FALSE,TRUE))</f>
        <v>1</v>
      </c>
      <c r="M138" s="185" t="s">
        <v>162</v>
      </c>
      <c r="N138" s="185" t="str">
        <f t="shared" ref="N138:N143" ca="1" si="122">INDEX($Z$138:$Z$149,MATCH(O138,$Y$138:$Y$149,0))</f>
        <v>Offererad produktnr. 05Advania Sverige AB</v>
      </c>
      <c r="O138" s="185" cm="1">
        <f t="array" aca="1" ref="O138" ca="1">MIN(IF(($BW$138:$BW$159=M138)*($AO$138:$AO$159=$O$135),$Y$138:$Y$159))</f>
        <v>3996</v>
      </c>
      <c r="P138" s="197">
        <f ca="1">SMALL($Y$138:$Y$161,1)</f>
        <v>2950</v>
      </c>
      <c r="Q138" s="185">
        <f t="shared" ref="Q138:Q147" si="123">SUM(R138:X138)</f>
        <v>0</v>
      </c>
      <c r="R138" s="185">
        <f t="shared" ref="R138:R147" si="124">IF($D$154="",0,BF138)</f>
        <v>0</v>
      </c>
      <c r="S138" s="185">
        <f t="shared" ref="S138:S147" si="125">IF($D$157="",0,BG138)</f>
        <v>0</v>
      </c>
      <c r="T138" s="185">
        <f t="shared" ref="T138:T147" si="126">IF($D$160="",0,BH138)</f>
        <v>0</v>
      </c>
      <c r="U138" s="185">
        <f t="shared" ref="U138:U147" si="127">IF($D$164="",0,BI138)</f>
        <v>0</v>
      </c>
      <c r="V138" s="185">
        <f t="shared" ref="V138:V147" si="128">IF($D$165="",0,BJ138)</f>
        <v>0</v>
      </c>
      <c r="W138" s="185">
        <f t="shared" ref="W138:W147" si="129">IF($D$166="",0,BK138)</f>
        <v>0</v>
      </c>
      <c r="X138" s="185">
        <f t="shared" ref="X138:X147" si="130">IF($D$167="",0,BL138)</f>
        <v>0</v>
      </c>
      <c r="Y138" s="185">
        <f t="shared" ref="Y138:Y147" ca="1" si="131">IF(Z138="","",SUM(BE138,R138:X138))</f>
        <v>3996</v>
      </c>
      <c r="Z138" s="185" t="str">
        <f t="shared" ref="Z138:Z147" si="132">IF(COUNTIF(AA138:AM138,FALSE)&gt;0,"",AN138)</f>
        <v>Offererad produktnr. 05Advania Sverige AB</v>
      </c>
      <c r="AA138" s="185" t="b">
        <f t="shared" ref="AA138:AA147" si="133">IF(" 1366x768"=$D$141,TRUE,IF($D$141=0,TRUE,IF($D$141=AP138,TRUE,FALSE)))</f>
        <v>1</v>
      </c>
      <c r="AB138" s="185" t="b">
        <f t="shared" ref="AB138:AB147" si="134">IF($D$142="",TRUE,IF(AQ138=$D$142,TRUE,FALSE))</f>
        <v>1</v>
      </c>
      <c r="AC138" s="185" t="b">
        <f t="shared" ref="AC138:AC147" si="135">IF($D$143="",TRUE,IF(AR138&gt;=$D$143,TRUE,FALSE))</f>
        <v>1</v>
      </c>
      <c r="AD138" s="185" t="b">
        <f t="shared" ref="AD138:AD147" si="136">IF($D$144="",TRUE,IF(AS138&gt;=$D$144,TRUE,FALSE))</f>
        <v>1</v>
      </c>
      <c r="AE138" s="185" t="b">
        <f>IF($D$140="",TRUE,IF(COUNTIF(Processor!$I$2:$I$9,$D$140)&gt;0,AND(AT138&gt;INDEX(Processor!$J$2:$J$9,MATCH($D$140,Processor!$I$2:$I$9,0)),AT138&lt;INDEX(Processor!$K$2:$K$9,MATCH($D$140,Processor!$I$2:$I$9,0))),IF(AT138=$D$140,TRUE,FALSE)))</f>
        <v>1</v>
      </c>
      <c r="AF138" s="185" t="b">
        <f t="shared" ref="AF138:AF147" si="137">IF($D$145="",TRUE,IF(AU138&gt;=$D$145,TRUE,FALSE))</f>
        <v>1</v>
      </c>
      <c r="AG138" s="185" t="b">
        <f t="shared" ref="AG138:AG147" si="138">IF($D$146="",TRUE,IF(AV138&gt;=$D$146,TRUE,FALSE))</f>
        <v>1</v>
      </c>
      <c r="AH138" s="185" t="b">
        <f t="shared" ref="AH138:AH147" si="139">IF($D$147="",TRUE,IF($D$147="802.11a/b/g/n/ac",TRUE,IF(AX138&gt;=$D$147,TRUE,FALSE)))</f>
        <v>1</v>
      </c>
      <c r="AI138" s="185" t="b">
        <f t="shared" ref="AI138:AI147" si="140">IF($D$148="",TRUE,IF(AY138&gt;=$D$148,TRUE,FALSE))</f>
        <v>1</v>
      </c>
      <c r="AJ138" s="185" t="b">
        <f>IFERROR(IF($D150="",TRUE,IF(MID(BA138,LEN(BA138)-2,1)*1&gt;=MID($D150,LEN($D150)-2,1)*1,TRUE,FALSE)),FALSE)</f>
        <v>1</v>
      </c>
      <c r="AK138" s="185"/>
      <c r="AL138" s="185"/>
      <c r="AM138" s="185"/>
      <c r="AN138" s="185" t="s">
        <v>202</v>
      </c>
      <c r="AO138" s="185">
        <v>1</v>
      </c>
      <c r="AP138" s="185" t="str">
        <f t="shared" ref="AP138:AY147" ca="1" si="141">IFERROR(INDEX(INDIRECT(AP$133&amp;"!$A$10:CC100000"),MATCH($AN138,INDIRECT(AP$133&amp;"!BH$10:BH100000"),0),MATCH(AP$135,INDIRECT(AP$133&amp;"!a10:CC10"),0)),"False")</f>
        <v>1366x768</v>
      </c>
      <c r="AQ138" s="185" t="str">
        <f t="shared" ca="1" si="141"/>
        <v>Intel Celeron</v>
      </c>
      <c r="AR138" s="185">
        <f t="shared" ca="1" si="141"/>
        <v>4</v>
      </c>
      <c r="AS138" s="185">
        <f t="shared" ca="1" si="141"/>
        <v>32</v>
      </c>
      <c r="AT138" s="185">
        <f t="shared" ca="1" si="141"/>
        <v>11.6</v>
      </c>
      <c r="AU138" s="185">
        <f t="shared" ca="1" si="141"/>
        <v>3</v>
      </c>
      <c r="AV138" s="185">
        <f t="shared" ca="1" si="141"/>
        <v>1</v>
      </c>
      <c r="AW138" s="185">
        <f t="shared" ca="1" si="141"/>
        <v>0</v>
      </c>
      <c r="AX138" s="185" t="str">
        <f t="shared" ca="1" si="141"/>
        <v>802.11a/b/g/n/ac</v>
      </c>
      <c r="AY138" s="185">
        <f t="shared" ca="1" si="141"/>
        <v>5</v>
      </c>
      <c r="AZ138" s="185">
        <f t="shared" ref="AZ138:BI147" ca="1" si="142">IFERROR(INDEX(INDIRECT(AZ$133&amp;"!$A$10:CC100000"),MATCH($AN138,INDIRECT(AZ$133&amp;"!BH$10:BH100000"),0),MATCH(AZ$135,INDIRECT(AZ$133&amp;"!a10:CC10"),0)),"False")</f>
        <v>11</v>
      </c>
      <c r="BA138" s="185" t="str">
        <f t="shared" ca="1" si="142"/>
        <v>Version 8.0</v>
      </c>
      <c r="BB138" s="185" t="str">
        <f t="shared" ca="1" si="142"/>
        <v>Ja</v>
      </c>
      <c r="BC138" s="185" t="str">
        <f t="shared" ca="1" si="142"/>
        <v>Google Chrome OS</v>
      </c>
      <c r="BD138" s="185" t="str">
        <f t="shared" ca="1" si="142"/>
        <v>ChromeBook 11 G9 EE</v>
      </c>
      <c r="BE138" s="185">
        <f t="shared" ca="1" si="142"/>
        <v>3996</v>
      </c>
      <c r="BF138" s="192">
        <f t="shared" ca="1" si="142"/>
        <v>64</v>
      </c>
      <c r="BG138" s="192">
        <f t="shared" ca="1" si="142"/>
        <v>213</v>
      </c>
      <c r="BH138" s="192">
        <f t="shared" ca="1" si="142"/>
        <v>251</v>
      </c>
      <c r="BI138" s="192">
        <f t="shared" ca="1" si="142"/>
        <v>594</v>
      </c>
      <c r="BJ138" s="192">
        <f t="shared" ref="BJ138:BT147" ca="1" si="143">IFERROR(INDEX(INDIRECT(BJ$133&amp;"!$A$10:CC100000"),MATCH($AN138,INDIRECT(BJ$133&amp;"!BH$10:BH100000"),0),MATCH(BJ$135,INDIRECT(BJ$133&amp;"!a10:CC10"),0)),"False")</f>
        <v>112</v>
      </c>
      <c r="BK138" s="192">
        <f t="shared" ca="1" si="143"/>
        <v>50</v>
      </c>
      <c r="BL138" s="192">
        <f t="shared" ca="1" si="143"/>
        <v>50</v>
      </c>
      <c r="BM138" s="192" t="str">
        <f t="shared" ca="1" si="143"/>
        <v>V7</v>
      </c>
      <c r="BN138" s="192" t="str">
        <f t="shared" ca="1" si="143"/>
        <v>PORT Designs</v>
      </c>
      <c r="BO138" s="192" t="str">
        <f t="shared" ca="1" si="143"/>
        <v>CoreParts</v>
      </c>
      <c r="BP138" s="192">
        <f t="shared" ca="1" si="143"/>
        <v>0</v>
      </c>
      <c r="BQ138" s="192" t="str">
        <f t="shared" ca="1" si="143"/>
        <v xml:space="preserve"> CSE12-BLK-3E  - Fodral för bärbar dator 12" - svart</v>
      </c>
      <c r="BR138" s="192" t="str">
        <f t="shared" ca="1" si="143"/>
        <v>900265 - Sekretessfilter till bärbar dator - 11.6" - guld</v>
      </c>
      <c r="BS138" s="192" t="str">
        <f t="shared" ca="1" si="143"/>
        <v>MBXUSBC-AC0005 - USB-C - strömadapter 45 Watt</v>
      </c>
      <c r="BT138" s="192">
        <f t="shared" ca="1" si="143"/>
        <v>0</v>
      </c>
      <c r="BU138" s="192"/>
      <c r="BV138" s="192"/>
      <c r="BW138" s="192" t="str">
        <f t="shared" ref="BW138:BX149" ca="1" si="144">IFERROR(INDEX(INDIRECT(BW$133&amp;"!$A$10:CC100000"),MATCH($AN138,INDIRECT(BW$133&amp;"!BH$10:BH100000"),0),MATCH(BW$135,INDIRECT(BW$133&amp;"!a10:CC10"),0)),"False")</f>
        <v>Advania Sverige AB</v>
      </c>
      <c r="BX138" s="192" t="str">
        <f t="shared" ca="1" si="144"/>
        <v>HP</v>
      </c>
      <c r="BY138" s="185" t="s">
        <v>706</v>
      </c>
      <c r="BZ138" s="185" t="s">
        <v>81</v>
      </c>
      <c r="CA138" s="185">
        <v>4</v>
      </c>
      <c r="CB138" s="185">
        <v>32</v>
      </c>
      <c r="CC138" s="191">
        <v>11.6</v>
      </c>
      <c r="CD138" s="185">
        <v>2</v>
      </c>
      <c r="CE138" s="185">
        <v>1</v>
      </c>
      <c r="CF138" s="185" t="s">
        <v>86</v>
      </c>
      <c r="CG138" s="186">
        <v>5</v>
      </c>
      <c r="CH138" s="186">
        <v>11</v>
      </c>
      <c r="CI138" s="185" t="s">
        <v>527</v>
      </c>
      <c r="CJ138" s="185" t="s">
        <v>69</v>
      </c>
      <c r="CK138" s="185" t="s">
        <v>82</v>
      </c>
      <c r="CL138" s="185"/>
      <c r="CM138" s="185"/>
    </row>
    <row r="139" spans="2:91" ht="22.5" customHeight="1" outlineLevel="1" x14ac:dyDescent="0.35">
      <c r="C139" s="61" t="s">
        <v>3</v>
      </c>
      <c r="D139" s="64"/>
      <c r="F139" s="78" t="str">
        <f t="shared" ref="F139:F151" si="145">IF(F$136="Inget antal angivet","",IFERROR(INDEX($AP$137:$BX$161,MATCH(F$133,$AN$137:$AN$161,0),MATCH($C139,$AP$137:$BX$137,0)),""))</f>
        <v/>
      </c>
      <c r="G139" s="79" t="str">
        <f t="shared" ref="G139:I151" ca="1" si="146">IFERROR(INDEX($AP$137:$BX$161,MATCH(G$133,$AN$137:$AN$161,0),MATCH($C139,$AP$137:$BX$137,0)),"")</f>
        <v>Google Chrome OS</v>
      </c>
      <c r="H139" s="79" t="str">
        <f t="shared" ca="1" si="146"/>
        <v>Google Chrome OS</v>
      </c>
      <c r="I139" s="120" t="str">
        <f t="shared" ca="1" si="146"/>
        <v>Google Chrome OS</v>
      </c>
      <c r="J139" s="62"/>
      <c r="K139" s="185">
        <f t="shared" ca="1" si="120"/>
        <v>0</v>
      </c>
      <c r="L139" s="185" t="b">
        <f t="shared" si="121"/>
        <v>1</v>
      </c>
      <c r="M139" s="185" t="s">
        <v>150</v>
      </c>
      <c r="N139" s="185" t="str">
        <f t="shared" ca="1" si="122"/>
        <v>Offererad produktnr. 05Atea Sverige AB</v>
      </c>
      <c r="O139" s="185" cm="1">
        <f t="array" aca="1" ref="O139" ca="1">MIN(IF(($BW$138:$BW$159=M139)*($AO$138:$AO$159=$O$135),$Y$138:$Y$159))</f>
        <v>4802</v>
      </c>
      <c r="P139" s="197">
        <f ca="1">SMALL($Y$138:$Y$161,2)</f>
        <v>3415</v>
      </c>
      <c r="Q139" s="185">
        <f t="shared" si="123"/>
        <v>0</v>
      </c>
      <c r="R139" s="185">
        <f t="shared" si="124"/>
        <v>0</v>
      </c>
      <c r="S139" s="185">
        <f t="shared" si="125"/>
        <v>0</v>
      </c>
      <c r="T139" s="185">
        <f t="shared" si="126"/>
        <v>0</v>
      </c>
      <c r="U139" s="185">
        <f t="shared" si="127"/>
        <v>0</v>
      </c>
      <c r="V139" s="185">
        <f t="shared" si="128"/>
        <v>0</v>
      </c>
      <c r="W139" s="185">
        <f t="shared" si="129"/>
        <v>0</v>
      </c>
      <c r="X139" s="185">
        <f t="shared" si="130"/>
        <v>0</v>
      </c>
      <c r="Y139" s="185">
        <f t="shared" ca="1" si="131"/>
        <v>4882</v>
      </c>
      <c r="Z139" s="185" t="str">
        <f t="shared" si="132"/>
        <v>Offererad produktnr. 06Advania Sverige AB</v>
      </c>
      <c r="AA139" s="185" t="b">
        <f t="shared" si="133"/>
        <v>1</v>
      </c>
      <c r="AB139" s="185" t="b">
        <f t="shared" si="134"/>
        <v>1</v>
      </c>
      <c r="AC139" s="185" t="b">
        <f t="shared" si="135"/>
        <v>1</v>
      </c>
      <c r="AD139" s="185" t="b">
        <f t="shared" si="136"/>
        <v>1</v>
      </c>
      <c r="AE139" s="185" t="b">
        <f>IF($D$140="",TRUE,IF(COUNTIF(Processor!$I$2:$I$9,$D$140)&gt;0,AND(AT139&gt;INDEX(Processor!$J$2:$J$9,MATCH($D$140,Processor!$I$2:$I$9,0)),AT139&lt;INDEX(Processor!$K$2:$K$9,MATCH($D$140,Processor!$I$2:$I$9,0))),IF(AT139=$D$140,TRUE,FALSE)))</f>
        <v>1</v>
      </c>
      <c r="AF139" s="185" t="b">
        <f t="shared" si="137"/>
        <v>1</v>
      </c>
      <c r="AG139" s="185" t="b">
        <f t="shared" si="138"/>
        <v>1</v>
      </c>
      <c r="AH139" s="185" t="b">
        <f t="shared" si="139"/>
        <v>1</v>
      </c>
      <c r="AI139" s="185" t="b">
        <f t="shared" si="140"/>
        <v>1</v>
      </c>
      <c r="AJ139" s="185" t="b">
        <f>IFERROR(IF($D150="",TRUE,IF(MID(BA139,LEN(BA139)-2,1)*1&gt;=MID($D150,LEN($D150)-2,1)*1,TRUE,FALSE)),FALSE)</f>
        <v>1</v>
      </c>
      <c r="AK139" s="185"/>
      <c r="AL139" s="185"/>
      <c r="AM139" s="185"/>
      <c r="AN139" s="185" t="s">
        <v>203</v>
      </c>
      <c r="AO139" s="185">
        <v>1</v>
      </c>
      <c r="AP139" s="185" t="str">
        <f t="shared" ca="1" si="141"/>
        <v>1920x1080</v>
      </c>
      <c r="AQ139" s="185" t="str">
        <f t="shared" ca="1" si="141"/>
        <v>Intel Celeron</v>
      </c>
      <c r="AR139" s="185">
        <f t="shared" ca="1" si="141"/>
        <v>8</v>
      </c>
      <c r="AS139" s="185">
        <f t="shared" ca="1" si="141"/>
        <v>64</v>
      </c>
      <c r="AT139" s="185">
        <f t="shared" ca="1" si="141"/>
        <v>14</v>
      </c>
      <c r="AU139" s="185">
        <f t="shared" ca="1" si="141"/>
        <v>3</v>
      </c>
      <c r="AV139" s="185">
        <f t="shared" ca="1" si="141"/>
        <v>1</v>
      </c>
      <c r="AW139" s="185">
        <f t="shared" ca="1" si="141"/>
        <v>0</v>
      </c>
      <c r="AX139" s="185" t="str">
        <f t="shared" ca="1" si="141"/>
        <v>802.11a/b/g/n/ac/ax</v>
      </c>
      <c r="AY139" s="185">
        <f t="shared" ca="1" si="141"/>
        <v>5</v>
      </c>
      <c r="AZ139" s="185">
        <f t="shared" ca="1" si="142"/>
        <v>11</v>
      </c>
      <c r="BA139" s="185" t="str">
        <f t="shared" ca="1" si="142"/>
        <v>Version 8.0</v>
      </c>
      <c r="BB139" s="185" t="str">
        <f t="shared" ca="1" si="142"/>
        <v>Ja</v>
      </c>
      <c r="BC139" s="185" t="str">
        <f t="shared" ca="1" si="142"/>
        <v>Google Chrome OS</v>
      </c>
      <c r="BD139" s="185" t="str">
        <f t="shared" ca="1" si="142"/>
        <v>Chromebook 14 G7</v>
      </c>
      <c r="BE139" s="185">
        <f t="shared" ca="1" si="142"/>
        <v>4882</v>
      </c>
      <c r="BF139" s="192">
        <f t="shared" ca="1" si="142"/>
        <v>60</v>
      </c>
      <c r="BG139" s="192">
        <f t="shared" ca="1" si="142"/>
        <v>218</v>
      </c>
      <c r="BH139" s="192">
        <f t="shared" ca="1" si="142"/>
        <v>251</v>
      </c>
      <c r="BI139" s="192">
        <f t="shared" ca="1" si="142"/>
        <v>244</v>
      </c>
      <c r="BJ139" s="192">
        <f t="shared" ca="1" si="143"/>
        <v>112</v>
      </c>
      <c r="BK139" s="192">
        <f t="shared" ca="1" si="143"/>
        <v>50</v>
      </c>
      <c r="BL139" s="192">
        <f t="shared" ca="1" si="143"/>
        <v>50</v>
      </c>
      <c r="BM139" s="192" t="str">
        <f t="shared" ca="1" si="143"/>
        <v>V7</v>
      </c>
      <c r="BN139" s="192" t="str">
        <f t="shared" ca="1" si="143"/>
        <v>PORT Designs</v>
      </c>
      <c r="BO139" s="192" t="str">
        <f t="shared" ca="1" si="143"/>
        <v>CoreParts</v>
      </c>
      <c r="BP139" s="192">
        <f t="shared" ca="1" si="143"/>
        <v>0</v>
      </c>
      <c r="BQ139" s="192" t="str">
        <f t="shared" ca="1" si="143"/>
        <v xml:space="preserve"> CSE14-BLK-3E  -Fodral för bärbar dator - 14" - svart</v>
      </c>
      <c r="BR139" s="192" t="str">
        <f t="shared" ca="1" si="143"/>
        <v>900003 - Professional - filter för personlig integritet - 14"</v>
      </c>
      <c r="BS139" s="192" t="str">
        <f t="shared" ca="1" si="143"/>
        <v>MBXUSBC-AC0005 - USB-C - strömadapter 45 Watt</v>
      </c>
      <c r="BT139" s="192">
        <f t="shared" ca="1" si="143"/>
        <v>0</v>
      </c>
      <c r="BU139" s="192"/>
      <c r="BV139" s="192"/>
      <c r="BW139" s="192" t="str">
        <f t="shared" ca="1" si="144"/>
        <v>Advania Sverige AB</v>
      </c>
      <c r="BX139" s="192" t="str">
        <f t="shared" ca="1" si="144"/>
        <v>HP</v>
      </c>
      <c r="BY139" s="185" t="s">
        <v>71</v>
      </c>
      <c r="BZ139" s="185" t="s">
        <v>696</v>
      </c>
      <c r="CA139" s="185">
        <v>8</v>
      </c>
      <c r="CB139" s="185">
        <v>64</v>
      </c>
      <c r="CC139" s="191">
        <v>14</v>
      </c>
      <c r="CD139" s="185">
        <v>3</v>
      </c>
      <c r="CE139" s="185">
        <v>2</v>
      </c>
      <c r="CF139" s="185" t="s">
        <v>79</v>
      </c>
      <c r="CG139" s="186">
        <v>5.0999999999999996</v>
      </c>
      <c r="CH139" s="186"/>
      <c r="CI139" s="185"/>
      <c r="CJ139" s="185"/>
      <c r="CK139" s="185"/>
      <c r="CL139" s="185"/>
      <c r="CM139" s="185"/>
    </row>
    <row r="140" spans="2:91" ht="22.5" customHeight="1" outlineLevel="1" x14ac:dyDescent="0.35">
      <c r="C140" s="61" t="s">
        <v>7</v>
      </c>
      <c r="D140" s="64"/>
      <c r="F140" s="78" t="str">
        <f t="shared" si="145"/>
        <v/>
      </c>
      <c r="G140" s="79">
        <f t="shared" ca="1" si="146"/>
        <v>11.6</v>
      </c>
      <c r="H140" s="79">
        <f t="shared" ca="1" si="146"/>
        <v>11.6</v>
      </c>
      <c r="I140" s="120">
        <f t="shared" ca="1" si="146"/>
        <v>14</v>
      </c>
      <c r="J140" s="62"/>
      <c r="K140" s="185">
        <f t="shared" ca="1" si="120"/>
        <v>0</v>
      </c>
      <c r="L140" s="185" t="b">
        <f t="shared" si="121"/>
        <v>1</v>
      </c>
      <c r="M140" s="185" t="s">
        <v>128</v>
      </c>
      <c r="N140" s="185" t="str">
        <f t="shared" ca="1" si="122"/>
        <v>Offererad produktnr. 05Dustin Sverige AB</v>
      </c>
      <c r="O140" s="185" cm="1">
        <f t="array" aca="1" ref="O140" ca="1">MIN(IF(($BW$138:$BW$159=M140)*($AO$138:$AO$159=$O$135),$Y$138:$Y$159))</f>
        <v>3415</v>
      </c>
      <c r="P140" s="197">
        <f ca="1">SMALL($Y$138:$Y$161,3)</f>
        <v>3610</v>
      </c>
      <c r="Q140" s="185">
        <f t="shared" si="123"/>
        <v>0</v>
      </c>
      <c r="R140" s="185">
        <f t="shared" si="124"/>
        <v>0</v>
      </c>
      <c r="S140" s="185">
        <f t="shared" si="125"/>
        <v>0</v>
      </c>
      <c r="T140" s="185">
        <f t="shared" si="126"/>
        <v>0</v>
      </c>
      <c r="U140" s="185">
        <f t="shared" si="127"/>
        <v>0</v>
      </c>
      <c r="V140" s="185">
        <f t="shared" si="128"/>
        <v>0</v>
      </c>
      <c r="W140" s="185">
        <f t="shared" si="129"/>
        <v>0</v>
      </c>
      <c r="X140" s="185">
        <f t="shared" si="130"/>
        <v>0</v>
      </c>
      <c r="Y140" s="185">
        <f t="shared" ca="1" si="131"/>
        <v>4802</v>
      </c>
      <c r="Z140" s="185" t="str">
        <f t="shared" si="132"/>
        <v>Offererad produktnr. 05Atea Sverige AB</v>
      </c>
      <c r="AA140" s="185" t="b">
        <f t="shared" si="133"/>
        <v>1</v>
      </c>
      <c r="AB140" s="185" t="b">
        <f t="shared" si="134"/>
        <v>1</v>
      </c>
      <c r="AC140" s="185" t="b">
        <f t="shared" si="135"/>
        <v>1</v>
      </c>
      <c r="AD140" s="185" t="b">
        <f t="shared" si="136"/>
        <v>1</v>
      </c>
      <c r="AE140" s="185" t="b">
        <f>IF($D$140="",TRUE,IF(COUNTIF(Processor!$I$2:$I$9,$D$140)&gt;0,AND(AT140&gt;INDEX(Processor!$J$2:$J$9,MATCH($D$140,Processor!$I$2:$I$9,0)),AT140&lt;INDEX(Processor!$K$2:$K$9,MATCH($D$140,Processor!$I$2:$I$9,0))),IF(AT140=$D$140,TRUE,FALSE)))</f>
        <v>1</v>
      </c>
      <c r="AF140" s="185" t="b">
        <f t="shared" si="137"/>
        <v>1</v>
      </c>
      <c r="AG140" s="185" t="b">
        <f t="shared" si="138"/>
        <v>1</v>
      </c>
      <c r="AH140" s="185" t="b">
        <f t="shared" si="139"/>
        <v>1</v>
      </c>
      <c r="AI140" s="185" t="b">
        <f t="shared" si="140"/>
        <v>1</v>
      </c>
      <c r="AJ140" s="185" t="b">
        <f>IFERROR(IF($D150="",TRUE,IF(MID(BA140,LEN(BA140)-2,1)*1&gt;=MID($D150,LEN($D150)-2,1)*1,TRUE,FALSE)),FALSE)</f>
        <v>1</v>
      </c>
      <c r="AK140" s="185"/>
      <c r="AL140" s="185"/>
      <c r="AM140" s="185"/>
      <c r="AN140" s="185" t="s">
        <v>190</v>
      </c>
      <c r="AO140" s="185">
        <v>1</v>
      </c>
      <c r="AP140" s="185" t="str">
        <f t="shared" ca="1" si="141"/>
        <v>1366x768</v>
      </c>
      <c r="AQ140" s="185" t="str">
        <f t="shared" ca="1" si="141"/>
        <v>Intel Celeron</v>
      </c>
      <c r="AR140" s="185">
        <f t="shared" ca="1" si="141"/>
        <v>4</v>
      </c>
      <c r="AS140" s="185">
        <f t="shared" ca="1" si="141"/>
        <v>32</v>
      </c>
      <c r="AT140" s="185">
        <f t="shared" ca="1" si="141"/>
        <v>11.6</v>
      </c>
      <c r="AU140" s="185">
        <f t="shared" ca="1" si="141"/>
        <v>2</v>
      </c>
      <c r="AV140" s="185">
        <f t="shared" ca="1" si="141"/>
        <v>1</v>
      </c>
      <c r="AW140" s="185">
        <f t="shared" ca="1" si="141"/>
        <v>0</v>
      </c>
      <c r="AX140" s="185" t="str">
        <f t="shared" ca="1" si="141"/>
        <v>802.11a/b/g/n/ac/ax</v>
      </c>
      <c r="AY140" s="185">
        <f t="shared" ca="1" si="141"/>
        <v>5.0999999999999996</v>
      </c>
      <c r="AZ140" s="185">
        <f t="shared" ca="1" si="142"/>
        <v>11</v>
      </c>
      <c r="BA140" s="185" t="str">
        <f t="shared" ca="1" si="142"/>
        <v>Version 8.0</v>
      </c>
      <c r="BB140" s="185" t="str">
        <f t="shared" ca="1" si="142"/>
        <v>Ja</v>
      </c>
      <c r="BC140" s="185" t="str">
        <f t="shared" ca="1" si="142"/>
        <v>Google Chrome OS</v>
      </c>
      <c r="BD140" s="185" t="str">
        <f t="shared" ca="1" si="142"/>
        <v>100e Chr Gen3</v>
      </c>
      <c r="BE140" s="185">
        <f t="shared" ca="1" si="142"/>
        <v>4802</v>
      </c>
      <c r="BF140" s="192">
        <f t="shared" ca="1" si="142"/>
        <v>145</v>
      </c>
      <c r="BG140" s="192">
        <f t="shared" ca="1" si="142"/>
        <v>431</v>
      </c>
      <c r="BH140" s="192">
        <f t="shared" ca="1" si="142"/>
        <v>361</v>
      </c>
      <c r="BI140" s="192">
        <f t="shared" ca="1" si="142"/>
        <v>728</v>
      </c>
      <c r="BJ140" s="192">
        <f t="shared" ca="1" si="143"/>
        <v>120</v>
      </c>
      <c r="BK140" s="192">
        <f t="shared" ca="1" si="143"/>
        <v>85</v>
      </c>
      <c r="BL140" s="192">
        <f t="shared" ca="1" si="143"/>
        <v>100</v>
      </c>
      <c r="BM140" s="192" t="str">
        <f t="shared" ca="1" si="143"/>
        <v xml:space="preserve">Lenovo </v>
      </c>
      <c r="BN140" s="192" t="str">
        <f t="shared" ca="1" si="143"/>
        <v>Lenovo</v>
      </c>
      <c r="BO140" s="192" t="str">
        <f t="shared" ca="1" si="143"/>
        <v>Lenovo</v>
      </c>
      <c r="BP140" s="192">
        <f t="shared" ca="1" si="143"/>
        <v>0</v>
      </c>
      <c r="BQ140" s="192" t="str">
        <f t="shared" ca="1" si="143"/>
        <v>Basic Sleeve 11"</v>
      </c>
      <c r="BR140" s="192" t="str">
        <f t="shared" ca="1" si="143"/>
        <v>Lenovo 11.6" Privacy Filter</v>
      </c>
      <c r="BS140" s="192" t="str">
        <f t="shared" ca="1" si="143"/>
        <v>Power adapter USB-C 45w</v>
      </c>
      <c r="BT140" s="192">
        <f t="shared" ca="1" si="143"/>
        <v>0</v>
      </c>
      <c r="BU140" s="192"/>
      <c r="BV140" s="192"/>
      <c r="BW140" s="192" t="str">
        <f t="shared" ca="1" si="144"/>
        <v>Atea Sverige AB</v>
      </c>
      <c r="BX140" s="192" t="str">
        <f t="shared" ca="1" si="144"/>
        <v>Lenovo</v>
      </c>
      <c r="BY140" s="185"/>
      <c r="BZ140" s="185"/>
      <c r="CA140" s="185"/>
      <c r="CB140" s="185"/>
      <c r="CC140" s="185"/>
      <c r="CD140" s="185">
        <v>4</v>
      </c>
      <c r="CE140" s="185"/>
      <c r="CF140" s="185"/>
      <c r="CG140" s="186"/>
      <c r="CH140" s="186"/>
      <c r="CI140" s="185"/>
      <c r="CJ140" s="185"/>
      <c r="CK140" s="185"/>
      <c r="CL140" s="185"/>
      <c r="CM140" s="185"/>
    </row>
    <row r="141" spans="2:91" ht="22.5" customHeight="1" outlineLevel="1" x14ac:dyDescent="0.35">
      <c r="C141" s="61" t="s">
        <v>2</v>
      </c>
      <c r="D141" s="64"/>
      <c r="F141" s="78" t="str">
        <f t="shared" si="145"/>
        <v/>
      </c>
      <c r="G141" s="79" t="str">
        <f t="shared" ca="1" si="146"/>
        <v>1366x768</v>
      </c>
      <c r="H141" s="79" t="str">
        <f t="shared" ca="1" si="146"/>
        <v>1366x768</v>
      </c>
      <c r="I141" s="120" t="str">
        <f t="shared" ca="1" si="146"/>
        <v>1920x1080</v>
      </c>
      <c r="J141" s="62"/>
      <c r="K141" s="185">
        <f t="shared" ca="1" si="120"/>
        <v>0</v>
      </c>
      <c r="L141" s="185" t="b">
        <f t="shared" si="121"/>
        <v>1</v>
      </c>
      <c r="M141" s="185" t="s">
        <v>169</v>
      </c>
      <c r="N141" s="185" t="str">
        <f t="shared" ca="1" si="122"/>
        <v>Offererad produktnr. 05Foxway Education AB</v>
      </c>
      <c r="O141" s="185" cm="1">
        <f t="array" aca="1" ref="O141" ca="1">MIN(IF(($BW$138:$BW$159=M141)*($AO$138:$AO$159=$O$135),$Y$138:$Y$159))</f>
        <v>3636</v>
      </c>
      <c r="P141" s="197"/>
      <c r="Q141" s="185">
        <f t="shared" si="123"/>
        <v>0</v>
      </c>
      <c r="R141" s="185">
        <f t="shared" si="124"/>
        <v>0</v>
      </c>
      <c r="S141" s="185">
        <f t="shared" si="125"/>
        <v>0</v>
      </c>
      <c r="T141" s="185">
        <f t="shared" si="126"/>
        <v>0</v>
      </c>
      <c r="U141" s="185">
        <f t="shared" si="127"/>
        <v>0</v>
      </c>
      <c r="V141" s="185">
        <f t="shared" si="128"/>
        <v>0</v>
      </c>
      <c r="W141" s="185">
        <f t="shared" si="129"/>
        <v>0</v>
      </c>
      <c r="X141" s="185">
        <f t="shared" si="130"/>
        <v>0</v>
      </c>
      <c r="Y141" s="185">
        <f t="shared" ca="1" si="131"/>
        <v>6392</v>
      </c>
      <c r="Z141" s="185" t="str">
        <f t="shared" si="132"/>
        <v>Offererad produktnr. 06Atea Sverige AB</v>
      </c>
      <c r="AA141" s="185" t="b">
        <f t="shared" si="133"/>
        <v>1</v>
      </c>
      <c r="AB141" s="185" t="b">
        <f t="shared" si="134"/>
        <v>1</v>
      </c>
      <c r="AC141" s="185" t="b">
        <f t="shared" si="135"/>
        <v>1</v>
      </c>
      <c r="AD141" s="185" t="b">
        <f t="shared" si="136"/>
        <v>1</v>
      </c>
      <c r="AE141" s="185" t="b">
        <f>IF($D$140="",TRUE,IF(COUNTIF(Processor!$I$2:$I$9,$D$140)&gt;0,AND(AT141&gt;INDEX(Processor!$J$2:$J$9,MATCH($D$140,Processor!$I$2:$I$9,0)),AT141&lt;INDEX(Processor!$K$2:$K$9,MATCH($D$140,Processor!$I$2:$I$9,0))),IF(AT141=$D$140,TRUE,FALSE)))</f>
        <v>1</v>
      </c>
      <c r="AF141" s="185" t="b">
        <f t="shared" si="137"/>
        <v>1</v>
      </c>
      <c r="AG141" s="185" t="b">
        <f t="shared" si="138"/>
        <v>1</v>
      </c>
      <c r="AH141" s="185" t="b">
        <f t="shared" si="139"/>
        <v>1</v>
      </c>
      <c r="AI141" s="185" t="b">
        <f t="shared" si="140"/>
        <v>1</v>
      </c>
      <c r="AJ141" s="185" t="b">
        <f>IFERROR(IF($D150="",TRUE,IF(MID(BA141,LEN(BA141)-2,1)*1&gt;=MID($D150,LEN($D150)-2,1)*1,TRUE,FALSE)),FALSE)</f>
        <v>1</v>
      </c>
      <c r="AK141" s="185"/>
      <c r="AL141" s="185"/>
      <c r="AM141" s="185"/>
      <c r="AN141" s="185" t="s">
        <v>191</v>
      </c>
      <c r="AO141" s="185">
        <v>1</v>
      </c>
      <c r="AP141" s="185" t="str">
        <f t="shared" ca="1" si="141"/>
        <v>1920x1080</v>
      </c>
      <c r="AQ141" s="185" t="str">
        <f t="shared" ca="1" si="141"/>
        <v>Intel Celeron</v>
      </c>
      <c r="AR141" s="185">
        <f t="shared" ca="1" si="141"/>
        <v>8</v>
      </c>
      <c r="AS141" s="185">
        <f t="shared" ca="1" si="141"/>
        <v>64</v>
      </c>
      <c r="AT141" s="185">
        <f t="shared" ca="1" si="141"/>
        <v>14</v>
      </c>
      <c r="AU141" s="185">
        <f t="shared" ca="1" si="141"/>
        <v>3</v>
      </c>
      <c r="AV141" s="185">
        <f t="shared" ca="1" si="141"/>
        <v>1</v>
      </c>
      <c r="AW141" s="185">
        <f t="shared" ca="1" si="141"/>
        <v>0</v>
      </c>
      <c r="AX141" s="185" t="str">
        <f t="shared" ca="1" si="141"/>
        <v>802.11a/b/g/n/ac/ax</v>
      </c>
      <c r="AY141" s="185">
        <f t="shared" ca="1" si="141"/>
        <v>5</v>
      </c>
      <c r="AZ141" s="185">
        <f t="shared" ca="1" si="142"/>
        <v>11</v>
      </c>
      <c r="BA141" s="185" t="str">
        <f t="shared" ca="1" si="142"/>
        <v>Version 8.0</v>
      </c>
      <c r="BB141" s="185" t="str">
        <f t="shared" ca="1" si="142"/>
        <v>Ja</v>
      </c>
      <c r="BC141" s="185" t="str">
        <f t="shared" ca="1" si="142"/>
        <v>Google Chrome OS</v>
      </c>
      <c r="BD141" s="185" t="str">
        <f t="shared" ca="1" si="142"/>
        <v>Chromebook 14 G7</v>
      </c>
      <c r="BE141" s="185">
        <f t="shared" ca="1" si="142"/>
        <v>6392</v>
      </c>
      <c r="BF141" s="192">
        <f t="shared" ca="1" si="142"/>
        <v>134</v>
      </c>
      <c r="BG141" s="192">
        <f t="shared" ca="1" si="142"/>
        <v>449</v>
      </c>
      <c r="BH141" s="192">
        <f t="shared" ca="1" si="142"/>
        <v>389</v>
      </c>
      <c r="BI141" s="192">
        <f t="shared" ca="1" si="142"/>
        <v>276</v>
      </c>
      <c r="BJ141" s="192">
        <f t="shared" ca="1" si="143"/>
        <v>120</v>
      </c>
      <c r="BK141" s="192">
        <f t="shared" ca="1" si="143"/>
        <v>85</v>
      </c>
      <c r="BL141" s="192">
        <f t="shared" ca="1" si="143"/>
        <v>100</v>
      </c>
      <c r="BM141" s="192" t="str">
        <f t="shared" ca="1" si="143"/>
        <v>DELTACO</v>
      </c>
      <c r="BN141" s="192" t="str">
        <f t="shared" ca="1" si="143"/>
        <v>Targus</v>
      </c>
      <c r="BO141" s="192" t="str">
        <f t="shared" ca="1" si="143"/>
        <v>HP</v>
      </c>
      <c r="BP141" s="192">
        <f t="shared" ca="1" si="143"/>
        <v>0</v>
      </c>
      <c r="BQ141" s="192" t="str">
        <f t="shared" ca="1" si="143"/>
        <v xml:space="preserve">Fodral för bärbar dator </v>
      </c>
      <c r="BR141" s="192" t="str">
        <f t="shared" ca="1" si="143"/>
        <v>Targus Privacy Screen 14"</v>
      </c>
      <c r="BS141" s="192" t="str">
        <f t="shared" ca="1" si="143"/>
        <v>HP 45W USB-C Power Adapter G2</v>
      </c>
      <c r="BT141" s="192">
        <f t="shared" ca="1" si="143"/>
        <v>0</v>
      </c>
      <c r="BU141" s="192"/>
      <c r="BV141" s="192"/>
      <c r="BW141" s="192" t="str">
        <f t="shared" ca="1" si="144"/>
        <v>Atea Sverige AB</v>
      </c>
      <c r="BX141" s="192" t="str">
        <f t="shared" ca="1" si="144"/>
        <v>HP</v>
      </c>
      <c r="BY141" s="185"/>
      <c r="BZ141" s="185"/>
      <c r="CA141" s="185"/>
      <c r="CB141" s="185"/>
      <c r="CC141" s="185"/>
      <c r="CD141" s="185"/>
      <c r="CE141" s="185"/>
      <c r="CF141" s="185"/>
      <c r="CG141" s="186"/>
      <c r="CH141" s="186"/>
      <c r="CI141" s="185"/>
      <c r="CJ141" s="185"/>
      <c r="CK141" s="185"/>
      <c r="CL141" s="185"/>
      <c r="CM141" s="185"/>
    </row>
    <row r="142" spans="2:91" ht="22.5" customHeight="1" outlineLevel="1" x14ac:dyDescent="0.35">
      <c r="C142" s="61" t="s">
        <v>4</v>
      </c>
      <c r="D142" s="64"/>
      <c r="F142" s="78" t="str">
        <f t="shared" si="145"/>
        <v/>
      </c>
      <c r="G142" s="79" t="str">
        <f t="shared" ca="1" si="146"/>
        <v>Intel Celeron</v>
      </c>
      <c r="H142" s="79" t="str">
        <f t="shared" ca="1" si="146"/>
        <v>Intel Celeron</v>
      </c>
      <c r="I142" s="120" t="str">
        <f t="shared" ca="1" si="146"/>
        <v>Intel Celeron</v>
      </c>
      <c r="J142" s="62"/>
      <c r="K142" s="185">
        <f t="shared" ca="1" si="120"/>
        <v>0</v>
      </c>
      <c r="L142" s="185" t="b">
        <f t="shared" si="121"/>
        <v>1</v>
      </c>
      <c r="M142" s="185" t="s">
        <v>167</v>
      </c>
      <c r="N142" s="185" t="e">
        <f t="shared" ca="1" si="122"/>
        <v>#N/A</v>
      </c>
      <c r="O142" s="185" cm="1">
        <f t="array" aca="1" ref="O142" ca="1">MIN(IF(($BW$138:$BW$159=M142)*($AO$138:$AO$159=$O$135),$Y$138:$Y$159))</f>
        <v>0</v>
      </c>
      <c r="P142" s="197"/>
      <c r="Q142" s="185">
        <f t="shared" si="123"/>
        <v>0</v>
      </c>
      <c r="R142" s="185">
        <f t="shared" si="124"/>
        <v>0</v>
      </c>
      <c r="S142" s="185">
        <f t="shared" si="125"/>
        <v>0</v>
      </c>
      <c r="T142" s="185">
        <f t="shared" si="126"/>
        <v>0</v>
      </c>
      <c r="U142" s="185">
        <f t="shared" si="127"/>
        <v>0</v>
      </c>
      <c r="V142" s="185">
        <f t="shared" si="128"/>
        <v>0</v>
      </c>
      <c r="W142" s="185">
        <f t="shared" si="129"/>
        <v>0</v>
      </c>
      <c r="X142" s="185">
        <f t="shared" si="130"/>
        <v>0</v>
      </c>
      <c r="Y142" s="185">
        <f t="shared" ca="1" si="131"/>
        <v>3415</v>
      </c>
      <c r="Z142" s="185" t="str">
        <f t="shared" si="132"/>
        <v>Offererad produktnr. 05Dustin Sverige AB</v>
      </c>
      <c r="AA142" s="185" t="b">
        <f t="shared" si="133"/>
        <v>1</v>
      </c>
      <c r="AB142" s="185" t="b">
        <f t="shared" si="134"/>
        <v>1</v>
      </c>
      <c r="AC142" s="185" t="b">
        <f t="shared" si="135"/>
        <v>1</v>
      </c>
      <c r="AD142" s="185" t="b">
        <f t="shared" si="136"/>
        <v>1</v>
      </c>
      <c r="AE142" s="185" t="b">
        <f>IF($D$140="",TRUE,IF(COUNTIF(Processor!$I$2:$I$9,$D$140)&gt;0,AND(AT142&gt;INDEX(Processor!$J$2:$J$9,MATCH($D$140,Processor!$I$2:$I$9,0)),AT142&lt;INDEX(Processor!$K$2:$K$9,MATCH($D$140,Processor!$I$2:$I$9,0))),IF(AT142=$D$140,TRUE,FALSE)))</f>
        <v>1</v>
      </c>
      <c r="AF142" s="185" t="b">
        <f t="shared" si="137"/>
        <v>1</v>
      </c>
      <c r="AG142" s="185" t="b">
        <f t="shared" si="138"/>
        <v>1</v>
      </c>
      <c r="AH142" s="185" t="b">
        <f t="shared" si="139"/>
        <v>1</v>
      </c>
      <c r="AI142" s="185" t="b">
        <f t="shared" si="140"/>
        <v>1</v>
      </c>
      <c r="AJ142" s="185" t="b">
        <f>IFERROR(IF($D150="",TRUE,IF(MID(BA142,LEN(BA142)-2,1)*1&gt;=MID($D150,LEN($D150)-2,1)*1,TRUE,FALSE)),FALSE)</f>
        <v>1</v>
      </c>
      <c r="AK142" s="185"/>
      <c r="AL142" s="185"/>
      <c r="AM142" s="185"/>
      <c r="AN142" s="185" t="s">
        <v>178</v>
      </c>
      <c r="AO142" s="185">
        <v>1</v>
      </c>
      <c r="AP142" s="185" t="str">
        <f t="shared" ca="1" si="141"/>
        <v>1366x768</v>
      </c>
      <c r="AQ142" s="185" t="str">
        <f t="shared" ca="1" si="141"/>
        <v>Intel Celeron</v>
      </c>
      <c r="AR142" s="185">
        <f t="shared" ca="1" si="141"/>
        <v>4</v>
      </c>
      <c r="AS142" s="185">
        <f t="shared" ca="1" si="141"/>
        <v>32</v>
      </c>
      <c r="AT142" s="185">
        <f t="shared" ca="1" si="141"/>
        <v>11.6</v>
      </c>
      <c r="AU142" s="185">
        <f t="shared" ca="1" si="141"/>
        <v>4</v>
      </c>
      <c r="AV142" s="185">
        <f t="shared" ca="1" si="141"/>
        <v>2</v>
      </c>
      <c r="AW142" s="185">
        <f t="shared" ca="1" si="141"/>
        <v>0</v>
      </c>
      <c r="AX142" s="185" t="str">
        <f t="shared" ca="1" si="141"/>
        <v>802.11a/b/g/n/ac/ax</v>
      </c>
      <c r="AY142" s="185">
        <f t="shared" ca="1" si="141"/>
        <v>5</v>
      </c>
      <c r="AZ142" s="185">
        <f t="shared" ca="1" si="142"/>
        <v>11</v>
      </c>
      <c r="BA142" s="185" t="str">
        <f t="shared" ca="1" si="142"/>
        <v>Version 8.0</v>
      </c>
      <c r="BB142" s="185" t="str">
        <f t="shared" ca="1" si="142"/>
        <v>Ja</v>
      </c>
      <c r="BC142" s="185" t="str">
        <f t="shared" ca="1" si="142"/>
        <v>Google Chrome OS</v>
      </c>
      <c r="BD142" s="185" t="str">
        <f t="shared" ca="1" si="142"/>
        <v>ChromeBook 11 G9 EE</v>
      </c>
      <c r="BE142" s="185">
        <f t="shared" ca="1" si="142"/>
        <v>3415</v>
      </c>
      <c r="BF142" s="192">
        <f t="shared" ca="1" si="142"/>
        <v>87</v>
      </c>
      <c r="BG142" s="192">
        <f t="shared" ca="1" si="142"/>
        <v>123</v>
      </c>
      <c r="BH142" s="192">
        <f t="shared" ca="1" si="142"/>
        <v>249</v>
      </c>
      <c r="BI142" s="192">
        <f t="shared" ca="1" si="142"/>
        <v>131</v>
      </c>
      <c r="BJ142" s="192">
        <f t="shared" ca="1" si="143"/>
        <v>133</v>
      </c>
      <c r="BK142" s="192">
        <f t="shared" ca="1" si="143"/>
        <v>20</v>
      </c>
      <c r="BL142" s="192">
        <f t="shared" ca="1" si="143"/>
        <v>20</v>
      </c>
      <c r="BM142" s="192" t="str">
        <f t="shared" ca="1" si="143"/>
        <v>Cirafon</v>
      </c>
      <c r="BN142" s="192" t="str">
        <f t="shared" ca="1" si="143"/>
        <v>Cirafon</v>
      </c>
      <c r="BO142" s="192" t="str">
        <f t="shared" ca="1" si="143"/>
        <v>HP</v>
      </c>
      <c r="BP142" s="192">
        <f t="shared" ca="1" si="143"/>
        <v>0</v>
      </c>
      <c r="BQ142" s="192" t="str">
        <f t="shared" ca="1" si="143"/>
        <v>LSN9117-11</v>
      </c>
      <c r="BR142" s="192" t="str">
        <f t="shared" ca="1" si="143"/>
        <v>DPF11.6-9</v>
      </c>
      <c r="BS142" s="192" t="str">
        <f t="shared" ca="1" si="143"/>
        <v>1MZ01AA</v>
      </c>
      <c r="BT142" s="192">
        <f t="shared" ca="1" si="143"/>
        <v>0</v>
      </c>
      <c r="BU142" s="192"/>
      <c r="BV142" s="192"/>
      <c r="BW142" s="192" t="str">
        <f t="shared" ca="1" si="144"/>
        <v>Dustin Sverige AB</v>
      </c>
      <c r="BX142" s="192" t="str">
        <f t="shared" ca="1" si="144"/>
        <v>HP</v>
      </c>
      <c r="BY142" s="185"/>
      <c r="BZ142" s="185"/>
      <c r="CA142" s="185"/>
      <c r="CB142" s="185"/>
      <c r="CC142" s="185">
        <v>0</v>
      </c>
      <c r="CD142" s="185"/>
      <c r="CE142" s="185"/>
      <c r="CF142" s="185"/>
      <c r="CG142" s="186">
        <v>0</v>
      </c>
      <c r="CH142" s="185"/>
      <c r="CI142" s="185"/>
      <c r="CJ142" s="185"/>
      <c r="CK142" s="185"/>
      <c r="CL142" s="185"/>
      <c r="CM142" s="185"/>
    </row>
    <row r="143" spans="2:91" ht="22.5" customHeight="1" outlineLevel="1" x14ac:dyDescent="0.35">
      <c r="C143" s="61" t="s">
        <v>119</v>
      </c>
      <c r="D143" s="64"/>
      <c r="F143" s="78" t="str">
        <f t="shared" si="145"/>
        <v/>
      </c>
      <c r="G143" s="79">
        <f t="shared" ca="1" si="146"/>
        <v>4</v>
      </c>
      <c r="H143" s="79">
        <f t="shared" ca="1" si="146"/>
        <v>4</v>
      </c>
      <c r="I143" s="120">
        <f t="shared" ca="1" si="146"/>
        <v>8</v>
      </c>
      <c r="J143" s="62"/>
      <c r="K143" s="185">
        <f t="shared" ca="1" si="120"/>
        <v>0</v>
      </c>
      <c r="L143" s="185" t="b">
        <f t="shared" si="121"/>
        <v>1</v>
      </c>
      <c r="M143" s="185" t="s">
        <v>546</v>
      </c>
      <c r="N143" s="185" t="str">
        <f t="shared" ca="1" si="122"/>
        <v>Offererad produktnr. 05Qlosr Göteborg AB</v>
      </c>
      <c r="O143" s="185" cm="1">
        <f t="array" aca="1" ref="O143" ca="1">MIN(IF(($BW$138:$BW$159=M143)*($AO$138:$AO$159=$O$135),$Y$138:$Y$159))</f>
        <v>2950</v>
      </c>
      <c r="P143" s="197"/>
      <c r="Q143" s="185">
        <f t="shared" si="123"/>
        <v>0</v>
      </c>
      <c r="R143" s="185">
        <f t="shared" si="124"/>
        <v>0</v>
      </c>
      <c r="S143" s="185">
        <f t="shared" si="125"/>
        <v>0</v>
      </c>
      <c r="T143" s="185">
        <f t="shared" si="126"/>
        <v>0</v>
      </c>
      <c r="U143" s="185">
        <f t="shared" si="127"/>
        <v>0</v>
      </c>
      <c r="V143" s="185">
        <f t="shared" si="128"/>
        <v>0</v>
      </c>
      <c r="W143" s="185">
        <f t="shared" si="129"/>
        <v>0</v>
      </c>
      <c r="X143" s="185">
        <f t="shared" si="130"/>
        <v>0</v>
      </c>
      <c r="Y143" s="185">
        <f t="shared" ca="1" si="131"/>
        <v>4088</v>
      </c>
      <c r="Z143" s="185" t="str">
        <f t="shared" si="132"/>
        <v>Offererad produktnr. 06Dustin Sverige AB</v>
      </c>
      <c r="AA143" s="185" t="b">
        <f t="shared" si="133"/>
        <v>1</v>
      </c>
      <c r="AB143" s="185" t="b">
        <f t="shared" si="134"/>
        <v>1</v>
      </c>
      <c r="AC143" s="185" t="b">
        <f t="shared" si="135"/>
        <v>1</v>
      </c>
      <c r="AD143" s="185" t="b">
        <f t="shared" si="136"/>
        <v>1</v>
      </c>
      <c r="AE143" s="185" t="b">
        <f>IF($D$140="",TRUE,IF(COUNTIF(Processor!$I$2:$I$9,$D$140)&gt;0,AND(AT143&gt;INDEX(Processor!$J$2:$J$9,MATCH($D$140,Processor!$I$2:$I$9,0)),AT143&lt;INDEX(Processor!$K$2:$K$9,MATCH($D$140,Processor!$I$2:$I$9,0))),IF(AT143=$D$140,TRUE,FALSE)))</f>
        <v>1</v>
      </c>
      <c r="AF143" s="185" t="b">
        <f t="shared" si="137"/>
        <v>1</v>
      </c>
      <c r="AG143" s="185" t="b">
        <f t="shared" si="138"/>
        <v>1</v>
      </c>
      <c r="AH143" s="185" t="b">
        <f t="shared" si="139"/>
        <v>1</v>
      </c>
      <c r="AI143" s="185" t="b">
        <f t="shared" si="140"/>
        <v>1</v>
      </c>
      <c r="AJ143" s="185" t="b">
        <f>IFERROR(IF($D150="",TRUE,IF(MID(BA143,LEN(BA143)-2,1)*1&gt;=MID($D150,LEN($D150)-2,1)*1,TRUE,FALSE)),FALSE)</f>
        <v>1</v>
      </c>
      <c r="AK143" s="185"/>
      <c r="AL143" s="185"/>
      <c r="AM143" s="185"/>
      <c r="AN143" s="185" t="s">
        <v>179</v>
      </c>
      <c r="AO143" s="185">
        <v>1</v>
      </c>
      <c r="AP143" s="185" t="str">
        <f t="shared" ca="1" si="141"/>
        <v>1920x1080</v>
      </c>
      <c r="AQ143" s="185" t="str">
        <f t="shared" ca="1" si="141"/>
        <v>Intel Celeron</v>
      </c>
      <c r="AR143" s="185">
        <f t="shared" ca="1" si="141"/>
        <v>8</v>
      </c>
      <c r="AS143" s="185">
        <f t="shared" ca="1" si="141"/>
        <v>64</v>
      </c>
      <c r="AT143" s="185">
        <f t="shared" ca="1" si="141"/>
        <v>14</v>
      </c>
      <c r="AU143" s="185">
        <f t="shared" ca="1" si="141"/>
        <v>3</v>
      </c>
      <c r="AV143" s="185">
        <f t="shared" ca="1" si="141"/>
        <v>1</v>
      </c>
      <c r="AW143" s="185">
        <f t="shared" ca="1" si="141"/>
        <v>0</v>
      </c>
      <c r="AX143" s="185" t="str">
        <f t="shared" ca="1" si="141"/>
        <v>802.11a/b/g/n/ac/ax</v>
      </c>
      <c r="AY143" s="185">
        <f t="shared" ca="1" si="141"/>
        <v>5.0999999999999996</v>
      </c>
      <c r="AZ143" s="185">
        <f t="shared" ca="1" si="142"/>
        <v>11</v>
      </c>
      <c r="BA143" s="185" t="str">
        <f t="shared" ca="1" si="142"/>
        <v>Version 8.0</v>
      </c>
      <c r="BB143" s="185" t="str">
        <f t="shared" ca="1" si="142"/>
        <v>Ja</v>
      </c>
      <c r="BC143" s="185" t="str">
        <f t="shared" ca="1" si="142"/>
        <v>Google Chrome OS</v>
      </c>
      <c r="BD143" s="185" t="str">
        <f t="shared" ca="1" si="142"/>
        <v>Chromebook 14 G7</v>
      </c>
      <c r="BE143" s="185">
        <f t="shared" ca="1" si="142"/>
        <v>4088</v>
      </c>
      <c r="BF143" s="192">
        <f t="shared" ca="1" si="142"/>
        <v>123</v>
      </c>
      <c r="BG143" s="192">
        <f t="shared" ca="1" si="142"/>
        <v>425</v>
      </c>
      <c r="BH143" s="192">
        <f t="shared" ca="1" si="142"/>
        <v>249</v>
      </c>
      <c r="BI143" s="192">
        <f t="shared" ca="1" si="142"/>
        <v>131</v>
      </c>
      <c r="BJ143" s="192">
        <f t="shared" ca="1" si="143"/>
        <v>133</v>
      </c>
      <c r="BK143" s="192">
        <f t="shared" ca="1" si="143"/>
        <v>20</v>
      </c>
      <c r="BL143" s="192">
        <f t="shared" ca="1" si="143"/>
        <v>20</v>
      </c>
      <c r="BM143" s="192" t="str">
        <f t="shared" ca="1" si="143"/>
        <v>Cirafon</v>
      </c>
      <c r="BN143" s="192" t="str">
        <f t="shared" ca="1" si="143"/>
        <v>Cirafon</v>
      </c>
      <c r="BO143" s="192" t="str">
        <f t="shared" ca="1" si="143"/>
        <v>HP</v>
      </c>
      <c r="BP143" s="192">
        <f t="shared" ca="1" si="143"/>
        <v>0</v>
      </c>
      <c r="BQ143" s="192" t="str">
        <f t="shared" ca="1" si="143"/>
        <v>LSN8696R2-14.1</v>
      </c>
      <c r="BR143" s="192" t="str">
        <f t="shared" ca="1" si="143"/>
        <v>DPF14-9</v>
      </c>
      <c r="BS143" s="192" t="str">
        <f t="shared" ca="1" si="143"/>
        <v>1MZ01AA</v>
      </c>
      <c r="BT143" s="192">
        <f t="shared" ca="1" si="143"/>
        <v>0</v>
      </c>
      <c r="BU143" s="192"/>
      <c r="BV143" s="192"/>
      <c r="BW143" s="192" t="str">
        <f t="shared" ca="1" si="144"/>
        <v>Dustin Sverige AB</v>
      </c>
      <c r="BX143" s="192" t="str">
        <f t="shared" ca="1" si="144"/>
        <v>HP</v>
      </c>
      <c r="BY143" s="185"/>
      <c r="BZ143" s="185"/>
      <c r="CA143" s="185"/>
      <c r="CB143" s="185"/>
      <c r="CC143" s="185"/>
      <c r="CD143" s="185"/>
      <c r="CE143" s="185"/>
      <c r="CF143" s="185"/>
      <c r="CG143" s="185"/>
      <c r="CH143" s="185"/>
      <c r="CI143" s="185"/>
      <c r="CJ143" s="185"/>
      <c r="CK143" s="185"/>
      <c r="CL143" s="185"/>
      <c r="CM143" s="185"/>
    </row>
    <row r="144" spans="2:91" ht="22.5" customHeight="1" outlineLevel="1" x14ac:dyDescent="0.35">
      <c r="C144" s="61" t="s">
        <v>16</v>
      </c>
      <c r="D144" s="64"/>
      <c r="F144" s="78" t="str">
        <f t="shared" si="145"/>
        <v/>
      </c>
      <c r="G144" s="79">
        <f t="shared" ca="1" si="146"/>
        <v>32</v>
      </c>
      <c r="H144" s="79">
        <f t="shared" ca="1" si="146"/>
        <v>32</v>
      </c>
      <c r="I144" s="120">
        <f t="shared" ca="1" si="146"/>
        <v>64</v>
      </c>
      <c r="J144" s="62"/>
      <c r="Q144" s="185">
        <f t="shared" si="123"/>
        <v>0</v>
      </c>
      <c r="R144" s="185">
        <f t="shared" si="124"/>
        <v>0</v>
      </c>
      <c r="S144" s="185">
        <f t="shared" si="125"/>
        <v>0</v>
      </c>
      <c r="T144" s="185">
        <f t="shared" si="126"/>
        <v>0</v>
      </c>
      <c r="U144" s="185">
        <f t="shared" si="127"/>
        <v>0</v>
      </c>
      <c r="V144" s="185">
        <f t="shared" si="128"/>
        <v>0</v>
      </c>
      <c r="W144" s="185">
        <f t="shared" si="129"/>
        <v>0</v>
      </c>
      <c r="X144" s="185">
        <f t="shared" si="130"/>
        <v>0</v>
      </c>
      <c r="Y144" s="185">
        <f t="shared" ca="1" si="131"/>
        <v>3636</v>
      </c>
      <c r="Z144" s="185" t="str">
        <f t="shared" si="132"/>
        <v>Offererad produktnr. 05Foxway Education AB</v>
      </c>
      <c r="AA144" s="185" t="b">
        <f t="shared" si="133"/>
        <v>1</v>
      </c>
      <c r="AB144" s="185" t="b">
        <f t="shared" si="134"/>
        <v>1</v>
      </c>
      <c r="AC144" s="185" t="b">
        <f t="shared" si="135"/>
        <v>1</v>
      </c>
      <c r="AD144" s="185" t="b">
        <f t="shared" si="136"/>
        <v>1</v>
      </c>
      <c r="AE144" s="185" t="b">
        <f>IF($D$140="",TRUE,IF(COUNTIF(Processor!$I$2:$I$9,$D$140)&gt;0,AND(AT144&gt;INDEX(Processor!$J$2:$J$9,MATCH($D$140,Processor!$I$2:$I$9,0)),AT144&lt;INDEX(Processor!$K$2:$K$9,MATCH($D$140,Processor!$I$2:$I$9,0))),IF(AT144=$D$140,TRUE,FALSE)))</f>
        <v>1</v>
      </c>
      <c r="AF144" s="185" t="b">
        <f t="shared" si="137"/>
        <v>1</v>
      </c>
      <c r="AG144" s="185" t="b">
        <f t="shared" si="138"/>
        <v>1</v>
      </c>
      <c r="AH144" s="185" t="b">
        <f t="shared" si="139"/>
        <v>1</v>
      </c>
      <c r="AI144" s="185" t="b">
        <f t="shared" si="140"/>
        <v>1</v>
      </c>
      <c r="AJ144" s="185" t="b">
        <f>IFERROR(IF($D150="",TRUE,IF(MID(BA144,LEN(BA144)-2,1)*1&gt;=MID($D150,LEN($D150)-2,1)*1,TRUE,FALSE)),FALSE)</f>
        <v>1</v>
      </c>
      <c r="AK144" s="185"/>
      <c r="AL144" s="185"/>
      <c r="AM144" s="185"/>
      <c r="AN144" s="185" t="s">
        <v>214</v>
      </c>
      <c r="AO144" s="185">
        <v>1</v>
      </c>
      <c r="AP144" s="185" t="str">
        <f t="shared" ca="1" si="141"/>
        <v>1366x768</v>
      </c>
      <c r="AQ144" s="185" t="str">
        <f t="shared" ca="1" si="141"/>
        <v>MT8186</v>
      </c>
      <c r="AR144" s="185">
        <f t="shared" ca="1" si="141"/>
        <v>4</v>
      </c>
      <c r="AS144" s="185">
        <f t="shared" ca="1" si="141"/>
        <v>32</v>
      </c>
      <c r="AT144" s="185">
        <f t="shared" ca="1" si="141"/>
        <v>11.6</v>
      </c>
      <c r="AU144" s="185">
        <f t="shared" ca="1" si="141"/>
        <v>3</v>
      </c>
      <c r="AV144" s="185">
        <f t="shared" ca="1" si="141"/>
        <v>1</v>
      </c>
      <c r="AW144" s="185">
        <f t="shared" ca="1" si="141"/>
        <v>0</v>
      </c>
      <c r="AX144" s="185" t="str">
        <f t="shared" ca="1" si="141"/>
        <v>802.11a/b/g/n/ac</v>
      </c>
      <c r="AY144" s="185">
        <f t="shared" ca="1" si="141"/>
        <v>5.0999999999999996</v>
      </c>
      <c r="AZ144" s="185">
        <f t="shared" ca="1" si="142"/>
        <v>11</v>
      </c>
      <c r="BA144" s="185" t="str">
        <f t="shared" ca="1" si="142"/>
        <v>Version 8.0</v>
      </c>
      <c r="BB144" s="185" t="str">
        <f t="shared" ca="1" si="142"/>
        <v>Ja</v>
      </c>
      <c r="BC144" s="185" t="str">
        <f t="shared" ca="1" si="142"/>
        <v>Google Chrome OS</v>
      </c>
      <c r="BD144" s="185" t="str">
        <f t="shared" ca="1" si="142"/>
        <v>100e Chr Gen4</v>
      </c>
      <c r="BE144" s="185">
        <f t="shared" ca="1" si="142"/>
        <v>3636</v>
      </c>
      <c r="BF144" s="192">
        <f t="shared" ca="1" si="142"/>
        <v>78</v>
      </c>
      <c r="BG144" s="192">
        <f t="shared" ca="1" si="142"/>
        <v>240</v>
      </c>
      <c r="BH144" s="192">
        <f t="shared" ca="1" si="142"/>
        <v>210</v>
      </c>
      <c r="BI144" s="192">
        <f t="shared" ca="1" si="142"/>
        <v>405</v>
      </c>
      <c r="BJ144" s="192">
        <f t="shared" ca="1" si="143"/>
        <v>185</v>
      </c>
      <c r="BK144" s="192">
        <f t="shared" ca="1" si="143"/>
        <v>60</v>
      </c>
      <c r="BL144" s="192">
        <f t="shared" ca="1" si="143"/>
        <v>50</v>
      </c>
      <c r="BM144" s="192" t="str">
        <f t="shared" ca="1" si="143"/>
        <v>V7</v>
      </c>
      <c r="BN144" s="192" t="str">
        <f t="shared" ca="1" si="143"/>
        <v>Lenovo</v>
      </c>
      <c r="BO144" s="192" t="str">
        <f t="shared" ca="1" si="143"/>
        <v>Lenovo</v>
      </c>
      <c r="BP144" s="192">
        <f t="shared" ca="1" si="143"/>
        <v>0</v>
      </c>
      <c r="BQ144" s="192" t="str">
        <f t="shared" ca="1" si="143"/>
        <v>V7 Elite Sleeve 12"</v>
      </c>
      <c r="BR144" s="192" t="str">
        <f t="shared" ca="1" si="143"/>
        <v>Lenovo 11.6" Privacy Filter</v>
      </c>
      <c r="BS144" s="192" t="str">
        <f t="shared" ca="1" si="143"/>
        <v>Power adapter USB-C 45w</v>
      </c>
      <c r="BT144" s="192">
        <f t="shared" ca="1" si="143"/>
        <v>0</v>
      </c>
      <c r="BU144" s="192"/>
      <c r="BV144" s="192"/>
      <c r="BW144" s="192" t="str">
        <f t="shared" ca="1" si="144"/>
        <v>Foxway Education AB</v>
      </c>
      <c r="BX144" s="192" t="str">
        <f t="shared" ca="1" si="144"/>
        <v>Lenovo</v>
      </c>
      <c r="BY144" s="185"/>
      <c r="BZ144" s="185"/>
      <c r="CA144" s="185"/>
      <c r="CB144" s="185"/>
      <c r="CC144" s="185"/>
      <c r="CD144" s="185"/>
      <c r="CE144" s="185"/>
      <c r="CF144" s="185"/>
      <c r="CG144" s="185"/>
      <c r="CH144" s="185"/>
      <c r="CI144" s="185"/>
      <c r="CJ144" s="185"/>
      <c r="CK144" s="185"/>
      <c r="CL144" s="185"/>
      <c r="CM144" s="185"/>
    </row>
    <row r="145" spans="2:91" ht="22.5" customHeight="1" outlineLevel="1" x14ac:dyDescent="0.35">
      <c r="C145" s="61" t="s">
        <v>67</v>
      </c>
      <c r="D145" s="64"/>
      <c r="F145" s="78" t="str">
        <f t="shared" si="145"/>
        <v/>
      </c>
      <c r="G145" s="79">
        <f t="shared" ca="1" si="146"/>
        <v>2</v>
      </c>
      <c r="H145" s="79">
        <f t="shared" ca="1" si="146"/>
        <v>4</v>
      </c>
      <c r="I145" s="120">
        <f t="shared" ca="1" si="146"/>
        <v>3</v>
      </c>
      <c r="J145" s="62"/>
      <c r="Q145" s="185">
        <f t="shared" si="123"/>
        <v>0</v>
      </c>
      <c r="R145" s="185">
        <f t="shared" si="124"/>
        <v>0</v>
      </c>
      <c r="S145" s="185">
        <f t="shared" si="125"/>
        <v>0</v>
      </c>
      <c r="T145" s="185">
        <f t="shared" si="126"/>
        <v>0</v>
      </c>
      <c r="U145" s="185">
        <f t="shared" si="127"/>
        <v>0</v>
      </c>
      <c r="V145" s="185">
        <f t="shared" si="128"/>
        <v>0</v>
      </c>
      <c r="W145" s="185">
        <f t="shared" si="129"/>
        <v>0</v>
      </c>
      <c r="X145" s="185">
        <f t="shared" si="130"/>
        <v>0</v>
      </c>
      <c r="Y145" s="185">
        <f t="shared" ca="1" si="131"/>
        <v>5133</v>
      </c>
      <c r="Z145" s="185" t="str">
        <f t="shared" si="132"/>
        <v>Offererad produktnr. 06Foxway Education AB</v>
      </c>
      <c r="AA145" s="185" t="b">
        <f t="shared" si="133"/>
        <v>1</v>
      </c>
      <c r="AB145" s="185" t="b">
        <f t="shared" si="134"/>
        <v>1</v>
      </c>
      <c r="AC145" s="185" t="b">
        <f t="shared" si="135"/>
        <v>1</v>
      </c>
      <c r="AD145" s="185" t="b">
        <f t="shared" si="136"/>
        <v>1</v>
      </c>
      <c r="AE145" s="185" t="b">
        <f>IF($D$140="",TRUE,IF(COUNTIF(Processor!$I$2:$I$9,$D$140)&gt;0,AND(AT145&gt;INDEX(Processor!$J$2:$J$9,MATCH($D$140,Processor!$I$2:$I$9,0)),AT145&lt;INDEX(Processor!$K$2:$K$9,MATCH($D$140,Processor!$I$2:$I$9,0))),IF(AT145=$D$140,TRUE,FALSE)))</f>
        <v>1</v>
      </c>
      <c r="AF145" s="185" t="b">
        <f t="shared" si="137"/>
        <v>1</v>
      </c>
      <c r="AG145" s="185" t="b">
        <f t="shared" si="138"/>
        <v>1</v>
      </c>
      <c r="AH145" s="185" t="b">
        <f t="shared" si="139"/>
        <v>1</v>
      </c>
      <c r="AI145" s="185" t="b">
        <f t="shared" si="140"/>
        <v>1</v>
      </c>
      <c r="AJ145" s="185" t="b">
        <f>IFERROR(IF($D150="",TRUE,IF(MID(BA145,LEN(BA145)-2,1)*1&gt;=MID($D150,LEN($D150)-2,1)*1,TRUE,FALSE)),FALSE)</f>
        <v>1</v>
      </c>
      <c r="AK145" s="185"/>
      <c r="AL145" s="185"/>
      <c r="AM145" s="185"/>
      <c r="AN145" s="185" t="s">
        <v>215</v>
      </c>
      <c r="AO145" s="185">
        <v>1</v>
      </c>
      <c r="AP145" s="185" t="str">
        <f t="shared" ca="1" si="141"/>
        <v>1920x1080</v>
      </c>
      <c r="AQ145" s="185" t="str">
        <f t="shared" ca="1" si="141"/>
        <v>Intel Celeron</v>
      </c>
      <c r="AR145" s="185">
        <f t="shared" ca="1" si="141"/>
        <v>8</v>
      </c>
      <c r="AS145" s="185">
        <f t="shared" ca="1" si="141"/>
        <v>64</v>
      </c>
      <c r="AT145" s="185">
        <f t="shared" ca="1" si="141"/>
        <v>14</v>
      </c>
      <c r="AU145" s="185">
        <f t="shared" ca="1" si="141"/>
        <v>3</v>
      </c>
      <c r="AV145" s="185">
        <f t="shared" ca="1" si="141"/>
        <v>1</v>
      </c>
      <c r="AW145" s="185">
        <f t="shared" ca="1" si="141"/>
        <v>0</v>
      </c>
      <c r="AX145" s="185" t="str">
        <f t="shared" ca="1" si="141"/>
        <v>802.11a/b/g/n/ac/ax</v>
      </c>
      <c r="AY145" s="185">
        <f t="shared" ca="1" si="141"/>
        <v>5</v>
      </c>
      <c r="AZ145" s="185">
        <f t="shared" ca="1" si="142"/>
        <v>11</v>
      </c>
      <c r="BA145" s="185" t="str">
        <f t="shared" ca="1" si="142"/>
        <v>Version 8.0</v>
      </c>
      <c r="BB145" s="185" t="str">
        <f t="shared" ca="1" si="142"/>
        <v>Ja</v>
      </c>
      <c r="BC145" s="185" t="str">
        <f t="shared" ca="1" si="142"/>
        <v>Google Chrome OS</v>
      </c>
      <c r="BD145" s="185" t="str">
        <f t="shared" ca="1" si="142"/>
        <v>Chromebook 14 G7</v>
      </c>
      <c r="BE145" s="185">
        <f t="shared" ca="1" si="142"/>
        <v>5133</v>
      </c>
      <c r="BF145" s="192">
        <f t="shared" ca="1" si="142"/>
        <v>78</v>
      </c>
      <c r="BG145" s="192">
        <f t="shared" ca="1" si="142"/>
        <v>276</v>
      </c>
      <c r="BH145" s="192">
        <f t="shared" ca="1" si="142"/>
        <v>240</v>
      </c>
      <c r="BI145" s="192">
        <f t="shared" ca="1" si="142"/>
        <v>162</v>
      </c>
      <c r="BJ145" s="192">
        <f t="shared" ca="1" si="143"/>
        <v>185</v>
      </c>
      <c r="BK145" s="192">
        <f t="shared" ca="1" si="143"/>
        <v>60</v>
      </c>
      <c r="BL145" s="192">
        <f t="shared" ca="1" si="143"/>
        <v>50</v>
      </c>
      <c r="BM145" s="192" t="str">
        <f t="shared" ca="1" si="143"/>
        <v>V7</v>
      </c>
      <c r="BN145" s="192" t="str">
        <f t="shared" ca="1" si="143"/>
        <v>Targus</v>
      </c>
      <c r="BO145" s="192" t="str">
        <f t="shared" ca="1" si="143"/>
        <v>HP</v>
      </c>
      <c r="BP145" s="192">
        <f t="shared" ca="1" si="143"/>
        <v>0</v>
      </c>
      <c r="BQ145" s="192" t="str">
        <f t="shared" ca="1" si="143"/>
        <v>V7 Elite Sleeve 12"</v>
      </c>
      <c r="BR145" s="192" t="str">
        <f t="shared" ca="1" si="143"/>
        <v>Targus Privacy Screen 14"</v>
      </c>
      <c r="BS145" s="192" t="str">
        <f t="shared" ca="1" si="143"/>
        <v>HP 45W USB-C Power Adapter G2</v>
      </c>
      <c r="BT145" s="192">
        <f t="shared" ca="1" si="143"/>
        <v>0</v>
      </c>
      <c r="BU145" s="192"/>
      <c r="BV145" s="192"/>
      <c r="BW145" s="192" t="str">
        <f t="shared" ca="1" si="144"/>
        <v>Foxway Education AB</v>
      </c>
      <c r="BX145" s="192" t="str">
        <f t="shared" ca="1" si="144"/>
        <v>HP</v>
      </c>
      <c r="BY145" s="185"/>
      <c r="BZ145" s="185"/>
      <c r="CA145" s="185"/>
      <c r="CB145" s="185"/>
      <c r="CC145" s="185"/>
      <c r="CD145" s="185"/>
      <c r="CE145" s="185"/>
      <c r="CF145" s="185"/>
      <c r="CG145" s="185"/>
      <c r="CH145" s="185"/>
      <c r="CI145" s="185"/>
      <c r="CJ145" s="185"/>
      <c r="CK145" s="185"/>
      <c r="CL145" s="185"/>
      <c r="CM145" s="185"/>
    </row>
    <row r="146" spans="2:91" ht="22.5" customHeight="1" outlineLevel="1" x14ac:dyDescent="0.35">
      <c r="C146" s="61" t="s">
        <v>74</v>
      </c>
      <c r="D146" s="64"/>
      <c r="F146" s="78" t="str">
        <f t="shared" si="145"/>
        <v/>
      </c>
      <c r="G146" s="79">
        <f t="shared" ca="1" si="146"/>
        <v>1</v>
      </c>
      <c r="H146" s="79">
        <f t="shared" ca="1" si="146"/>
        <v>2</v>
      </c>
      <c r="I146" s="120">
        <f t="shared" ca="1" si="146"/>
        <v>1</v>
      </c>
      <c r="J146" s="62"/>
      <c r="Q146" s="185">
        <f t="shared" si="123"/>
        <v>0</v>
      </c>
      <c r="R146" s="185">
        <f t="shared" si="124"/>
        <v>0</v>
      </c>
      <c r="S146" s="185">
        <f t="shared" si="125"/>
        <v>0</v>
      </c>
      <c r="T146" s="185">
        <f t="shared" si="126"/>
        <v>0</v>
      </c>
      <c r="U146" s="185">
        <f t="shared" si="127"/>
        <v>0</v>
      </c>
      <c r="V146" s="185">
        <f t="shared" si="128"/>
        <v>0</v>
      </c>
      <c r="W146" s="185">
        <f t="shared" si="129"/>
        <v>0</v>
      </c>
      <c r="X146" s="185">
        <f t="shared" si="130"/>
        <v>0</v>
      </c>
      <c r="Y146" s="185">
        <f t="shared" ca="1" si="131"/>
        <v>2950</v>
      </c>
      <c r="Z146" s="185" t="str">
        <f t="shared" si="132"/>
        <v>Offererad produktnr. 05Qlosr Göteborg AB</v>
      </c>
      <c r="AA146" s="185" t="b">
        <f t="shared" si="133"/>
        <v>1</v>
      </c>
      <c r="AB146" s="185" t="b">
        <f t="shared" si="134"/>
        <v>1</v>
      </c>
      <c r="AC146" s="185" t="b">
        <f t="shared" si="135"/>
        <v>1</v>
      </c>
      <c r="AD146" s="185" t="b">
        <f t="shared" si="136"/>
        <v>1</v>
      </c>
      <c r="AE146" s="185" t="b">
        <f>IF($D$140="",TRUE,IF(COUNTIF(Processor!$I$2:$I$9,$D$140)&gt;0,AND(AT146&gt;INDEX(Processor!$J$2:$J$9,MATCH($D$140,Processor!$I$2:$I$9,0)),AT146&lt;INDEX(Processor!$K$2:$K$9,MATCH($D$140,Processor!$I$2:$I$9,0))),IF(AT146=$D$140,TRUE,FALSE)))</f>
        <v>1</v>
      </c>
      <c r="AF146" s="185" t="b">
        <f t="shared" si="137"/>
        <v>1</v>
      </c>
      <c r="AG146" s="185" t="b">
        <f t="shared" si="138"/>
        <v>1</v>
      </c>
      <c r="AH146" s="185" t="b">
        <f t="shared" si="139"/>
        <v>1</v>
      </c>
      <c r="AI146" s="185" t="b">
        <f t="shared" si="140"/>
        <v>1</v>
      </c>
      <c r="AJ146" s="185" t="b">
        <f>IFERROR(IF($D150="",TRUE,IF(MID(BA146,LEN(BA146)-2,1)*1&gt;=MID($D150,LEN($D150)-2,1)*1,TRUE,FALSE)),FALSE)</f>
        <v>1</v>
      </c>
      <c r="AK146" s="185"/>
      <c r="AL146" s="185"/>
      <c r="AM146" s="185"/>
      <c r="AN146" s="185" t="s">
        <v>556</v>
      </c>
      <c r="AO146" s="185">
        <v>1</v>
      </c>
      <c r="AP146" s="185" t="str">
        <f t="shared" ca="1" si="141"/>
        <v>1366x768</v>
      </c>
      <c r="AQ146" s="185" t="str">
        <f t="shared" ca="1" si="141"/>
        <v>Intel Celeron</v>
      </c>
      <c r="AR146" s="185">
        <f t="shared" ca="1" si="141"/>
        <v>4</v>
      </c>
      <c r="AS146" s="185">
        <f t="shared" ca="1" si="141"/>
        <v>32</v>
      </c>
      <c r="AT146" s="185">
        <f t="shared" ca="1" si="141"/>
        <v>11.6</v>
      </c>
      <c r="AU146" s="185">
        <f t="shared" ca="1" si="141"/>
        <v>2</v>
      </c>
      <c r="AV146" s="185">
        <f t="shared" ca="1" si="141"/>
        <v>1</v>
      </c>
      <c r="AW146" s="185">
        <f t="shared" ca="1" si="141"/>
        <v>0</v>
      </c>
      <c r="AX146" s="185" t="str">
        <f t="shared" ca="1" si="141"/>
        <v>802.11a/b/g/n/ac/ax</v>
      </c>
      <c r="AY146" s="185">
        <f t="shared" ca="1" si="141"/>
        <v>5.0999999999999996</v>
      </c>
      <c r="AZ146" s="185">
        <f t="shared" ca="1" si="142"/>
        <v>11</v>
      </c>
      <c r="BA146" s="185" t="str">
        <f t="shared" ca="1" si="142"/>
        <v>Version 8.0</v>
      </c>
      <c r="BB146" s="185" t="str">
        <f t="shared" ca="1" si="142"/>
        <v>Ja</v>
      </c>
      <c r="BC146" s="185" t="str">
        <f t="shared" ca="1" si="142"/>
        <v>Google Chrome OS</v>
      </c>
      <c r="BD146" s="185" t="str">
        <f t="shared" ca="1" si="142"/>
        <v>Chromebook 3110</v>
      </c>
      <c r="BE146" s="185">
        <f t="shared" ca="1" si="142"/>
        <v>2950</v>
      </c>
      <c r="BF146" s="192">
        <f t="shared" ca="1" si="142"/>
        <v>59</v>
      </c>
      <c r="BG146" s="192">
        <f t="shared" ca="1" si="142"/>
        <v>287</v>
      </c>
      <c r="BH146" s="192">
        <f t="shared" ca="1" si="142"/>
        <v>240</v>
      </c>
      <c r="BI146" s="192">
        <f t="shared" ca="1" si="142"/>
        <v>275</v>
      </c>
      <c r="BJ146" s="192">
        <f t="shared" ca="1" si="143"/>
        <v>70</v>
      </c>
      <c r="BK146" s="192">
        <f t="shared" ca="1" si="143"/>
        <v>25</v>
      </c>
      <c r="BL146" s="192">
        <f t="shared" ca="1" si="143"/>
        <v>25</v>
      </c>
      <c r="BM146" s="192" t="str">
        <f t="shared" ca="1" si="143"/>
        <v>HP</v>
      </c>
      <c r="BN146" s="192" t="str">
        <f t="shared" ca="1" si="143"/>
        <v>Kapsolo</v>
      </c>
      <c r="BO146" s="192" t="str">
        <f t="shared" ca="1" si="143"/>
        <v>Dell</v>
      </c>
      <c r="BP146" s="192">
        <f t="shared" ca="1" si="143"/>
        <v>0</v>
      </c>
      <c r="BQ146" s="192" t="str">
        <f t="shared" ca="1" si="143"/>
        <v>GBX77E81AA</v>
      </c>
      <c r="BR146" s="192" t="str">
        <f t="shared" ca="1" si="143"/>
        <v>GBXKAP10145</v>
      </c>
      <c r="BS146" s="192" t="str">
        <f t="shared" ca="1" si="143"/>
        <v>DELL-921CW</v>
      </c>
      <c r="BT146" s="192">
        <f t="shared" ca="1" si="143"/>
        <v>0</v>
      </c>
      <c r="BU146" s="192"/>
      <c r="BV146" s="192"/>
      <c r="BW146" s="192" t="str">
        <f t="shared" ca="1" si="144"/>
        <v>Qlosr Göteborg AB</v>
      </c>
      <c r="BX146" s="192" t="str">
        <f t="shared" ca="1" si="144"/>
        <v>Dell</v>
      </c>
      <c r="BY146" s="185"/>
      <c r="BZ146" s="185"/>
      <c r="CA146" s="185"/>
      <c r="CB146" s="185"/>
      <c r="CC146" s="185"/>
      <c r="CD146" s="185"/>
      <c r="CE146" s="185"/>
      <c r="CF146" s="185"/>
      <c r="CG146" s="185"/>
      <c r="CH146" s="185"/>
      <c r="CI146" s="185"/>
      <c r="CJ146" s="185"/>
      <c r="CK146" s="185"/>
      <c r="CL146" s="185"/>
      <c r="CM146" s="185"/>
    </row>
    <row r="147" spans="2:91" ht="22.5" customHeight="1" outlineLevel="1" x14ac:dyDescent="0.35">
      <c r="C147" s="61" t="s">
        <v>103</v>
      </c>
      <c r="D147" s="64"/>
      <c r="F147" s="78" t="str">
        <f t="shared" si="145"/>
        <v/>
      </c>
      <c r="G147" s="79" t="str">
        <f t="shared" ca="1" si="146"/>
        <v>802.11a/b/g/n/ac/ax</v>
      </c>
      <c r="H147" s="79" t="str">
        <f t="shared" ca="1" si="146"/>
        <v>802.11a/b/g/n/ac/ax</v>
      </c>
      <c r="I147" s="120" t="str">
        <f t="shared" ca="1" si="146"/>
        <v>802.11a/b/g/n/ac/ax</v>
      </c>
      <c r="J147" s="62"/>
      <c r="Q147" s="185">
        <f t="shared" si="123"/>
        <v>0</v>
      </c>
      <c r="R147" s="185">
        <f t="shared" si="124"/>
        <v>0</v>
      </c>
      <c r="S147" s="185">
        <f t="shared" si="125"/>
        <v>0</v>
      </c>
      <c r="T147" s="185">
        <f t="shared" si="126"/>
        <v>0</v>
      </c>
      <c r="U147" s="185">
        <f t="shared" si="127"/>
        <v>0</v>
      </c>
      <c r="V147" s="185">
        <f t="shared" si="128"/>
        <v>0</v>
      </c>
      <c r="W147" s="185">
        <f t="shared" si="129"/>
        <v>0</v>
      </c>
      <c r="X147" s="185">
        <f t="shared" si="130"/>
        <v>0</v>
      </c>
      <c r="Y147" s="185">
        <f t="shared" ca="1" si="131"/>
        <v>3610</v>
      </c>
      <c r="Z147" s="185" t="str">
        <f t="shared" si="132"/>
        <v>Offererad produktnr. 06Qlosr Göteborg AB</v>
      </c>
      <c r="AA147" s="185" t="b">
        <f t="shared" si="133"/>
        <v>1</v>
      </c>
      <c r="AB147" s="185" t="b">
        <f t="shared" si="134"/>
        <v>1</v>
      </c>
      <c r="AC147" s="185" t="b">
        <f t="shared" si="135"/>
        <v>1</v>
      </c>
      <c r="AD147" s="185" t="b">
        <f t="shared" si="136"/>
        <v>1</v>
      </c>
      <c r="AE147" s="185" t="b">
        <f>IF($D$140="",TRUE,IF(COUNTIF(Processor!$I$2:$I$9,$D$140)&gt;0,AND(AT147&gt;INDEX(Processor!$J$2:$J$9,MATCH($D$140,Processor!$I$2:$I$9,0)),AT147&lt;INDEX(Processor!$K$2:$K$9,MATCH($D$140,Processor!$I$2:$I$9,0))),IF(AT147=$D$140,TRUE,FALSE)))</f>
        <v>1</v>
      </c>
      <c r="AF147" s="185" t="b">
        <f t="shared" si="137"/>
        <v>1</v>
      </c>
      <c r="AG147" s="185" t="b">
        <f t="shared" si="138"/>
        <v>1</v>
      </c>
      <c r="AH147" s="185" t="b">
        <f t="shared" si="139"/>
        <v>1</v>
      </c>
      <c r="AI147" s="185" t="b">
        <f t="shared" si="140"/>
        <v>1</v>
      </c>
      <c r="AJ147" s="185" t="b">
        <f>IFERROR(IF($D150="",TRUE,IF(MID(BA147,LEN(BA147)-2,1)*1&gt;=MID($D150,LEN($D150)-2,1)*1,TRUE,FALSE)),FALSE)</f>
        <v>1</v>
      </c>
      <c r="AK147" s="185"/>
      <c r="AL147" s="185"/>
      <c r="AM147" s="185"/>
      <c r="AN147" s="185" t="s">
        <v>557</v>
      </c>
      <c r="AO147" s="185">
        <v>1</v>
      </c>
      <c r="AP147" s="185" t="str">
        <f t="shared" ca="1" si="141"/>
        <v>1920x1080</v>
      </c>
      <c r="AQ147" s="185" t="str">
        <f t="shared" ca="1" si="141"/>
        <v>Intel Celeron</v>
      </c>
      <c r="AR147" s="185">
        <f t="shared" ca="1" si="141"/>
        <v>8</v>
      </c>
      <c r="AS147" s="185">
        <f t="shared" ca="1" si="141"/>
        <v>64</v>
      </c>
      <c r="AT147" s="185">
        <f t="shared" ca="1" si="141"/>
        <v>14</v>
      </c>
      <c r="AU147" s="185">
        <f t="shared" ca="1" si="141"/>
        <v>3</v>
      </c>
      <c r="AV147" s="185">
        <f t="shared" ca="1" si="141"/>
        <v>1</v>
      </c>
      <c r="AW147" s="185">
        <f t="shared" ca="1" si="141"/>
        <v>0</v>
      </c>
      <c r="AX147" s="185" t="str">
        <f t="shared" ca="1" si="141"/>
        <v>802.11a/b/g/n/ac/ax</v>
      </c>
      <c r="AY147" s="185">
        <f t="shared" ca="1" si="141"/>
        <v>5</v>
      </c>
      <c r="AZ147" s="185">
        <f t="shared" ca="1" si="142"/>
        <v>11</v>
      </c>
      <c r="BA147" s="185" t="str">
        <f t="shared" ca="1" si="142"/>
        <v>Version 8.0</v>
      </c>
      <c r="BB147" s="185" t="str">
        <f t="shared" ca="1" si="142"/>
        <v>Ja</v>
      </c>
      <c r="BC147" s="185" t="str">
        <f t="shared" ca="1" si="142"/>
        <v>Google Chrome OS</v>
      </c>
      <c r="BD147" s="185" t="str">
        <f t="shared" ca="1" si="142"/>
        <v>Chromebook 14 G7</v>
      </c>
      <c r="BE147" s="185">
        <f t="shared" ca="1" si="142"/>
        <v>3610</v>
      </c>
      <c r="BF147" s="192">
        <f t="shared" ca="1" si="142"/>
        <v>64</v>
      </c>
      <c r="BG147" s="192">
        <f t="shared" ca="1" si="142"/>
        <v>298</v>
      </c>
      <c r="BH147" s="192">
        <f t="shared" ca="1" si="142"/>
        <v>198</v>
      </c>
      <c r="BI147" s="192">
        <f t="shared" ca="1" si="142"/>
        <v>125</v>
      </c>
      <c r="BJ147" s="192">
        <f t="shared" ca="1" si="143"/>
        <v>70</v>
      </c>
      <c r="BK147" s="192">
        <f t="shared" ca="1" si="143"/>
        <v>25</v>
      </c>
      <c r="BL147" s="192">
        <f t="shared" ca="1" si="143"/>
        <v>25</v>
      </c>
      <c r="BM147" s="192" t="str">
        <f t="shared" ca="1" si="143"/>
        <v>HP</v>
      </c>
      <c r="BN147" s="192" t="str">
        <f t="shared" ca="1" si="143"/>
        <v>Kapsolo</v>
      </c>
      <c r="BO147" s="192" t="str">
        <f t="shared" ca="1" si="143"/>
        <v>HP</v>
      </c>
      <c r="BP147" s="192">
        <f t="shared" ca="1" si="143"/>
        <v>0</v>
      </c>
      <c r="BQ147" s="192" t="str">
        <f t="shared" ca="1" si="143"/>
        <v>GBX2UW01AA</v>
      </c>
      <c r="BR147" s="192" t="str">
        <f t="shared" ca="1" si="143"/>
        <v>GBXKAP10478</v>
      </c>
      <c r="BS147" s="192" t="str">
        <f t="shared" ca="1" si="143"/>
        <v>GBX1HE07AA</v>
      </c>
      <c r="BT147" s="192">
        <f t="shared" ca="1" si="143"/>
        <v>0</v>
      </c>
      <c r="BU147" s="192"/>
      <c r="BV147" s="192"/>
      <c r="BW147" s="192" t="str">
        <f t="shared" ca="1" si="144"/>
        <v>Qlosr Göteborg AB</v>
      </c>
      <c r="BX147" s="192" t="str">
        <f t="shared" ca="1" si="144"/>
        <v>HP</v>
      </c>
      <c r="BY147" s="185"/>
      <c r="BZ147" s="185"/>
      <c r="CA147" s="185"/>
      <c r="CB147" s="185"/>
      <c r="CC147" s="185"/>
      <c r="CD147" s="185"/>
      <c r="CE147" s="185"/>
      <c r="CF147" s="185"/>
      <c r="CG147" s="185"/>
      <c r="CH147" s="185"/>
      <c r="CI147" s="185"/>
      <c r="CJ147" s="185"/>
      <c r="CK147" s="185"/>
      <c r="CL147" s="185"/>
      <c r="CM147" s="185"/>
    </row>
    <row r="148" spans="2:91" ht="33.75" customHeight="1" outlineLevel="1" x14ac:dyDescent="0.35">
      <c r="C148" s="61" t="s">
        <v>75</v>
      </c>
      <c r="D148" s="110"/>
      <c r="F148" s="78" t="str">
        <f t="shared" si="145"/>
        <v/>
      </c>
      <c r="G148" s="79">
        <f t="shared" ca="1" si="146"/>
        <v>5.0999999999999996</v>
      </c>
      <c r="H148" s="79">
        <f t="shared" ca="1" si="146"/>
        <v>5</v>
      </c>
      <c r="I148" s="120">
        <f t="shared" ca="1" si="146"/>
        <v>5</v>
      </c>
      <c r="J148" s="94"/>
      <c r="BF148" s="63"/>
      <c r="BG148" s="63"/>
      <c r="BH148" s="63"/>
      <c r="BI148" s="63"/>
      <c r="BJ148" s="63"/>
      <c r="BK148" s="63"/>
      <c r="BL148" s="63"/>
      <c r="BM148" s="63"/>
      <c r="BN148" s="63"/>
      <c r="BO148" s="63"/>
      <c r="BP148" s="63"/>
      <c r="BQ148" s="63"/>
      <c r="BR148" s="63"/>
      <c r="BS148" s="63"/>
      <c r="BT148" s="63"/>
      <c r="BU148" s="63"/>
      <c r="BV148" s="63"/>
      <c r="BW148" s="63"/>
      <c r="BX148" s="63" t="str">
        <f t="shared" ca="1" si="144"/>
        <v>False</v>
      </c>
    </row>
    <row r="149" spans="2:91" ht="33.75" customHeight="1" outlineLevel="1" x14ac:dyDescent="0.35">
      <c r="C149" s="61" t="s">
        <v>120</v>
      </c>
      <c r="D149" s="65"/>
      <c r="F149" s="80" t="str">
        <f t="shared" si="145"/>
        <v/>
      </c>
      <c r="G149" s="81">
        <f t="shared" ca="1" si="146"/>
        <v>11</v>
      </c>
      <c r="H149" s="81">
        <f t="shared" ca="1" si="146"/>
        <v>11</v>
      </c>
      <c r="I149" s="121">
        <f t="shared" ca="1" si="146"/>
        <v>11</v>
      </c>
      <c r="J149" s="62"/>
      <c r="BF149" s="63"/>
      <c r="BG149" s="63"/>
      <c r="BH149" s="63"/>
      <c r="BI149" s="63"/>
      <c r="BJ149" s="63"/>
      <c r="BK149" s="63"/>
      <c r="BL149" s="63"/>
      <c r="BM149" s="63"/>
      <c r="BN149" s="63"/>
      <c r="BO149" s="63"/>
      <c r="BP149" s="63"/>
      <c r="BQ149" s="63"/>
      <c r="BR149" s="63"/>
      <c r="BS149" s="63"/>
      <c r="BT149" s="63"/>
      <c r="BU149" s="63"/>
      <c r="BV149" s="63"/>
      <c r="BW149" s="63"/>
      <c r="BX149" s="63" t="str">
        <f t="shared" ca="1" si="144"/>
        <v>False</v>
      </c>
    </row>
    <row r="150" spans="2:91" ht="33.75" customHeight="1" outlineLevel="1" x14ac:dyDescent="0.35">
      <c r="C150" s="61" t="s">
        <v>38</v>
      </c>
      <c r="D150" s="64"/>
      <c r="F150" s="78" t="str">
        <f t="shared" si="145"/>
        <v/>
      </c>
      <c r="G150" s="81" t="str">
        <f t="shared" ca="1" si="146"/>
        <v>Version 8.0</v>
      </c>
      <c r="H150" s="81" t="str">
        <f t="shared" ca="1" si="146"/>
        <v>Version 8.0</v>
      </c>
      <c r="I150" s="121" t="str">
        <f t="shared" ca="1" si="146"/>
        <v>Version 8.0</v>
      </c>
      <c r="J150" s="62"/>
      <c r="BF150" s="63"/>
      <c r="BG150" s="63"/>
      <c r="BH150" s="63"/>
      <c r="BI150" s="63"/>
      <c r="BJ150" s="63"/>
      <c r="BK150" s="63"/>
      <c r="BL150" s="63"/>
      <c r="BM150" s="63"/>
      <c r="BN150" s="63"/>
      <c r="BO150" s="63"/>
      <c r="BP150" s="63"/>
      <c r="BQ150" s="63"/>
      <c r="BR150" s="63"/>
      <c r="BS150" s="63"/>
      <c r="BT150" s="63"/>
      <c r="BU150" s="63"/>
      <c r="BV150" s="63"/>
      <c r="BW150" s="63"/>
      <c r="BX150" s="63"/>
    </row>
    <row r="151" spans="2:91" ht="33.75" customHeight="1" outlineLevel="1" x14ac:dyDescent="0.35">
      <c r="C151" s="61" t="s">
        <v>37</v>
      </c>
      <c r="D151" s="64"/>
      <c r="F151" s="78" t="str">
        <f t="shared" si="145"/>
        <v/>
      </c>
      <c r="G151" s="79" t="str">
        <f t="shared" ca="1" si="146"/>
        <v>Ja</v>
      </c>
      <c r="H151" s="79" t="str">
        <f t="shared" ca="1" si="146"/>
        <v>Ja</v>
      </c>
      <c r="I151" s="120" t="str">
        <f t="shared" ca="1" si="146"/>
        <v>Ja</v>
      </c>
      <c r="J151" s="62"/>
      <c r="BF151" s="63"/>
      <c r="BG151" s="63"/>
      <c r="BH151" s="63"/>
      <c r="BI151" s="63"/>
      <c r="BJ151" s="63"/>
      <c r="BK151" s="63"/>
      <c r="BL151" s="63"/>
      <c r="BM151" s="63"/>
      <c r="BN151" s="63"/>
      <c r="BO151" s="63"/>
      <c r="BP151" s="63"/>
      <c r="BQ151" s="63"/>
      <c r="BR151" s="63"/>
      <c r="BS151" s="63"/>
      <c r="BT151" s="63"/>
      <c r="BU151" s="63"/>
      <c r="BV151" s="63"/>
      <c r="BW151" s="63"/>
      <c r="BX151" s="63"/>
    </row>
    <row r="152" spans="2:91" ht="23.25" customHeight="1" outlineLevel="1" x14ac:dyDescent="0.35">
      <c r="C152" s="66"/>
      <c r="D152" s="67"/>
      <c r="G152" s="62"/>
      <c r="H152" s="62"/>
      <c r="I152" s="62"/>
      <c r="J152" s="62"/>
      <c r="BF152" s="63"/>
      <c r="BG152" s="63"/>
      <c r="BH152" s="63"/>
      <c r="BI152" s="63"/>
      <c r="BJ152" s="63"/>
      <c r="BK152" s="63"/>
      <c r="BL152" s="63"/>
      <c r="BM152" s="63"/>
      <c r="BN152" s="63"/>
      <c r="BO152" s="63"/>
      <c r="BP152" s="63"/>
      <c r="BQ152" s="63"/>
      <c r="BR152" s="63"/>
      <c r="BS152" s="63"/>
      <c r="BT152" s="63"/>
      <c r="BU152" s="63"/>
      <c r="BV152" s="63"/>
      <c r="BW152" s="63"/>
      <c r="BX152" s="63"/>
    </row>
    <row r="153" spans="2:91" ht="23.25" customHeight="1" outlineLevel="1" x14ac:dyDescent="0.35">
      <c r="C153" s="212" t="s">
        <v>366</v>
      </c>
      <c r="D153" s="213"/>
      <c r="E153" s="213"/>
      <c r="F153" s="213"/>
      <c r="G153" s="213"/>
      <c r="H153" s="213"/>
      <c r="I153" s="214"/>
      <c r="J153" s="62"/>
      <c r="BF153" s="63"/>
      <c r="BG153" s="63"/>
      <c r="BH153" s="63"/>
      <c r="BI153" s="63"/>
      <c r="BJ153" s="63"/>
      <c r="BK153" s="63"/>
      <c r="BL153" s="63"/>
      <c r="BM153" s="63"/>
      <c r="BN153" s="63"/>
      <c r="BO153" s="63"/>
      <c r="BP153" s="63"/>
      <c r="BQ153" s="63"/>
      <c r="BR153" s="63"/>
      <c r="BS153" s="63"/>
      <c r="BT153" s="63"/>
      <c r="BU153" s="63"/>
      <c r="BV153" s="63"/>
      <c r="BW153" s="63"/>
      <c r="BX153" s="63"/>
    </row>
    <row r="154" spans="2:91" ht="23.25" customHeight="1" outlineLevel="1" x14ac:dyDescent="0.35">
      <c r="B154" s="69" t="s">
        <v>53</v>
      </c>
      <c r="C154" s="95" t="s">
        <v>363</v>
      </c>
      <c r="D154" s="70"/>
      <c r="F154" s="159" t="str">
        <f t="shared" ref="F154:F162" si="147">IF(F$136="Inget antal angivet","",IFERROR(INDEX($AP$137:$BX$161,MATCH(F$133,$AN$137:$AN$161,0),MATCH($B154,$AP$137:$BX$137,0)),""))</f>
        <v/>
      </c>
      <c r="G154" s="160">
        <f t="shared" ref="G154:I162" ca="1" si="148">IFERROR(INDEX($AP$137:$BX$161,MATCH(G$133,$AN$137:$AN$161,0),MATCH($B154,$AP$137:$BX$137,0)),"")</f>
        <v>59</v>
      </c>
      <c r="H154" s="160">
        <f t="shared" ca="1" si="148"/>
        <v>87</v>
      </c>
      <c r="I154" s="160">
        <f t="shared" ca="1" si="148"/>
        <v>64</v>
      </c>
      <c r="J154" s="73"/>
      <c r="BF154" s="63"/>
      <c r="BG154" s="63"/>
      <c r="BH154" s="63"/>
      <c r="BI154" s="63"/>
      <c r="BJ154" s="63"/>
      <c r="BK154" s="63"/>
      <c r="BL154" s="63"/>
      <c r="BM154" s="63"/>
      <c r="BN154" s="63"/>
      <c r="BO154" s="63"/>
      <c r="BP154" s="63"/>
      <c r="BQ154" s="63"/>
      <c r="BR154" s="63"/>
      <c r="BS154" s="63"/>
      <c r="BT154" s="63"/>
      <c r="BU154" s="63"/>
      <c r="BV154" s="63"/>
      <c r="BW154" s="63"/>
      <c r="BX154" s="63"/>
    </row>
    <row r="155" spans="2:91" ht="23.25" customHeight="1" outlineLevel="1" x14ac:dyDescent="0.35">
      <c r="B155" s="69" t="s">
        <v>340</v>
      </c>
      <c r="C155" s="96" t="s">
        <v>51</v>
      </c>
      <c r="D155" s="131" t="str">
        <f>IF("Ska Ingå"=D154,"Ska Ingå","")</f>
        <v/>
      </c>
      <c r="F155" s="84" t="str">
        <f t="shared" si="147"/>
        <v/>
      </c>
      <c r="G155" s="85" t="str">
        <f t="shared" ca="1" si="148"/>
        <v>HP</v>
      </c>
      <c r="H155" s="85" t="str">
        <f t="shared" ca="1" si="148"/>
        <v>Cirafon</v>
      </c>
      <c r="I155" s="85" t="str">
        <f t="shared" ca="1" si="148"/>
        <v>HP</v>
      </c>
      <c r="J155" s="54"/>
      <c r="BF155" s="63"/>
      <c r="BG155" s="63"/>
      <c r="BH155" s="63"/>
      <c r="BI155" s="63"/>
      <c r="BJ155" s="63"/>
      <c r="BK155" s="63"/>
      <c r="BL155" s="63"/>
      <c r="BM155" s="63"/>
      <c r="BN155" s="63"/>
      <c r="BO155" s="63"/>
      <c r="BP155" s="63"/>
      <c r="BQ155" s="63"/>
      <c r="BR155" s="63"/>
      <c r="BS155" s="63"/>
      <c r="BT155" s="63"/>
      <c r="BU155" s="63"/>
      <c r="BV155" s="63"/>
      <c r="BW155" s="63"/>
      <c r="BX155" s="63"/>
    </row>
    <row r="156" spans="2:91" ht="67.5" customHeight="1" outlineLevel="1" x14ac:dyDescent="0.35">
      <c r="B156" s="69" t="s">
        <v>345</v>
      </c>
      <c r="C156" s="97" t="s">
        <v>52</v>
      </c>
      <c r="D156" s="132" t="str">
        <f>IF("Ska Ingå"=D154,"Ska Ingå","")</f>
        <v/>
      </c>
      <c r="F156" s="86" t="str">
        <f t="shared" si="147"/>
        <v/>
      </c>
      <c r="G156" s="87" t="str">
        <f t="shared" ca="1" si="148"/>
        <v>GBX77E81AA</v>
      </c>
      <c r="H156" s="87" t="str">
        <f t="shared" ca="1" si="148"/>
        <v>LSN9117-11</v>
      </c>
      <c r="I156" s="87" t="str">
        <f t="shared" ca="1" si="148"/>
        <v>GBX2UW01AA</v>
      </c>
      <c r="J156" s="73"/>
      <c r="BF156" s="63"/>
      <c r="BG156" s="63"/>
      <c r="BH156" s="63"/>
      <c r="BI156" s="63"/>
      <c r="BJ156" s="63"/>
      <c r="BK156" s="63"/>
      <c r="BL156" s="63"/>
      <c r="BM156" s="63"/>
      <c r="BN156" s="63"/>
      <c r="BO156" s="63"/>
      <c r="BP156" s="63"/>
      <c r="BQ156" s="63"/>
      <c r="BR156" s="63"/>
      <c r="BS156" s="63"/>
      <c r="BT156" s="63"/>
      <c r="BU156" s="63"/>
      <c r="BV156" s="63"/>
      <c r="BW156" s="63"/>
      <c r="BX156" s="63"/>
    </row>
    <row r="157" spans="2:91" ht="23.25" customHeight="1" outlineLevel="1" x14ac:dyDescent="0.35">
      <c r="B157" s="69" t="s">
        <v>54</v>
      </c>
      <c r="C157" s="98" t="s">
        <v>77</v>
      </c>
      <c r="D157" s="70"/>
      <c r="F157" s="157" t="str">
        <f t="shared" si="147"/>
        <v/>
      </c>
      <c r="G157" s="158">
        <f t="shared" ca="1" si="148"/>
        <v>287</v>
      </c>
      <c r="H157" s="158">
        <f t="shared" ca="1" si="148"/>
        <v>123</v>
      </c>
      <c r="I157" s="158">
        <f t="shared" ca="1" si="148"/>
        <v>298</v>
      </c>
      <c r="J157" s="54"/>
      <c r="BF157" s="63"/>
      <c r="BG157" s="63"/>
      <c r="BH157" s="63"/>
      <c r="BI157" s="63"/>
      <c r="BJ157" s="63"/>
      <c r="BK157" s="63"/>
      <c r="BL157" s="63"/>
      <c r="BM157" s="63"/>
      <c r="BN157" s="63"/>
      <c r="BO157" s="63"/>
      <c r="BP157" s="63"/>
      <c r="BQ157" s="63"/>
      <c r="BR157" s="63"/>
      <c r="BS157" s="63"/>
      <c r="BT157" s="63"/>
      <c r="BU157" s="63"/>
      <c r="BV157" s="63"/>
      <c r="BW157" s="63"/>
      <c r="BX157" s="63"/>
    </row>
    <row r="158" spans="2:91" ht="23.25" customHeight="1" outlineLevel="1" x14ac:dyDescent="0.35">
      <c r="B158" s="69" t="s">
        <v>341</v>
      </c>
      <c r="C158" s="61" t="s">
        <v>51</v>
      </c>
      <c r="D158" s="131" t="str">
        <f>IF("Ska Ingå"=D157,"Ska Ingå","")</f>
        <v/>
      </c>
      <c r="F158" s="88" t="str">
        <f t="shared" si="147"/>
        <v/>
      </c>
      <c r="G158" s="89" t="str">
        <f t="shared" ca="1" si="148"/>
        <v>Kapsolo</v>
      </c>
      <c r="H158" s="89" t="str">
        <f t="shared" ca="1" si="148"/>
        <v>Cirafon</v>
      </c>
      <c r="I158" s="89" t="str">
        <f t="shared" ca="1" si="148"/>
        <v>Kapsolo</v>
      </c>
      <c r="J158" s="73"/>
      <c r="BF158" s="63"/>
      <c r="BG158" s="63"/>
      <c r="BH158" s="63"/>
      <c r="BI158" s="63"/>
      <c r="BJ158" s="63"/>
      <c r="BK158" s="63"/>
      <c r="BL158" s="63"/>
      <c r="BM158" s="63"/>
      <c r="BN158" s="63"/>
      <c r="BO158" s="63"/>
      <c r="BP158" s="63"/>
      <c r="BQ158" s="63"/>
      <c r="BR158" s="63"/>
      <c r="BS158" s="63"/>
      <c r="BT158" s="63"/>
      <c r="BU158" s="63"/>
      <c r="BV158" s="63"/>
      <c r="BW158" s="63"/>
      <c r="BX158" s="63"/>
    </row>
    <row r="159" spans="2:91" ht="68.25" customHeight="1" outlineLevel="1" x14ac:dyDescent="0.35">
      <c r="B159" s="69" t="s">
        <v>346</v>
      </c>
      <c r="C159" s="99" t="s">
        <v>52</v>
      </c>
      <c r="D159" s="132" t="str">
        <f>IF("Ska Ingå"=D157,"Ska Ingå","")</f>
        <v/>
      </c>
      <c r="F159" s="90" t="str">
        <f t="shared" si="147"/>
        <v/>
      </c>
      <c r="G159" s="91" t="str">
        <f t="shared" ca="1" si="148"/>
        <v>GBXKAP10145</v>
      </c>
      <c r="H159" s="91" t="str">
        <f t="shared" ca="1" si="148"/>
        <v>DPF11.6-9</v>
      </c>
      <c r="I159" s="91" t="str">
        <f t="shared" ca="1" si="148"/>
        <v>GBXKAP10478</v>
      </c>
      <c r="J159" s="54"/>
      <c r="BF159" s="63"/>
      <c r="BG159" s="63"/>
      <c r="BH159" s="63"/>
      <c r="BI159" s="63"/>
      <c r="BJ159" s="63"/>
      <c r="BK159" s="63"/>
      <c r="BL159" s="63"/>
      <c r="BM159" s="63"/>
      <c r="BN159" s="63"/>
      <c r="BO159" s="63"/>
      <c r="BP159" s="63"/>
      <c r="BQ159" s="63"/>
      <c r="BR159" s="63"/>
      <c r="BS159" s="63"/>
      <c r="BT159" s="63"/>
      <c r="BU159" s="63"/>
      <c r="BV159" s="63"/>
      <c r="BW159" s="63"/>
      <c r="BX159" s="63"/>
    </row>
    <row r="160" spans="2:91" ht="31.5" customHeight="1" outlineLevel="1" x14ac:dyDescent="0.35">
      <c r="B160" s="69" t="s">
        <v>55</v>
      </c>
      <c r="C160" s="95" t="s">
        <v>371</v>
      </c>
      <c r="D160" s="70"/>
      <c r="F160" s="159" t="str">
        <f t="shared" si="147"/>
        <v/>
      </c>
      <c r="G160" s="160">
        <f t="shared" ca="1" si="148"/>
        <v>240</v>
      </c>
      <c r="H160" s="160">
        <f t="shared" ca="1" si="148"/>
        <v>249</v>
      </c>
      <c r="I160" s="160">
        <f t="shared" ca="1" si="148"/>
        <v>198</v>
      </c>
      <c r="BF160" s="63"/>
      <c r="BG160" s="63"/>
      <c r="BH160" s="63"/>
      <c r="BI160" s="63"/>
      <c r="BJ160" s="63"/>
      <c r="BK160" s="63"/>
      <c r="BL160" s="63"/>
      <c r="BM160" s="63"/>
      <c r="BN160" s="63"/>
      <c r="BO160" s="63"/>
      <c r="BP160" s="63"/>
      <c r="BQ160" s="63"/>
      <c r="BR160" s="63"/>
      <c r="BS160" s="63"/>
      <c r="BT160" s="63"/>
      <c r="BU160" s="63"/>
      <c r="BV160" s="63"/>
      <c r="BW160" s="63"/>
      <c r="BX160" s="63"/>
    </row>
    <row r="161" spans="2:90" ht="23.25" customHeight="1" outlineLevel="1" x14ac:dyDescent="0.35">
      <c r="B161" s="69" t="s">
        <v>342</v>
      </c>
      <c r="C161" s="96" t="s">
        <v>51</v>
      </c>
      <c r="D161" s="131" t="str">
        <f>IF("Ska Ingå"=D160,"Ska Ingå","")</f>
        <v/>
      </c>
      <c r="F161" s="84" t="str">
        <f t="shared" si="147"/>
        <v/>
      </c>
      <c r="G161" s="85" t="str">
        <f t="shared" ca="1" si="148"/>
        <v>Dell</v>
      </c>
      <c r="H161" s="85" t="str">
        <f t="shared" ca="1" si="148"/>
        <v>HP</v>
      </c>
      <c r="I161" s="85" t="str">
        <f t="shared" ca="1" si="148"/>
        <v>HP</v>
      </c>
      <c r="BF161" s="63"/>
      <c r="BG161" s="63"/>
      <c r="BH161" s="63"/>
      <c r="BI161" s="63"/>
      <c r="BJ161" s="63"/>
      <c r="BK161" s="63"/>
      <c r="BL161" s="63"/>
      <c r="BM161" s="63"/>
      <c r="BN161" s="63"/>
      <c r="BO161" s="63"/>
      <c r="BP161" s="63"/>
      <c r="BQ161" s="63"/>
      <c r="BR161" s="63"/>
      <c r="BS161" s="63"/>
      <c r="BT161" s="63"/>
      <c r="BU161" s="63"/>
      <c r="BV161" s="63"/>
      <c r="BW161" s="63"/>
      <c r="BX161" s="63"/>
    </row>
    <row r="162" spans="2:90" ht="66.75" customHeight="1" outlineLevel="1" x14ac:dyDescent="0.35">
      <c r="B162" s="69" t="s">
        <v>347</v>
      </c>
      <c r="C162" s="97" t="s">
        <v>52</v>
      </c>
      <c r="D162" s="132" t="str">
        <f>IF("Ska Ingå"=D160,"Ska Ingå","")</f>
        <v/>
      </c>
      <c r="F162" s="86" t="str">
        <f t="shared" si="147"/>
        <v/>
      </c>
      <c r="G162" s="87" t="str">
        <f t="shared" ca="1" si="148"/>
        <v>DELL-921CW</v>
      </c>
      <c r="H162" s="87" t="str">
        <f t="shared" ca="1" si="148"/>
        <v>1MZ01AA</v>
      </c>
      <c r="I162" s="87" t="str">
        <f t="shared" ca="1" si="148"/>
        <v>GBX1HE07AA</v>
      </c>
    </row>
    <row r="163" spans="2:90" ht="23.25" customHeight="1" outlineLevel="1" x14ac:dyDescent="0.35">
      <c r="B163" s="69"/>
      <c r="C163" s="220" t="s">
        <v>365</v>
      </c>
      <c r="D163" s="220"/>
      <c r="E163" s="220"/>
      <c r="F163" s="220"/>
      <c r="G163" s="220"/>
      <c r="H163" s="220"/>
      <c r="I163" s="220"/>
    </row>
    <row r="164" spans="2:90" ht="23.25" customHeight="1" outlineLevel="1" x14ac:dyDescent="0.35">
      <c r="B164" s="71" t="s">
        <v>228</v>
      </c>
      <c r="C164" s="96" t="s">
        <v>367</v>
      </c>
      <c r="D164" s="70"/>
      <c r="F164" s="163" t="str">
        <f>IF(F$136="Inget antal angivet","",IFERROR(INDEX($AP$137:$BX$161,MATCH(F$133,$AN$137:$AN$161,0),MATCH($B164,$AP$137:$BX$137,0)),""))</f>
        <v/>
      </c>
      <c r="G164" s="164">
        <f t="shared" ref="G164:I167" ca="1" si="149">IFERROR(INDEX($AP$137:$BX$161,MATCH(G$133,$AN$137:$AN$161,0),MATCH($B164,$AP$137:$BX$137,0)),"")</f>
        <v>275</v>
      </c>
      <c r="H164" s="164">
        <f t="shared" ca="1" si="149"/>
        <v>131</v>
      </c>
      <c r="I164" s="164">
        <f t="shared" ca="1" si="149"/>
        <v>125</v>
      </c>
    </row>
    <row r="165" spans="2:90" ht="23.25" customHeight="1" outlineLevel="1" x14ac:dyDescent="0.35">
      <c r="B165" s="71" t="s">
        <v>229</v>
      </c>
      <c r="C165" s="61" t="s">
        <v>368</v>
      </c>
      <c r="D165" s="70"/>
      <c r="F165" s="165" t="str">
        <f>IF(F$136="Inget antal angivet","",IFERROR(INDEX($AP$137:$BX$161,MATCH(F$133,$AN$137:$AN$161,0),MATCH($B165,$AP$137:$BX$137,0)),""))</f>
        <v/>
      </c>
      <c r="G165" s="166">
        <f t="shared" ca="1" si="149"/>
        <v>70</v>
      </c>
      <c r="H165" s="166">
        <f t="shared" ca="1" si="149"/>
        <v>133</v>
      </c>
      <c r="I165" s="166">
        <f t="shared" ca="1" si="149"/>
        <v>70</v>
      </c>
    </row>
    <row r="166" spans="2:90" ht="23.25" customHeight="1" outlineLevel="1" x14ac:dyDescent="0.35">
      <c r="B166" s="71" t="s">
        <v>230</v>
      </c>
      <c r="C166" s="96" t="s">
        <v>369</v>
      </c>
      <c r="D166" s="70"/>
      <c r="F166" s="163" t="str">
        <f>IF(F$136="Inget antal angivet","",IFERROR(INDEX($AP$137:$BX$161,MATCH(F$133,$AN$137:$AN$161,0),MATCH($B166,$AP$137:$BX$137,0)),""))</f>
        <v/>
      </c>
      <c r="G166" s="164">
        <f t="shared" ca="1" si="149"/>
        <v>25</v>
      </c>
      <c r="H166" s="164">
        <f t="shared" ca="1" si="149"/>
        <v>20</v>
      </c>
      <c r="I166" s="164">
        <f t="shared" ca="1" si="149"/>
        <v>25</v>
      </c>
    </row>
    <row r="167" spans="2:90" ht="23.25" customHeight="1" outlineLevel="1" x14ac:dyDescent="0.35">
      <c r="B167" s="71" t="s">
        <v>231</v>
      </c>
      <c r="C167" s="61" t="s">
        <v>370</v>
      </c>
      <c r="D167" s="70"/>
      <c r="F167" s="165" t="str">
        <f>IF(F$136="Inget antal angivet","",IFERROR(INDEX($AP$137:$BX$161,MATCH(F$133,$AN$137:$AN$161,0),MATCH($B167,$AP$137:$BX$137,0)),""))</f>
        <v/>
      </c>
      <c r="G167" s="166">
        <f t="shared" ca="1" si="149"/>
        <v>25</v>
      </c>
      <c r="H167" s="166">
        <f t="shared" ca="1" si="149"/>
        <v>20</v>
      </c>
      <c r="I167" s="166">
        <f t="shared" ca="1" si="149"/>
        <v>25</v>
      </c>
    </row>
    <row r="168" spans="2:90" ht="23.25" customHeight="1" outlineLevel="1" x14ac:dyDescent="0.35"/>
    <row r="169" spans="2:90" ht="23.25" customHeight="1" collapsed="1" x14ac:dyDescent="0.35"/>
    <row r="170" spans="2:90" ht="23.25" customHeight="1" x14ac:dyDescent="0.35">
      <c r="D170" s="72" t="s">
        <v>233</v>
      </c>
      <c r="E170" s="1"/>
      <c r="F170" s="221" t="s">
        <v>252</v>
      </c>
      <c r="G170" s="221"/>
      <c r="H170" s="221"/>
      <c r="I170" s="222"/>
    </row>
    <row r="171" spans="2:90" ht="23.25" customHeight="1" x14ac:dyDescent="0.35">
      <c r="D171" s="74"/>
      <c r="F171" s="75" t="str">
        <f ca="1">IFERROR(INDEX($Y$138:$Y$149,MATCH(F133,$Z$138:$Z$149,0)) *D171,"")</f>
        <v/>
      </c>
      <c r="G171" s="202">
        <f ca="1">IFERROR(P138 *D171,"")</f>
        <v>0</v>
      </c>
      <c r="H171" s="202">
        <f ca="1">IFERROR(P139 *D171,"")</f>
        <v>0</v>
      </c>
      <c r="I171" s="202">
        <f ca="1">IFERROR(P140 * D171,"")</f>
        <v>0</v>
      </c>
    </row>
    <row r="173" spans="2:90" ht="15" thickBot="1" x14ac:dyDescent="0.4">
      <c r="C173" s="174"/>
      <c r="D173" s="174"/>
      <c r="E173" s="174"/>
      <c r="F173" s="174"/>
      <c r="G173" s="174"/>
      <c r="H173" s="174"/>
      <c r="I173" s="174"/>
    </row>
    <row r="174" spans="2:90" ht="15" thickTop="1" x14ac:dyDescent="0.35"/>
    <row r="176" spans="2:90" ht="68.25" hidden="1" customHeight="1" collapsed="1" x14ac:dyDescent="0.35">
      <c r="C176" s="53"/>
      <c r="D176" s="53"/>
      <c r="F176" s="50" t="e">
        <f ca="1">N180</f>
        <v>#N/A</v>
      </c>
      <c r="G176" s="50" t="str">
        <f ca="1">INDEX(Z181:Z204,MATCH(P181,Y181:Y204,0))</f>
        <v>Offererad produktnr. 05Qlosr Göteborg AB</v>
      </c>
      <c r="H176" s="50" t="str">
        <f ca="1">INDEX(Z180:Z203,MATCH(P182,Y180:Y203,0))</f>
        <v>Offererad produktnr. 05Dustin Sverige AB</v>
      </c>
      <c r="I176" s="50" t="str">
        <f ca="1">INDEX(Z180:Z203,MATCH(P183,Y180:Y203,0))</f>
        <v>Offererad produktnr. 06Qlosr Göteborg AB</v>
      </c>
      <c r="AP176" s="12" t="s">
        <v>124</v>
      </c>
      <c r="AQ176" s="12" t="s">
        <v>124</v>
      </c>
      <c r="AR176" s="12" t="s">
        <v>124</v>
      </c>
      <c r="AS176" s="12" t="s">
        <v>124</v>
      </c>
      <c r="AT176" s="12" t="s">
        <v>124</v>
      </c>
      <c r="AU176" s="12" t="s">
        <v>124</v>
      </c>
      <c r="AV176" s="12" t="s">
        <v>124</v>
      </c>
      <c r="AW176" s="12" t="s">
        <v>124</v>
      </c>
      <c r="AX176" s="12" t="s">
        <v>124</v>
      </c>
      <c r="AY176" s="12" t="s">
        <v>124</v>
      </c>
      <c r="AZ176" s="12" t="s">
        <v>124</v>
      </c>
      <c r="BA176" s="12" t="s">
        <v>124</v>
      </c>
      <c r="BB176" s="12" t="s">
        <v>124</v>
      </c>
      <c r="BC176" s="12" t="s">
        <v>124</v>
      </c>
      <c r="BD176" s="12" t="s">
        <v>124</v>
      </c>
      <c r="BE176" s="12" t="s">
        <v>124</v>
      </c>
      <c r="BF176" s="12" t="s">
        <v>124</v>
      </c>
      <c r="BG176" s="12" t="s">
        <v>124</v>
      </c>
      <c r="BH176" s="12" t="s">
        <v>124</v>
      </c>
      <c r="BI176" s="12" t="s">
        <v>124</v>
      </c>
      <c r="BJ176" s="12" t="s">
        <v>124</v>
      </c>
      <c r="BK176" s="12" t="s">
        <v>124</v>
      </c>
      <c r="BL176" s="12" t="s">
        <v>124</v>
      </c>
      <c r="BM176" s="12" t="s">
        <v>124</v>
      </c>
      <c r="BN176" s="12" t="s">
        <v>124</v>
      </c>
      <c r="BO176" s="12" t="s">
        <v>124</v>
      </c>
      <c r="BP176" s="12" t="s">
        <v>124</v>
      </c>
      <c r="BQ176" s="12" t="s">
        <v>124</v>
      </c>
      <c r="BR176" s="12" t="s">
        <v>124</v>
      </c>
      <c r="BS176" s="12" t="s">
        <v>124</v>
      </c>
      <c r="BT176" s="12" t="s">
        <v>124</v>
      </c>
      <c r="BU176" s="12"/>
      <c r="BV176" s="12"/>
      <c r="BW176" s="12" t="s">
        <v>124</v>
      </c>
      <c r="BX176" s="12" t="s">
        <v>124</v>
      </c>
      <c r="BY176" s="12"/>
      <c r="BZ176" s="12"/>
      <c r="CA176" s="12"/>
      <c r="CB176" s="12"/>
      <c r="CC176" s="12"/>
      <c r="CD176" s="12"/>
      <c r="CE176" s="12"/>
      <c r="CF176" s="12"/>
      <c r="CG176" s="12"/>
      <c r="CH176" s="12"/>
      <c r="CI176" s="12"/>
      <c r="CJ176" s="12"/>
      <c r="CK176" s="12"/>
      <c r="CL176" s="12"/>
    </row>
    <row r="177" spans="2:91" ht="26.25" customHeight="1" thickBot="1" x14ac:dyDescent="0.4">
      <c r="C177" s="53"/>
      <c r="D177" s="53"/>
      <c r="F177" s="140" t="s">
        <v>446</v>
      </c>
      <c r="G177" s="205" t="s">
        <v>447</v>
      </c>
      <c r="H177" s="205"/>
      <c r="I177" s="205"/>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row>
    <row r="178" spans="2:91" ht="22.5" customHeight="1" thickBot="1" x14ac:dyDescent="0.4">
      <c r="B178" t="str">
        <f ca="1" xml:space="preserve"> "Produkt "  &amp; B179</f>
        <v>Produkt 5</v>
      </c>
      <c r="C178" s="206" t="str">
        <f>IF(F179="Ingen produkt motsvarar","Felmeddelande",IF(COUNTIF($P$1:$P$6,TRUE)&gt;0,"","Felmeddelande"))</f>
        <v/>
      </c>
      <c r="D178" s="207"/>
      <c r="F178" s="218" t="s">
        <v>271</v>
      </c>
      <c r="G178" s="218"/>
      <c r="H178" s="218"/>
      <c r="I178" s="219"/>
      <c r="O178">
        <v>1</v>
      </c>
      <c r="AH178" t="s">
        <v>241</v>
      </c>
      <c r="AP178" s="13" t="str">
        <f t="shared" ref="AP178:BD178" si="150">AP180</f>
        <v>Upplösning</v>
      </c>
      <c r="AQ178" s="13" t="str">
        <f t="shared" si="150"/>
        <v>Processor</v>
      </c>
      <c r="AR178" s="13" t="str">
        <f t="shared" si="150"/>
        <v>Internminne (GB)</v>
      </c>
      <c r="AS178" s="13" t="str">
        <f t="shared" si="150"/>
        <v>Hårddisk</v>
      </c>
      <c r="AT178" s="13" t="str">
        <f t="shared" si="150"/>
        <v>Skärmstorlek (tum)</v>
      </c>
      <c r="AU178" s="13" t="str">
        <f t="shared" si="150"/>
        <v>Portar USB</v>
      </c>
      <c r="AV178" s="13" t="str">
        <f t="shared" si="150"/>
        <v>Portar USB C</v>
      </c>
      <c r="AW178" s="13" t="str">
        <f t="shared" si="150"/>
        <v>Portar HDMI/Display</v>
      </c>
      <c r="AX178" s="13" t="str">
        <f t="shared" si="150"/>
        <v>Kommunikation WLAN</v>
      </c>
      <c r="AY178" s="13" t="str">
        <f t="shared" si="150"/>
        <v>Kommunikation Bluetooth</v>
      </c>
      <c r="AZ178" s="13" t="str">
        <f t="shared" si="150"/>
        <v>Batteritid (tim)</v>
      </c>
      <c r="BA178" s="13" t="str">
        <f t="shared" si="150"/>
        <v>Energiprestanda</v>
      </c>
      <c r="BB178" s="13" t="str">
        <f t="shared" si="150"/>
        <v>Låsskydd</v>
      </c>
      <c r="BC178" s="13" t="str">
        <f t="shared" si="150"/>
        <v>Operativsystem</v>
      </c>
      <c r="BD178" s="13" t="str">
        <f t="shared" si="150"/>
        <v>Modellbenämning</v>
      </c>
      <c r="BE178" t="s">
        <v>224</v>
      </c>
      <c r="BF178" s="56" t="s">
        <v>53</v>
      </c>
      <c r="BG178" s="56" t="s">
        <v>54</v>
      </c>
      <c r="BH178" s="56" t="s">
        <v>55</v>
      </c>
      <c r="BI178" s="57" t="s">
        <v>228</v>
      </c>
      <c r="BJ178" s="57" t="s">
        <v>229</v>
      </c>
      <c r="BK178" s="57" t="s">
        <v>230</v>
      </c>
      <c r="BL178" s="57" t="s">
        <v>231</v>
      </c>
      <c r="BM178" s="57" t="s">
        <v>340</v>
      </c>
      <c r="BN178" s="57" t="s">
        <v>341</v>
      </c>
      <c r="BO178" s="57" t="s">
        <v>342</v>
      </c>
      <c r="BP178" s="57" t="s">
        <v>343</v>
      </c>
      <c r="BQ178" s="57" t="s">
        <v>345</v>
      </c>
      <c r="BR178" s="57" t="s">
        <v>346</v>
      </c>
      <c r="BS178" s="57" t="s">
        <v>347</v>
      </c>
      <c r="BT178" s="57" t="s">
        <v>348</v>
      </c>
      <c r="BU178" s="57"/>
      <c r="BV178" s="57"/>
      <c r="BW178" s="57" t="s">
        <v>6</v>
      </c>
      <c r="BX178" s="4" t="s">
        <v>51</v>
      </c>
      <c r="BY178" s="13"/>
      <c r="BZ178" s="13"/>
      <c r="CA178" s="13"/>
      <c r="CB178" s="13"/>
      <c r="CC178" s="13"/>
      <c r="CD178" s="13"/>
      <c r="CE178" s="13"/>
      <c r="CF178" s="13"/>
      <c r="CG178" s="13"/>
      <c r="CH178" s="13"/>
      <c r="CI178" s="13"/>
      <c r="CJ178" s="13"/>
      <c r="CK178" s="13"/>
      <c r="CL178" s="13"/>
    </row>
    <row r="179" spans="2:91" ht="22.5" customHeight="1" x14ac:dyDescent="0.35">
      <c r="B179">
        <f ca="1">COUNTIF($F$7:F182,"Produkt I varukorg*")</f>
        <v>5</v>
      </c>
      <c r="F179" s="51" t="str">
        <f>IF(D214&lt;1,"Inget antal angivet",IFERROR(INDEX($Y$181:$Y$192,MATCH(F176,$Z$181:$Z$192,0)),"Ingen produkt motsvarar"))</f>
        <v>Inget antal angivet</v>
      </c>
      <c r="G179" s="52">
        <f ca="1">IFERROR(P181,"Ingen produkt motsvarar")</f>
        <v>2950</v>
      </c>
      <c r="H179" s="52">
        <f ca="1">IFERROR(P182,"")</f>
        <v>3415</v>
      </c>
      <c r="I179" s="52">
        <f ca="1">IFERROR(P183,"")</f>
        <v>3610</v>
      </c>
      <c r="Z179" t="str">
        <f>IF(COUNTIF(AA179:AI179,FALSE)&gt;0,AN179,"")</f>
        <v/>
      </c>
      <c r="AN179" t="s">
        <v>126</v>
      </c>
      <c r="AP179" s="58" t="str">
        <f t="shared" ref="AP179:BT179" ca="1" si="151">IFERROR(INDEX(INDIRECT(AP$176&amp;"!$A$10:CC100000"),MATCH($AN179,INDIRECT(AP$176&amp;"!BH$10:BH100000"),0),MATCH(AP$178,INDIRECT(AP$176&amp;"!a10:CC10"),0)),"False")</f>
        <v>False</v>
      </c>
      <c r="AQ179" s="58" t="str">
        <f t="shared" ca="1" si="151"/>
        <v>False</v>
      </c>
      <c r="AR179" s="58" t="str">
        <f t="shared" ca="1" si="151"/>
        <v>False</v>
      </c>
      <c r="AS179" s="58" t="str">
        <f t="shared" ca="1" si="151"/>
        <v>False</v>
      </c>
      <c r="AT179" s="58" t="str">
        <f t="shared" ca="1" si="151"/>
        <v>False</v>
      </c>
      <c r="AU179" s="58" t="str">
        <f t="shared" ca="1" si="151"/>
        <v>False</v>
      </c>
      <c r="AV179" s="58" t="str">
        <f t="shared" ca="1" si="151"/>
        <v>False</v>
      </c>
      <c r="AW179" s="58" t="str">
        <f t="shared" ca="1" si="151"/>
        <v>False</v>
      </c>
      <c r="AX179" s="58" t="str">
        <f t="shared" ca="1" si="151"/>
        <v>False</v>
      </c>
      <c r="AY179" s="58" t="str">
        <f t="shared" ca="1" si="151"/>
        <v>False</v>
      </c>
      <c r="AZ179" s="58" t="str">
        <f t="shared" ca="1" si="151"/>
        <v>False</v>
      </c>
      <c r="BA179" s="58" t="str">
        <f t="shared" ca="1" si="151"/>
        <v>False</v>
      </c>
      <c r="BB179" s="58" t="str">
        <f t="shared" ca="1" si="151"/>
        <v>False</v>
      </c>
      <c r="BC179" s="58" t="str">
        <f t="shared" ca="1" si="151"/>
        <v>False</v>
      </c>
      <c r="BD179" s="58" t="str">
        <f t="shared" ca="1" si="151"/>
        <v>False</v>
      </c>
      <c r="BE179" s="58" t="str">
        <f t="shared" ca="1" si="151"/>
        <v>False</v>
      </c>
      <c r="BF179" s="58" t="str">
        <f t="shared" ca="1" si="151"/>
        <v>False</v>
      </c>
      <c r="BG179" s="58" t="str">
        <f t="shared" ca="1" si="151"/>
        <v>False</v>
      </c>
      <c r="BH179" s="58" t="str">
        <f t="shared" ca="1" si="151"/>
        <v>False</v>
      </c>
      <c r="BI179" s="58" t="str">
        <f t="shared" ca="1" si="151"/>
        <v>False</v>
      </c>
      <c r="BJ179" s="58" t="str">
        <f t="shared" ca="1" si="151"/>
        <v>False</v>
      </c>
      <c r="BK179" s="58" t="str">
        <f t="shared" ca="1" si="151"/>
        <v>False</v>
      </c>
      <c r="BL179" s="58" t="str">
        <f t="shared" ca="1" si="151"/>
        <v>False</v>
      </c>
      <c r="BM179" s="58" t="str">
        <f t="shared" ca="1" si="151"/>
        <v>False</v>
      </c>
      <c r="BN179" s="58" t="str">
        <f t="shared" ca="1" si="151"/>
        <v>False</v>
      </c>
      <c r="BO179" s="58" t="str">
        <f t="shared" ca="1" si="151"/>
        <v>False</v>
      </c>
      <c r="BP179" s="58" t="str">
        <f t="shared" ca="1" si="151"/>
        <v>False</v>
      </c>
      <c r="BQ179" s="58" t="str">
        <f t="shared" ca="1" si="151"/>
        <v>False</v>
      </c>
      <c r="BR179" s="58" t="str">
        <f t="shared" ca="1" si="151"/>
        <v>False</v>
      </c>
      <c r="BS179" s="58" t="str">
        <f t="shared" ca="1" si="151"/>
        <v>False</v>
      </c>
      <c r="BT179" s="58" t="str">
        <f t="shared" ca="1" si="151"/>
        <v>False</v>
      </c>
      <c r="BU179" s="58"/>
      <c r="BV179" s="58"/>
      <c r="BW179" s="58" t="str">
        <f ca="1">IFERROR(INDEX(INDIRECT(BW$176&amp;"!$A$10:CC100000"),MATCH($AN179,INDIRECT(BW$176&amp;"!BH$10:BH100000"),0),MATCH(BW$178,INDIRECT(BW$176&amp;"!a10:CC10"),0)),"False")</f>
        <v>False</v>
      </c>
      <c r="BX179" s="58" t="str">
        <f ca="1">IFERROR(INDEX(INDIRECT(BX$176&amp;"!$A$10:CC100000"),MATCH($AN179,INDIRECT(BX$176&amp;"!BH$10:BH100000"),0),MATCH(BX$178,INDIRECT(BX$176&amp;"!a10:CC10"),0)),"False")</f>
        <v>False</v>
      </c>
      <c r="BY179" s="58"/>
      <c r="BZ179" s="58"/>
      <c r="CA179" s="58"/>
      <c r="CB179" s="58"/>
      <c r="CC179" s="58"/>
      <c r="CD179" s="58"/>
      <c r="CE179" s="58"/>
      <c r="CF179" s="58"/>
      <c r="CG179" s="58"/>
      <c r="CH179" s="58"/>
      <c r="CI179" s="58"/>
      <c r="CJ179" s="58"/>
      <c r="CK179" s="58"/>
      <c r="CL179" s="58"/>
    </row>
    <row r="180" spans="2:91" ht="22.5" customHeight="1" x14ac:dyDescent="0.35">
      <c r="C180" s="210" t="str">
        <f ca="1" xml:space="preserve"> "Bärbar dator (B) "  &amp; RIGHT("00" &amp; B179,2)</f>
        <v>Bärbar dator (B) 05</v>
      </c>
      <c r="D180" s="211"/>
      <c r="F180" s="92" t="str">
        <f>IF(F179="Inget antal angivet","",IFERROR(INDEX($AP$180:$BX$204,MATCH(F$176,$AN$180:$AN$204,0),MATCH("Modellbenämning",$AP$180:$BX$180,0)),""))</f>
        <v/>
      </c>
      <c r="G180" s="92" t="str">
        <f ca="1">IFERROR(INDEX($AP$180:$BX$204,MATCH(G$176,$AN$180:$AN$204,0),MATCH("Modellbenämning",$AP$180:$BX$180,0)),"")</f>
        <v>Chromebook 3110</v>
      </c>
      <c r="H180" s="92" t="str">
        <f ca="1">IFERROR(INDEX($AP$180:$BX$204,MATCH(H$176,$AN$180:$AN$204,0),MATCH("Modellbenämning",$AP$180:$BX$180,0)),"")</f>
        <v>ChromeBook 11 G9 EE</v>
      </c>
      <c r="I180" s="92" t="str">
        <f ca="1">IFERROR(INDEX($AP$180:$BX$204,MATCH(I$176,$AN$180:$AN$204,0),MATCH("Modellbenämning",$AP$180:$BX$180,0)),"")</f>
        <v>Chromebook 14 G7</v>
      </c>
      <c r="J180" s="93"/>
      <c r="K180" s="92"/>
      <c r="L180" s="92"/>
      <c r="M180" s="92"/>
      <c r="N180" s="92" t="e">
        <f ca="1">INDEX($N$181:$N$186,MATCH(Överblick!$L$2,$M$181:$M$186,0))</f>
        <v>#N/A</v>
      </c>
      <c r="O180" s="92"/>
      <c r="P180" s="92"/>
      <c r="Q180" s="92"/>
      <c r="R180" s="92">
        <v>1</v>
      </c>
      <c r="S180" s="92">
        <v>2</v>
      </c>
      <c r="T180" s="92">
        <v>3</v>
      </c>
      <c r="U180" s="92">
        <v>5</v>
      </c>
      <c r="V180" s="92">
        <v>6</v>
      </c>
      <c r="W180" s="92">
        <v>7</v>
      </c>
      <c r="X180" s="92">
        <v>8</v>
      </c>
      <c r="Y180" s="92"/>
      <c r="Z180" s="92" t="s">
        <v>122</v>
      </c>
      <c r="AA180" s="92" t="s">
        <v>2</v>
      </c>
      <c r="AB180" s="92" t="s">
        <v>4</v>
      </c>
      <c r="AC180" s="92" t="s">
        <v>119</v>
      </c>
      <c r="AD180" s="92" t="s">
        <v>16</v>
      </c>
      <c r="AE180" s="92" t="s">
        <v>7</v>
      </c>
      <c r="AF180" s="92" t="s">
        <v>67</v>
      </c>
      <c r="AG180" s="92" t="s">
        <v>74</v>
      </c>
      <c r="AH180" s="92" t="s">
        <v>103</v>
      </c>
      <c r="AI180" s="92" t="s">
        <v>75</v>
      </c>
      <c r="AJ180" s="92" t="s">
        <v>38</v>
      </c>
      <c r="AK180" s="92"/>
      <c r="AL180" s="92"/>
      <c r="AM180" s="92"/>
      <c r="AN180" s="92" t="s">
        <v>222</v>
      </c>
      <c r="AO180" s="92">
        <v>1</v>
      </c>
      <c r="AP180" s="92" t="s">
        <v>2</v>
      </c>
      <c r="AQ180" s="92" t="s">
        <v>4</v>
      </c>
      <c r="AR180" s="92" t="s">
        <v>119</v>
      </c>
      <c r="AS180" s="92" t="s">
        <v>16</v>
      </c>
      <c r="AT180" s="92" t="s">
        <v>7</v>
      </c>
      <c r="AU180" s="92" t="s">
        <v>67</v>
      </c>
      <c r="AV180" s="92" t="s">
        <v>74</v>
      </c>
      <c r="AW180" s="92" t="s">
        <v>97</v>
      </c>
      <c r="AX180" s="92" t="s">
        <v>103</v>
      </c>
      <c r="AY180" s="92" t="s">
        <v>75</v>
      </c>
      <c r="AZ180" s="92" t="s">
        <v>120</v>
      </c>
      <c r="BA180" s="92" t="s">
        <v>38</v>
      </c>
      <c r="BB180" s="92" t="s">
        <v>37</v>
      </c>
      <c r="BC180" s="92" t="s">
        <v>3</v>
      </c>
      <c r="BD180" s="92" t="s">
        <v>52</v>
      </c>
      <c r="BE180" s="92" t="s">
        <v>25</v>
      </c>
      <c r="BF180" s="92" t="s">
        <v>53</v>
      </c>
      <c r="BG180" s="92" t="s">
        <v>54</v>
      </c>
      <c r="BH180" s="92" t="s">
        <v>55</v>
      </c>
      <c r="BI180" s="92" t="s">
        <v>228</v>
      </c>
      <c r="BJ180" s="92" t="s">
        <v>229</v>
      </c>
      <c r="BK180" s="92" t="s">
        <v>230</v>
      </c>
      <c r="BL180" s="92" t="s">
        <v>231</v>
      </c>
      <c r="BM180" s="92" t="s">
        <v>340</v>
      </c>
      <c r="BN180" s="92" t="s">
        <v>341</v>
      </c>
      <c r="BO180" s="92" t="s">
        <v>342</v>
      </c>
      <c r="BP180" s="92" t="s">
        <v>343</v>
      </c>
      <c r="BQ180" s="92" t="s">
        <v>345</v>
      </c>
      <c r="BR180" s="92" t="s">
        <v>346</v>
      </c>
      <c r="BS180" s="92" t="s">
        <v>347</v>
      </c>
      <c r="BT180" s="92" t="s">
        <v>348</v>
      </c>
      <c r="BU180" s="92"/>
      <c r="BV180" s="92"/>
      <c r="BW180" s="92" t="s">
        <v>6</v>
      </c>
      <c r="BX180" s="92" t="s">
        <v>51</v>
      </c>
      <c r="BY180" s="92" t="s">
        <v>2</v>
      </c>
      <c r="BZ180" s="92" t="s">
        <v>4</v>
      </c>
      <c r="CA180" s="92" t="s">
        <v>119</v>
      </c>
      <c r="CB180" s="92" t="s">
        <v>16</v>
      </c>
      <c r="CC180" s="92" t="s">
        <v>7</v>
      </c>
      <c r="CD180" s="92" t="s">
        <v>67</v>
      </c>
      <c r="CE180" s="92" t="s">
        <v>74</v>
      </c>
      <c r="CF180" s="92" t="s">
        <v>75</v>
      </c>
      <c r="CG180" s="92" t="s">
        <v>75</v>
      </c>
      <c r="CH180" s="92" t="s">
        <v>120</v>
      </c>
      <c r="CI180" s="92" t="s">
        <v>38</v>
      </c>
      <c r="CJ180" s="92" t="s">
        <v>37</v>
      </c>
      <c r="CK180" s="92" t="s">
        <v>3</v>
      </c>
      <c r="CL180" s="92"/>
      <c r="CM180" s="92"/>
    </row>
    <row r="181" spans="2:91" ht="22.5" customHeight="1" outlineLevel="1" x14ac:dyDescent="0.35">
      <c r="C181" s="210" t="s">
        <v>261</v>
      </c>
      <c r="D181" s="211"/>
      <c r="F181" s="76" t="str">
        <f>IF(F179="Inget antal angivet","",IFERROR(INDEX($AP$180:$BX$204,MATCH(F$176,$AN$180:$AN$204,0),MATCH("Varumärke",$AP$180:$BX$180,0)),""))</f>
        <v/>
      </c>
      <c r="G181" s="77" t="str">
        <f ca="1">IFERROR(INDEX($AP$180:$BX$204,MATCH(G$176,$AN$180:$AN$204,0),MATCH("Varumärke",$AP$180:$BX$180,0)),"")</f>
        <v>Dell</v>
      </c>
      <c r="H181" s="77" t="str">
        <f ca="1">IFERROR(INDEX($AP$180:$BX$204,MATCH(H$176,$AN$180:$AN$204,0),MATCH("Varumärke",$AP$180:$BX$180,0)),"")</f>
        <v>HP</v>
      </c>
      <c r="I181" s="119" t="str">
        <f ca="1">IFERROR(INDEX($AP$180:$BX$204,MATCH(I$176,$AN$180:$AN$204,0),MATCH("Varumärke",$AP$180:$BX$180,0)),"")</f>
        <v>HP</v>
      </c>
      <c r="K181" s="185">
        <f t="shared" ref="K181:K186" ca="1" si="152">O181*$D$214</f>
        <v>0</v>
      </c>
      <c r="L181" s="185" t="b">
        <f t="shared" ref="L181:L186" si="153">IF($D$214=0,TRUE,IF(K181=0,FALSE,TRUE))</f>
        <v>1</v>
      </c>
      <c r="M181" s="185" t="s">
        <v>162</v>
      </c>
      <c r="N181" s="185" t="str">
        <f t="shared" ref="N181:N186" ca="1" si="154">INDEX($Z$181:$Z$192,MATCH(O181,$Y$181:$Y$192,0))</f>
        <v>Offererad produktnr. 05Advania Sverige AB</v>
      </c>
      <c r="O181" s="185" cm="1">
        <f t="array" aca="1" ref="O181" ca="1">MIN(IF(($BW$181:$BW$202=M181)*($AO$181:$AO$202=$O$178),$Y$181:$Y$202))</f>
        <v>3996</v>
      </c>
      <c r="P181" s="197">
        <f ca="1">SMALL($Y$181:$Y$204,1)</f>
        <v>2950</v>
      </c>
      <c r="Q181" s="185">
        <f t="shared" ref="Q181:Q190" si="155">SUM(R181:X181)</f>
        <v>0</v>
      </c>
      <c r="R181" s="185">
        <f t="shared" ref="R181:R190" si="156">IF($D$197="",0,BF181)</f>
        <v>0</v>
      </c>
      <c r="S181" s="185">
        <f t="shared" ref="S181:S190" si="157">IF($D$200="",0,BG181)</f>
        <v>0</v>
      </c>
      <c r="T181" s="185">
        <f t="shared" ref="T181:T190" si="158">IF($D$203="",0,BH181)</f>
        <v>0</v>
      </c>
      <c r="U181" s="185">
        <f t="shared" ref="U181:U190" si="159">IF($D$207="",0,BI181)</f>
        <v>0</v>
      </c>
      <c r="V181" s="185">
        <f t="shared" ref="V181:V190" si="160">IF($D$208="",0,BJ181)</f>
        <v>0</v>
      </c>
      <c r="W181" s="185">
        <f t="shared" ref="W181:W190" si="161">IF($D$209="",0,BK181)</f>
        <v>0</v>
      </c>
      <c r="X181" s="185">
        <f t="shared" ref="X181:X190" si="162">IF($D$210="",0,BL181)</f>
        <v>0</v>
      </c>
      <c r="Y181" s="185">
        <f t="shared" ref="Y181:Y190" ca="1" si="163">IF(Z181="","",SUM(BE181,R181:X181))</f>
        <v>3996</v>
      </c>
      <c r="Z181" s="185" t="str">
        <f t="shared" ref="Z181:Z190" si="164">IF(COUNTIF(AA181:AM181,FALSE)&gt;0,"",AN181)</f>
        <v>Offererad produktnr. 05Advania Sverige AB</v>
      </c>
      <c r="AA181" s="185" t="b">
        <f t="shared" ref="AA181:AA190" si="165">IF(" 1366x768"=$D$184,TRUE,IF($D$184=0,TRUE,IF($D$184=AP181,TRUE,FALSE)))</f>
        <v>1</v>
      </c>
      <c r="AB181" s="185" t="b">
        <f t="shared" ref="AB181:AB190" si="166">IF($D$185="",TRUE,IF(AQ181=$D$185,TRUE,FALSE))</f>
        <v>1</v>
      </c>
      <c r="AC181" s="185" t="b">
        <f t="shared" ref="AC181:AC190" si="167">IF($D$186="",TRUE,IF(AR181&gt;=$D$186,TRUE,FALSE))</f>
        <v>1</v>
      </c>
      <c r="AD181" s="185" t="b">
        <f t="shared" ref="AD181:AD190" si="168">IF($D$187="",TRUE,IF(AS181&gt;=$D$187,TRUE,FALSE))</f>
        <v>1</v>
      </c>
      <c r="AE181" s="185" t="b">
        <f>IF($D$183="",TRUE,IF(COUNTIF(Processor!$I$2:$I$9,$D$183)&gt;0,AND(AT181&gt;INDEX(Processor!$J$2:$J$9,MATCH($D$183,Processor!$I$2:$I$9,0)),AT181&lt;INDEX(Processor!$K$2:$K$9,MATCH($D$183,Processor!$I$2:$I$9,0))),IF(AT181=$D$183,TRUE,FALSE)))</f>
        <v>1</v>
      </c>
      <c r="AF181" s="185" t="b">
        <f t="shared" ref="AF181:AF190" si="169">IF($D$188="",TRUE,IF(AU181&gt;=$D$188,TRUE,FALSE))</f>
        <v>1</v>
      </c>
      <c r="AG181" s="185" t="b">
        <f t="shared" ref="AG181:AG190" si="170">IF($D$189="",TRUE,IF(AV181&gt;=$D$189,TRUE,FALSE))</f>
        <v>1</v>
      </c>
      <c r="AH181" s="185" t="b">
        <f t="shared" ref="AH181:AH190" si="171">IF($D$190="",TRUE,IF($D$190="802.11a/b/g/n/ac",TRUE,IF(AX181&gt;=$D$190,TRUE,FALSE)))</f>
        <v>1</v>
      </c>
      <c r="AI181" s="185" t="b">
        <f t="shared" ref="AI181:AI190" si="172">IF($D$191="",TRUE,IF(AY181&gt;=$D$191,TRUE,FALSE))</f>
        <v>1</v>
      </c>
      <c r="AJ181" s="185" t="b">
        <f>IFERROR(IF($D193="",TRUE,IF(MID(BA181,LEN(BA181)-2,1)*1&gt;=MID($D193,LEN($D193)-2,1)*1,TRUE,FALSE)),FALSE)</f>
        <v>1</v>
      </c>
      <c r="AK181" s="185"/>
      <c r="AL181" s="185"/>
      <c r="AM181" s="185"/>
      <c r="AN181" s="185" t="s">
        <v>202</v>
      </c>
      <c r="AO181" s="185">
        <v>1</v>
      </c>
      <c r="AP181" s="185" t="str">
        <f t="shared" ref="AP181:AY190" ca="1" si="173">IFERROR(INDEX(INDIRECT(AP$176&amp;"!$A$10:CC100000"),MATCH($AN181,INDIRECT(AP$176&amp;"!BH$10:BH100000"),0),MATCH(AP$178,INDIRECT(AP$176&amp;"!a10:CC10"),0)),"False")</f>
        <v>1366x768</v>
      </c>
      <c r="AQ181" s="185" t="str">
        <f t="shared" ca="1" si="173"/>
        <v>Intel Celeron</v>
      </c>
      <c r="AR181" s="185">
        <f t="shared" ca="1" si="173"/>
        <v>4</v>
      </c>
      <c r="AS181" s="185">
        <f t="shared" ca="1" si="173"/>
        <v>32</v>
      </c>
      <c r="AT181" s="185">
        <f t="shared" ca="1" si="173"/>
        <v>11.6</v>
      </c>
      <c r="AU181" s="185">
        <f t="shared" ca="1" si="173"/>
        <v>3</v>
      </c>
      <c r="AV181" s="185">
        <f t="shared" ca="1" si="173"/>
        <v>1</v>
      </c>
      <c r="AW181" s="185">
        <f t="shared" ca="1" si="173"/>
        <v>0</v>
      </c>
      <c r="AX181" s="185" t="str">
        <f t="shared" ca="1" si="173"/>
        <v>802.11a/b/g/n/ac</v>
      </c>
      <c r="AY181" s="185">
        <f t="shared" ca="1" si="173"/>
        <v>5</v>
      </c>
      <c r="AZ181" s="185">
        <f t="shared" ref="AZ181:BI190" ca="1" si="174">IFERROR(INDEX(INDIRECT(AZ$176&amp;"!$A$10:CC100000"),MATCH($AN181,INDIRECT(AZ$176&amp;"!BH$10:BH100000"),0),MATCH(AZ$178,INDIRECT(AZ$176&amp;"!a10:CC10"),0)),"False")</f>
        <v>11</v>
      </c>
      <c r="BA181" s="185" t="str">
        <f t="shared" ca="1" si="174"/>
        <v>Version 8.0</v>
      </c>
      <c r="BB181" s="185" t="str">
        <f t="shared" ca="1" si="174"/>
        <v>Ja</v>
      </c>
      <c r="BC181" s="185" t="str">
        <f t="shared" ca="1" si="174"/>
        <v>Google Chrome OS</v>
      </c>
      <c r="BD181" s="185" t="str">
        <f t="shared" ca="1" si="174"/>
        <v>ChromeBook 11 G9 EE</v>
      </c>
      <c r="BE181" s="185">
        <f t="shared" ca="1" si="174"/>
        <v>3996</v>
      </c>
      <c r="BF181" s="192">
        <f t="shared" ca="1" si="174"/>
        <v>64</v>
      </c>
      <c r="BG181" s="192">
        <f t="shared" ca="1" si="174"/>
        <v>213</v>
      </c>
      <c r="BH181" s="192">
        <f t="shared" ca="1" si="174"/>
        <v>251</v>
      </c>
      <c r="BI181" s="192">
        <f t="shared" ca="1" si="174"/>
        <v>594</v>
      </c>
      <c r="BJ181" s="192">
        <f t="shared" ref="BJ181:BT190" ca="1" si="175">IFERROR(INDEX(INDIRECT(BJ$176&amp;"!$A$10:CC100000"),MATCH($AN181,INDIRECT(BJ$176&amp;"!BH$10:BH100000"),0),MATCH(BJ$178,INDIRECT(BJ$176&amp;"!a10:CC10"),0)),"False")</f>
        <v>112</v>
      </c>
      <c r="BK181" s="192">
        <f t="shared" ca="1" si="175"/>
        <v>50</v>
      </c>
      <c r="BL181" s="192">
        <f t="shared" ca="1" si="175"/>
        <v>50</v>
      </c>
      <c r="BM181" s="192" t="str">
        <f t="shared" ca="1" si="175"/>
        <v>V7</v>
      </c>
      <c r="BN181" s="192" t="str">
        <f t="shared" ca="1" si="175"/>
        <v>PORT Designs</v>
      </c>
      <c r="BO181" s="192" t="str">
        <f t="shared" ca="1" si="175"/>
        <v>CoreParts</v>
      </c>
      <c r="BP181" s="192">
        <f t="shared" ca="1" si="175"/>
        <v>0</v>
      </c>
      <c r="BQ181" s="192" t="str">
        <f t="shared" ca="1" si="175"/>
        <v xml:space="preserve"> CSE12-BLK-3E  - Fodral för bärbar dator 12" - svart</v>
      </c>
      <c r="BR181" s="192" t="str">
        <f t="shared" ca="1" si="175"/>
        <v>900265 - Sekretessfilter till bärbar dator - 11.6" - guld</v>
      </c>
      <c r="BS181" s="192" t="str">
        <f t="shared" ca="1" si="175"/>
        <v>MBXUSBC-AC0005 - USB-C - strömadapter 45 Watt</v>
      </c>
      <c r="BT181" s="192">
        <f t="shared" ca="1" si="175"/>
        <v>0</v>
      </c>
      <c r="BU181" s="192"/>
      <c r="BV181" s="192"/>
      <c r="BW181" s="192" t="str">
        <f t="shared" ref="BW181:BX190" ca="1" si="176">IFERROR(INDEX(INDIRECT(BW$176&amp;"!$A$10:CC100000"),MATCH($AN181,INDIRECT(BW$176&amp;"!BH$10:BH100000"),0),MATCH(BW$178,INDIRECT(BW$176&amp;"!a10:CC10"),0)),"False")</f>
        <v>Advania Sverige AB</v>
      </c>
      <c r="BX181" s="192" t="str">
        <f t="shared" ca="1" si="176"/>
        <v>HP</v>
      </c>
      <c r="BY181" s="185" t="s">
        <v>706</v>
      </c>
      <c r="BZ181" s="185" t="s">
        <v>81</v>
      </c>
      <c r="CA181" s="185">
        <v>4</v>
      </c>
      <c r="CB181" s="185">
        <v>32</v>
      </c>
      <c r="CC181" s="191">
        <v>11.6</v>
      </c>
      <c r="CD181" s="185">
        <v>2</v>
      </c>
      <c r="CE181" s="185">
        <v>1</v>
      </c>
      <c r="CF181" s="185" t="s">
        <v>86</v>
      </c>
      <c r="CG181" s="186">
        <v>5</v>
      </c>
      <c r="CH181" s="186">
        <v>11</v>
      </c>
      <c r="CI181" s="185" t="s">
        <v>527</v>
      </c>
      <c r="CJ181" s="185" t="s">
        <v>69</v>
      </c>
      <c r="CK181" s="185" t="s">
        <v>82</v>
      </c>
      <c r="CL181" s="185"/>
      <c r="CM181" s="185"/>
    </row>
    <row r="182" spans="2:91" ht="22.5" customHeight="1" outlineLevel="1" x14ac:dyDescent="0.35">
      <c r="C182" s="61" t="s">
        <v>3</v>
      </c>
      <c r="D182" s="64"/>
      <c r="F182" s="78" t="str">
        <f t="shared" ref="F182:F194" si="177">IF(F$179="Inget antal angivet","",IFERROR(INDEX($AP$180:$BX$204,MATCH(F$176,$AN$180:$AN$204,0),MATCH($C182,$AP$180:$BX$180,0)),""))</f>
        <v/>
      </c>
      <c r="G182" s="79" t="str">
        <f t="shared" ref="G182:I194" ca="1" si="178">IFERROR(INDEX($AP$180:$BX$204,MATCH(G$176,$AN$180:$AN$204,0),MATCH($C182,$AP$180:$BX$180,0)),"")</f>
        <v>Google Chrome OS</v>
      </c>
      <c r="H182" s="79" t="str">
        <f t="shared" ca="1" si="178"/>
        <v>Google Chrome OS</v>
      </c>
      <c r="I182" s="120" t="str">
        <f t="shared" ca="1" si="178"/>
        <v>Google Chrome OS</v>
      </c>
      <c r="J182" s="62"/>
      <c r="K182" s="185">
        <f t="shared" ca="1" si="152"/>
        <v>0</v>
      </c>
      <c r="L182" s="185" t="b">
        <f t="shared" si="153"/>
        <v>1</v>
      </c>
      <c r="M182" s="185" t="s">
        <v>150</v>
      </c>
      <c r="N182" s="185" t="str">
        <f t="shared" ca="1" si="154"/>
        <v>Offererad produktnr. 05Atea Sverige AB</v>
      </c>
      <c r="O182" s="185" cm="1">
        <f t="array" aca="1" ref="O182" ca="1">MIN(IF(($BW$181:$BW$202=M182)*($AO$181:$AO$202=$O$178),$Y$181:$Y$202))</f>
        <v>4802</v>
      </c>
      <c r="P182" s="197">
        <f ca="1">SMALL($Y$181:$Y$204,2)</f>
        <v>3415</v>
      </c>
      <c r="Q182" s="185">
        <f t="shared" si="155"/>
        <v>0</v>
      </c>
      <c r="R182" s="185">
        <f t="shared" si="156"/>
        <v>0</v>
      </c>
      <c r="S182" s="185">
        <f t="shared" si="157"/>
        <v>0</v>
      </c>
      <c r="T182" s="185">
        <f t="shared" si="158"/>
        <v>0</v>
      </c>
      <c r="U182" s="185">
        <f t="shared" si="159"/>
        <v>0</v>
      </c>
      <c r="V182" s="185">
        <f t="shared" si="160"/>
        <v>0</v>
      </c>
      <c r="W182" s="185">
        <f t="shared" si="161"/>
        <v>0</v>
      </c>
      <c r="X182" s="185">
        <f t="shared" si="162"/>
        <v>0</v>
      </c>
      <c r="Y182" s="185">
        <f t="shared" ca="1" si="163"/>
        <v>4882</v>
      </c>
      <c r="Z182" s="185" t="str">
        <f t="shared" si="164"/>
        <v>Offererad produktnr. 06Advania Sverige AB</v>
      </c>
      <c r="AA182" s="185" t="b">
        <f t="shared" si="165"/>
        <v>1</v>
      </c>
      <c r="AB182" s="185" t="b">
        <f t="shared" si="166"/>
        <v>1</v>
      </c>
      <c r="AC182" s="185" t="b">
        <f t="shared" si="167"/>
        <v>1</v>
      </c>
      <c r="AD182" s="185" t="b">
        <f t="shared" si="168"/>
        <v>1</v>
      </c>
      <c r="AE182" s="185" t="b">
        <f>IF($D$183="",TRUE,IF(COUNTIF(Processor!$I$2:$I$9,$D$183)&gt;0,AND(AT182&gt;INDEX(Processor!$J$2:$J$9,MATCH($D$183,Processor!$I$2:$I$9,0)),AT182&lt;INDEX(Processor!$K$2:$K$9,MATCH($D$183,Processor!$I$2:$I$9,0))),IF(AT182=$D$183,TRUE,FALSE)))</f>
        <v>1</v>
      </c>
      <c r="AF182" s="185" t="b">
        <f t="shared" si="169"/>
        <v>1</v>
      </c>
      <c r="AG182" s="185" t="b">
        <f t="shared" si="170"/>
        <v>1</v>
      </c>
      <c r="AH182" s="185" t="b">
        <f t="shared" si="171"/>
        <v>1</v>
      </c>
      <c r="AI182" s="185" t="b">
        <f t="shared" si="172"/>
        <v>1</v>
      </c>
      <c r="AJ182" s="185" t="b">
        <f>IFERROR(IF($D193="",TRUE,IF(MID(BA182,LEN(BA182)-2,1)*1&gt;=MID($D193,LEN($D193)-2,1)*1,TRUE,FALSE)),FALSE)</f>
        <v>1</v>
      </c>
      <c r="AK182" s="185"/>
      <c r="AL182" s="185"/>
      <c r="AM182" s="185"/>
      <c r="AN182" s="185" t="s">
        <v>203</v>
      </c>
      <c r="AO182" s="185">
        <v>1</v>
      </c>
      <c r="AP182" s="185" t="str">
        <f t="shared" ca="1" si="173"/>
        <v>1920x1080</v>
      </c>
      <c r="AQ182" s="185" t="str">
        <f t="shared" ca="1" si="173"/>
        <v>Intel Celeron</v>
      </c>
      <c r="AR182" s="185">
        <f t="shared" ca="1" si="173"/>
        <v>8</v>
      </c>
      <c r="AS182" s="185">
        <f t="shared" ca="1" si="173"/>
        <v>64</v>
      </c>
      <c r="AT182" s="185">
        <f t="shared" ca="1" si="173"/>
        <v>14</v>
      </c>
      <c r="AU182" s="185">
        <f t="shared" ca="1" si="173"/>
        <v>3</v>
      </c>
      <c r="AV182" s="185">
        <f t="shared" ca="1" si="173"/>
        <v>1</v>
      </c>
      <c r="AW182" s="185">
        <f t="shared" ca="1" si="173"/>
        <v>0</v>
      </c>
      <c r="AX182" s="185" t="str">
        <f t="shared" ca="1" si="173"/>
        <v>802.11a/b/g/n/ac/ax</v>
      </c>
      <c r="AY182" s="185">
        <f t="shared" ca="1" si="173"/>
        <v>5</v>
      </c>
      <c r="AZ182" s="185">
        <f t="shared" ca="1" si="174"/>
        <v>11</v>
      </c>
      <c r="BA182" s="185" t="str">
        <f t="shared" ca="1" si="174"/>
        <v>Version 8.0</v>
      </c>
      <c r="BB182" s="185" t="str">
        <f t="shared" ca="1" si="174"/>
        <v>Ja</v>
      </c>
      <c r="BC182" s="185" t="str">
        <f t="shared" ca="1" si="174"/>
        <v>Google Chrome OS</v>
      </c>
      <c r="BD182" s="185" t="str">
        <f t="shared" ca="1" si="174"/>
        <v>Chromebook 14 G7</v>
      </c>
      <c r="BE182" s="185">
        <f t="shared" ca="1" si="174"/>
        <v>4882</v>
      </c>
      <c r="BF182" s="192">
        <f t="shared" ca="1" si="174"/>
        <v>60</v>
      </c>
      <c r="BG182" s="192">
        <f t="shared" ca="1" si="174"/>
        <v>218</v>
      </c>
      <c r="BH182" s="192">
        <f t="shared" ca="1" si="174"/>
        <v>251</v>
      </c>
      <c r="BI182" s="192">
        <f t="shared" ca="1" si="174"/>
        <v>244</v>
      </c>
      <c r="BJ182" s="192">
        <f t="shared" ca="1" si="175"/>
        <v>112</v>
      </c>
      <c r="BK182" s="192">
        <f t="shared" ca="1" si="175"/>
        <v>50</v>
      </c>
      <c r="BL182" s="192">
        <f t="shared" ca="1" si="175"/>
        <v>50</v>
      </c>
      <c r="BM182" s="192" t="str">
        <f t="shared" ca="1" si="175"/>
        <v>V7</v>
      </c>
      <c r="BN182" s="192" t="str">
        <f t="shared" ca="1" si="175"/>
        <v>PORT Designs</v>
      </c>
      <c r="BO182" s="192" t="str">
        <f t="shared" ca="1" si="175"/>
        <v>CoreParts</v>
      </c>
      <c r="BP182" s="192">
        <f t="shared" ca="1" si="175"/>
        <v>0</v>
      </c>
      <c r="BQ182" s="192" t="str">
        <f t="shared" ca="1" si="175"/>
        <v xml:space="preserve"> CSE14-BLK-3E  -Fodral för bärbar dator - 14" - svart</v>
      </c>
      <c r="BR182" s="192" t="str">
        <f t="shared" ca="1" si="175"/>
        <v>900003 - Professional - filter för personlig integritet - 14"</v>
      </c>
      <c r="BS182" s="192" t="str">
        <f t="shared" ca="1" si="175"/>
        <v>MBXUSBC-AC0005 - USB-C - strömadapter 45 Watt</v>
      </c>
      <c r="BT182" s="192">
        <f t="shared" ca="1" si="175"/>
        <v>0</v>
      </c>
      <c r="BU182" s="192"/>
      <c r="BV182" s="192"/>
      <c r="BW182" s="192" t="str">
        <f t="shared" ca="1" si="176"/>
        <v>Advania Sverige AB</v>
      </c>
      <c r="BX182" s="192" t="str">
        <f t="shared" ca="1" si="176"/>
        <v>HP</v>
      </c>
      <c r="BY182" s="185" t="s">
        <v>71</v>
      </c>
      <c r="BZ182" s="185" t="s">
        <v>696</v>
      </c>
      <c r="CA182" s="185">
        <v>8</v>
      </c>
      <c r="CB182" s="185">
        <v>64</v>
      </c>
      <c r="CC182" s="191">
        <v>14</v>
      </c>
      <c r="CD182" s="185">
        <v>3</v>
      </c>
      <c r="CE182" s="185">
        <v>2</v>
      </c>
      <c r="CF182" s="185" t="s">
        <v>79</v>
      </c>
      <c r="CG182" s="186">
        <v>5.0999999999999996</v>
      </c>
      <c r="CH182" s="186"/>
      <c r="CI182" s="185"/>
      <c r="CJ182" s="185"/>
      <c r="CK182" s="185"/>
      <c r="CL182" s="185"/>
      <c r="CM182" s="185"/>
    </row>
    <row r="183" spans="2:91" ht="22.5" customHeight="1" outlineLevel="1" x14ac:dyDescent="0.35">
      <c r="C183" s="61" t="s">
        <v>7</v>
      </c>
      <c r="D183" s="64"/>
      <c r="F183" s="78" t="str">
        <f t="shared" si="177"/>
        <v/>
      </c>
      <c r="G183" s="79">
        <f t="shared" ca="1" si="178"/>
        <v>11.6</v>
      </c>
      <c r="H183" s="79">
        <f t="shared" ca="1" si="178"/>
        <v>11.6</v>
      </c>
      <c r="I183" s="120">
        <f t="shared" ca="1" si="178"/>
        <v>14</v>
      </c>
      <c r="J183" s="62"/>
      <c r="K183" s="185">
        <f t="shared" ca="1" si="152"/>
        <v>0</v>
      </c>
      <c r="L183" s="185" t="b">
        <f t="shared" si="153"/>
        <v>1</v>
      </c>
      <c r="M183" s="185" t="s">
        <v>128</v>
      </c>
      <c r="N183" s="185" t="str">
        <f t="shared" ca="1" si="154"/>
        <v>Offererad produktnr. 05Dustin Sverige AB</v>
      </c>
      <c r="O183" s="185" cm="1">
        <f t="array" aca="1" ref="O183" ca="1">MIN(IF(($BW$181:$BW$202=M183)*($AO$181:$AO$202=$O$178),$Y$181:$Y$202))</f>
        <v>3415</v>
      </c>
      <c r="P183" s="197">
        <f ca="1">SMALL($Y$181:$Y$204,3)</f>
        <v>3610</v>
      </c>
      <c r="Q183" s="185">
        <f t="shared" si="155"/>
        <v>0</v>
      </c>
      <c r="R183" s="185">
        <f t="shared" si="156"/>
        <v>0</v>
      </c>
      <c r="S183" s="185">
        <f t="shared" si="157"/>
        <v>0</v>
      </c>
      <c r="T183" s="185">
        <f t="shared" si="158"/>
        <v>0</v>
      </c>
      <c r="U183" s="185">
        <f t="shared" si="159"/>
        <v>0</v>
      </c>
      <c r="V183" s="185">
        <f t="shared" si="160"/>
        <v>0</v>
      </c>
      <c r="W183" s="185">
        <f t="shared" si="161"/>
        <v>0</v>
      </c>
      <c r="X183" s="185">
        <f t="shared" si="162"/>
        <v>0</v>
      </c>
      <c r="Y183" s="185">
        <f t="shared" ca="1" si="163"/>
        <v>4802</v>
      </c>
      <c r="Z183" s="185" t="str">
        <f t="shared" si="164"/>
        <v>Offererad produktnr. 05Atea Sverige AB</v>
      </c>
      <c r="AA183" s="185" t="b">
        <f t="shared" si="165"/>
        <v>1</v>
      </c>
      <c r="AB183" s="185" t="b">
        <f t="shared" si="166"/>
        <v>1</v>
      </c>
      <c r="AC183" s="185" t="b">
        <f t="shared" si="167"/>
        <v>1</v>
      </c>
      <c r="AD183" s="185" t="b">
        <f t="shared" si="168"/>
        <v>1</v>
      </c>
      <c r="AE183" s="185" t="b">
        <f>IF($D$183="",TRUE,IF(COUNTIF(Processor!$I$2:$I$9,$D$183)&gt;0,AND(AT183&gt;INDEX(Processor!$J$2:$J$9,MATCH($D$183,Processor!$I$2:$I$9,0)),AT183&lt;INDEX(Processor!$K$2:$K$9,MATCH($D$183,Processor!$I$2:$I$9,0))),IF(AT183=$D$183,TRUE,FALSE)))</f>
        <v>1</v>
      </c>
      <c r="AF183" s="185" t="b">
        <f t="shared" si="169"/>
        <v>1</v>
      </c>
      <c r="AG183" s="185" t="b">
        <f t="shared" si="170"/>
        <v>1</v>
      </c>
      <c r="AH183" s="185" t="b">
        <f t="shared" si="171"/>
        <v>1</v>
      </c>
      <c r="AI183" s="185" t="b">
        <f t="shared" si="172"/>
        <v>1</v>
      </c>
      <c r="AJ183" s="185" t="b">
        <f>IFERROR(IF($D193="",TRUE,IF(MID(BA183,LEN(BA183)-2,1)*1&gt;=MID($D193,LEN($D193)-2,1)*1,TRUE,FALSE)),FALSE)</f>
        <v>1</v>
      </c>
      <c r="AK183" s="185"/>
      <c r="AL183" s="185"/>
      <c r="AM183" s="185"/>
      <c r="AN183" s="185" t="s">
        <v>190</v>
      </c>
      <c r="AO183" s="185">
        <v>1</v>
      </c>
      <c r="AP183" s="185" t="str">
        <f t="shared" ca="1" si="173"/>
        <v>1366x768</v>
      </c>
      <c r="AQ183" s="185" t="str">
        <f t="shared" ca="1" si="173"/>
        <v>Intel Celeron</v>
      </c>
      <c r="AR183" s="185">
        <f t="shared" ca="1" si="173"/>
        <v>4</v>
      </c>
      <c r="AS183" s="185">
        <f t="shared" ca="1" si="173"/>
        <v>32</v>
      </c>
      <c r="AT183" s="185">
        <f t="shared" ca="1" si="173"/>
        <v>11.6</v>
      </c>
      <c r="AU183" s="185">
        <f t="shared" ca="1" si="173"/>
        <v>2</v>
      </c>
      <c r="AV183" s="185">
        <f t="shared" ca="1" si="173"/>
        <v>1</v>
      </c>
      <c r="AW183" s="185">
        <f t="shared" ca="1" si="173"/>
        <v>0</v>
      </c>
      <c r="AX183" s="185" t="str">
        <f t="shared" ca="1" si="173"/>
        <v>802.11a/b/g/n/ac/ax</v>
      </c>
      <c r="AY183" s="185">
        <f t="shared" ca="1" si="173"/>
        <v>5.0999999999999996</v>
      </c>
      <c r="AZ183" s="185">
        <f t="shared" ca="1" si="174"/>
        <v>11</v>
      </c>
      <c r="BA183" s="185" t="str">
        <f t="shared" ca="1" si="174"/>
        <v>Version 8.0</v>
      </c>
      <c r="BB183" s="185" t="str">
        <f t="shared" ca="1" si="174"/>
        <v>Ja</v>
      </c>
      <c r="BC183" s="185" t="str">
        <f t="shared" ca="1" si="174"/>
        <v>Google Chrome OS</v>
      </c>
      <c r="BD183" s="185" t="str">
        <f t="shared" ca="1" si="174"/>
        <v>100e Chr Gen3</v>
      </c>
      <c r="BE183" s="185">
        <f t="shared" ca="1" si="174"/>
        <v>4802</v>
      </c>
      <c r="BF183" s="192">
        <f t="shared" ca="1" si="174"/>
        <v>145</v>
      </c>
      <c r="BG183" s="192">
        <f t="shared" ca="1" si="174"/>
        <v>431</v>
      </c>
      <c r="BH183" s="192">
        <f t="shared" ca="1" si="174"/>
        <v>361</v>
      </c>
      <c r="BI183" s="192">
        <f t="shared" ca="1" si="174"/>
        <v>728</v>
      </c>
      <c r="BJ183" s="192">
        <f t="shared" ca="1" si="175"/>
        <v>120</v>
      </c>
      <c r="BK183" s="192">
        <f t="shared" ca="1" si="175"/>
        <v>85</v>
      </c>
      <c r="BL183" s="192">
        <f t="shared" ca="1" si="175"/>
        <v>100</v>
      </c>
      <c r="BM183" s="192" t="str">
        <f t="shared" ca="1" si="175"/>
        <v xml:space="preserve">Lenovo </v>
      </c>
      <c r="BN183" s="192" t="str">
        <f t="shared" ca="1" si="175"/>
        <v>Lenovo</v>
      </c>
      <c r="BO183" s="192" t="str">
        <f t="shared" ca="1" si="175"/>
        <v>Lenovo</v>
      </c>
      <c r="BP183" s="192">
        <f t="shared" ca="1" si="175"/>
        <v>0</v>
      </c>
      <c r="BQ183" s="192" t="str">
        <f t="shared" ca="1" si="175"/>
        <v>Basic Sleeve 11"</v>
      </c>
      <c r="BR183" s="192" t="str">
        <f t="shared" ca="1" si="175"/>
        <v>Lenovo 11.6" Privacy Filter</v>
      </c>
      <c r="BS183" s="192" t="str">
        <f t="shared" ca="1" si="175"/>
        <v>Power adapter USB-C 45w</v>
      </c>
      <c r="BT183" s="192">
        <f t="shared" ca="1" si="175"/>
        <v>0</v>
      </c>
      <c r="BU183" s="192"/>
      <c r="BV183" s="192"/>
      <c r="BW183" s="192" t="str">
        <f t="shared" ca="1" si="176"/>
        <v>Atea Sverige AB</v>
      </c>
      <c r="BX183" s="192" t="str">
        <f t="shared" ca="1" si="176"/>
        <v>Lenovo</v>
      </c>
      <c r="BY183" s="185"/>
      <c r="BZ183" s="185"/>
      <c r="CA183" s="185"/>
      <c r="CB183" s="185"/>
      <c r="CC183" s="185"/>
      <c r="CD183" s="185">
        <v>4</v>
      </c>
      <c r="CE183" s="185"/>
      <c r="CF183" s="185"/>
      <c r="CG183" s="186"/>
      <c r="CH183" s="186"/>
      <c r="CI183" s="185"/>
      <c r="CJ183" s="185"/>
      <c r="CK183" s="185"/>
      <c r="CL183" s="185"/>
      <c r="CM183" s="185"/>
    </row>
    <row r="184" spans="2:91" ht="22.5" customHeight="1" outlineLevel="1" x14ac:dyDescent="0.35">
      <c r="C184" s="61" t="s">
        <v>2</v>
      </c>
      <c r="D184" s="64"/>
      <c r="F184" s="78" t="str">
        <f t="shared" si="177"/>
        <v/>
      </c>
      <c r="G184" s="79" t="str">
        <f t="shared" ca="1" si="178"/>
        <v>1366x768</v>
      </c>
      <c r="H184" s="79" t="str">
        <f t="shared" ca="1" si="178"/>
        <v>1366x768</v>
      </c>
      <c r="I184" s="120" t="str">
        <f t="shared" ca="1" si="178"/>
        <v>1920x1080</v>
      </c>
      <c r="J184" s="62"/>
      <c r="K184" s="185">
        <f t="shared" ca="1" si="152"/>
        <v>0</v>
      </c>
      <c r="L184" s="185" t="b">
        <f t="shared" si="153"/>
        <v>1</v>
      </c>
      <c r="M184" s="185" t="s">
        <v>169</v>
      </c>
      <c r="N184" s="185" t="str">
        <f t="shared" ca="1" si="154"/>
        <v>Offererad produktnr. 05Foxway Education AB</v>
      </c>
      <c r="O184" s="185" cm="1">
        <f t="array" aca="1" ref="O184" ca="1">MIN(IF(($BW$181:$BW$202=M184)*($AO$181:$AO$202=$O$178),$Y$181:$Y$202))</f>
        <v>3636</v>
      </c>
      <c r="P184" s="197"/>
      <c r="Q184" s="185">
        <f t="shared" si="155"/>
        <v>0</v>
      </c>
      <c r="R184" s="185">
        <f t="shared" si="156"/>
        <v>0</v>
      </c>
      <c r="S184" s="185">
        <f t="shared" si="157"/>
        <v>0</v>
      </c>
      <c r="T184" s="185">
        <f t="shared" si="158"/>
        <v>0</v>
      </c>
      <c r="U184" s="185">
        <f t="shared" si="159"/>
        <v>0</v>
      </c>
      <c r="V184" s="185">
        <f t="shared" si="160"/>
        <v>0</v>
      </c>
      <c r="W184" s="185">
        <f t="shared" si="161"/>
        <v>0</v>
      </c>
      <c r="X184" s="185">
        <f t="shared" si="162"/>
        <v>0</v>
      </c>
      <c r="Y184" s="185">
        <f t="shared" ca="1" si="163"/>
        <v>6392</v>
      </c>
      <c r="Z184" s="185" t="str">
        <f t="shared" si="164"/>
        <v>Offererad produktnr. 06Atea Sverige AB</v>
      </c>
      <c r="AA184" s="185" t="b">
        <f t="shared" si="165"/>
        <v>1</v>
      </c>
      <c r="AB184" s="185" t="b">
        <f t="shared" si="166"/>
        <v>1</v>
      </c>
      <c r="AC184" s="185" t="b">
        <f t="shared" si="167"/>
        <v>1</v>
      </c>
      <c r="AD184" s="185" t="b">
        <f t="shared" si="168"/>
        <v>1</v>
      </c>
      <c r="AE184" s="185" t="b">
        <f>IF($D$183="",TRUE,IF(COUNTIF(Processor!$I$2:$I$9,$D$183)&gt;0,AND(AT184&gt;INDEX(Processor!$J$2:$J$9,MATCH($D$183,Processor!$I$2:$I$9,0)),AT184&lt;INDEX(Processor!$K$2:$K$9,MATCH($D$183,Processor!$I$2:$I$9,0))),IF(AT184=$D$183,TRUE,FALSE)))</f>
        <v>1</v>
      </c>
      <c r="AF184" s="185" t="b">
        <f t="shared" si="169"/>
        <v>1</v>
      </c>
      <c r="AG184" s="185" t="b">
        <f t="shared" si="170"/>
        <v>1</v>
      </c>
      <c r="AH184" s="185" t="b">
        <f t="shared" si="171"/>
        <v>1</v>
      </c>
      <c r="AI184" s="185" t="b">
        <f t="shared" si="172"/>
        <v>1</v>
      </c>
      <c r="AJ184" s="185" t="b">
        <f>IFERROR(IF($D193="",TRUE,IF(MID(BA184,LEN(BA184)-2,1)*1&gt;=MID($D193,LEN($D193)-2,1)*1,TRUE,FALSE)),FALSE)</f>
        <v>1</v>
      </c>
      <c r="AK184" s="185"/>
      <c r="AL184" s="185"/>
      <c r="AM184" s="185"/>
      <c r="AN184" s="185" t="s">
        <v>191</v>
      </c>
      <c r="AO184" s="185">
        <v>1</v>
      </c>
      <c r="AP184" s="185" t="str">
        <f t="shared" ca="1" si="173"/>
        <v>1920x1080</v>
      </c>
      <c r="AQ184" s="185" t="str">
        <f t="shared" ca="1" si="173"/>
        <v>Intel Celeron</v>
      </c>
      <c r="AR184" s="185">
        <f t="shared" ca="1" si="173"/>
        <v>8</v>
      </c>
      <c r="AS184" s="185">
        <f t="shared" ca="1" si="173"/>
        <v>64</v>
      </c>
      <c r="AT184" s="185">
        <f t="shared" ca="1" si="173"/>
        <v>14</v>
      </c>
      <c r="AU184" s="185">
        <f t="shared" ca="1" si="173"/>
        <v>3</v>
      </c>
      <c r="AV184" s="185">
        <f t="shared" ca="1" si="173"/>
        <v>1</v>
      </c>
      <c r="AW184" s="185">
        <f t="shared" ca="1" si="173"/>
        <v>0</v>
      </c>
      <c r="AX184" s="185" t="str">
        <f t="shared" ca="1" si="173"/>
        <v>802.11a/b/g/n/ac/ax</v>
      </c>
      <c r="AY184" s="185">
        <f t="shared" ca="1" si="173"/>
        <v>5</v>
      </c>
      <c r="AZ184" s="185">
        <f t="shared" ca="1" si="174"/>
        <v>11</v>
      </c>
      <c r="BA184" s="185" t="str">
        <f t="shared" ca="1" si="174"/>
        <v>Version 8.0</v>
      </c>
      <c r="BB184" s="185" t="str">
        <f t="shared" ca="1" si="174"/>
        <v>Ja</v>
      </c>
      <c r="BC184" s="185" t="str">
        <f t="shared" ca="1" si="174"/>
        <v>Google Chrome OS</v>
      </c>
      <c r="BD184" s="185" t="str">
        <f t="shared" ca="1" si="174"/>
        <v>Chromebook 14 G7</v>
      </c>
      <c r="BE184" s="185">
        <f t="shared" ca="1" si="174"/>
        <v>6392</v>
      </c>
      <c r="BF184" s="192">
        <f t="shared" ca="1" si="174"/>
        <v>134</v>
      </c>
      <c r="BG184" s="192">
        <f t="shared" ca="1" si="174"/>
        <v>449</v>
      </c>
      <c r="BH184" s="192">
        <f t="shared" ca="1" si="174"/>
        <v>389</v>
      </c>
      <c r="BI184" s="192">
        <f t="shared" ca="1" si="174"/>
        <v>276</v>
      </c>
      <c r="BJ184" s="192">
        <f t="shared" ca="1" si="175"/>
        <v>120</v>
      </c>
      <c r="BK184" s="192">
        <f t="shared" ca="1" si="175"/>
        <v>85</v>
      </c>
      <c r="BL184" s="192">
        <f t="shared" ca="1" si="175"/>
        <v>100</v>
      </c>
      <c r="BM184" s="192" t="str">
        <f t="shared" ca="1" si="175"/>
        <v>DELTACO</v>
      </c>
      <c r="BN184" s="192" t="str">
        <f t="shared" ca="1" si="175"/>
        <v>Targus</v>
      </c>
      <c r="BO184" s="192" t="str">
        <f t="shared" ca="1" si="175"/>
        <v>HP</v>
      </c>
      <c r="BP184" s="192">
        <f t="shared" ca="1" si="175"/>
        <v>0</v>
      </c>
      <c r="BQ184" s="192" t="str">
        <f t="shared" ca="1" si="175"/>
        <v xml:space="preserve">Fodral för bärbar dator </v>
      </c>
      <c r="BR184" s="192" t="str">
        <f t="shared" ca="1" si="175"/>
        <v>Targus Privacy Screen 14"</v>
      </c>
      <c r="BS184" s="192" t="str">
        <f t="shared" ca="1" si="175"/>
        <v>HP 45W USB-C Power Adapter G2</v>
      </c>
      <c r="BT184" s="192">
        <f t="shared" ca="1" si="175"/>
        <v>0</v>
      </c>
      <c r="BU184" s="192"/>
      <c r="BV184" s="192"/>
      <c r="BW184" s="192" t="str">
        <f t="shared" ca="1" si="176"/>
        <v>Atea Sverige AB</v>
      </c>
      <c r="BX184" s="192" t="str">
        <f t="shared" ca="1" si="176"/>
        <v>HP</v>
      </c>
      <c r="BY184" s="185"/>
      <c r="BZ184" s="185"/>
      <c r="CA184" s="185"/>
      <c r="CB184" s="185"/>
      <c r="CC184" s="185"/>
      <c r="CD184" s="185"/>
      <c r="CE184" s="185"/>
      <c r="CF184" s="185"/>
      <c r="CG184" s="186"/>
      <c r="CH184" s="186"/>
      <c r="CI184" s="185"/>
      <c r="CJ184" s="185"/>
      <c r="CK184" s="185"/>
      <c r="CL184" s="185"/>
      <c r="CM184" s="185"/>
    </row>
    <row r="185" spans="2:91" ht="22.5" customHeight="1" outlineLevel="1" x14ac:dyDescent="0.35">
      <c r="C185" s="61" t="s">
        <v>4</v>
      </c>
      <c r="D185" s="64"/>
      <c r="F185" s="78" t="str">
        <f t="shared" si="177"/>
        <v/>
      </c>
      <c r="G185" s="79" t="str">
        <f t="shared" ca="1" si="178"/>
        <v>Intel Celeron</v>
      </c>
      <c r="H185" s="79" t="str">
        <f t="shared" ca="1" si="178"/>
        <v>Intel Celeron</v>
      </c>
      <c r="I185" s="120" t="str">
        <f t="shared" ca="1" si="178"/>
        <v>Intel Celeron</v>
      </c>
      <c r="J185" s="62"/>
      <c r="K185" s="185">
        <f t="shared" ca="1" si="152"/>
        <v>0</v>
      </c>
      <c r="L185" s="185" t="b">
        <f t="shared" si="153"/>
        <v>1</v>
      </c>
      <c r="M185" s="185" t="s">
        <v>167</v>
      </c>
      <c r="N185" s="185" t="e">
        <f t="shared" ca="1" si="154"/>
        <v>#N/A</v>
      </c>
      <c r="O185" s="185" cm="1">
        <f t="array" aca="1" ref="O185" ca="1">MIN(IF(($BW$181:$BW$202=M185)*($AO$181:$AO$202=$O$178),$Y$181:$Y$202))</f>
        <v>0</v>
      </c>
      <c r="P185" s="197"/>
      <c r="Q185" s="185">
        <f t="shared" si="155"/>
        <v>0</v>
      </c>
      <c r="R185" s="185">
        <f t="shared" si="156"/>
        <v>0</v>
      </c>
      <c r="S185" s="185">
        <f t="shared" si="157"/>
        <v>0</v>
      </c>
      <c r="T185" s="185">
        <f t="shared" si="158"/>
        <v>0</v>
      </c>
      <c r="U185" s="185">
        <f t="shared" si="159"/>
        <v>0</v>
      </c>
      <c r="V185" s="185">
        <f t="shared" si="160"/>
        <v>0</v>
      </c>
      <c r="W185" s="185">
        <f t="shared" si="161"/>
        <v>0</v>
      </c>
      <c r="X185" s="185">
        <f t="shared" si="162"/>
        <v>0</v>
      </c>
      <c r="Y185" s="185">
        <f t="shared" ca="1" si="163"/>
        <v>3415</v>
      </c>
      <c r="Z185" s="185" t="str">
        <f t="shared" si="164"/>
        <v>Offererad produktnr. 05Dustin Sverige AB</v>
      </c>
      <c r="AA185" s="185" t="b">
        <f t="shared" si="165"/>
        <v>1</v>
      </c>
      <c r="AB185" s="185" t="b">
        <f t="shared" si="166"/>
        <v>1</v>
      </c>
      <c r="AC185" s="185" t="b">
        <f t="shared" si="167"/>
        <v>1</v>
      </c>
      <c r="AD185" s="185" t="b">
        <f t="shared" si="168"/>
        <v>1</v>
      </c>
      <c r="AE185" s="185" t="b">
        <f>IF($D$183="",TRUE,IF(COUNTIF(Processor!$I$2:$I$9,$D$183)&gt;0,AND(AT185&gt;INDEX(Processor!$J$2:$J$9,MATCH($D$183,Processor!$I$2:$I$9,0)),AT185&lt;INDEX(Processor!$K$2:$K$9,MATCH($D$183,Processor!$I$2:$I$9,0))),IF(AT185=$D$183,TRUE,FALSE)))</f>
        <v>1</v>
      </c>
      <c r="AF185" s="185" t="b">
        <f t="shared" si="169"/>
        <v>1</v>
      </c>
      <c r="AG185" s="185" t="b">
        <f t="shared" si="170"/>
        <v>1</v>
      </c>
      <c r="AH185" s="185" t="b">
        <f t="shared" si="171"/>
        <v>1</v>
      </c>
      <c r="AI185" s="185" t="b">
        <f t="shared" si="172"/>
        <v>1</v>
      </c>
      <c r="AJ185" s="185" t="b">
        <f>IFERROR(IF($D193="",TRUE,IF(MID(BA185,LEN(BA185)-2,1)*1&gt;=MID($D193,LEN($D193)-2,1)*1,TRUE,FALSE)),FALSE)</f>
        <v>1</v>
      </c>
      <c r="AK185" s="185"/>
      <c r="AL185" s="185"/>
      <c r="AM185" s="185"/>
      <c r="AN185" s="185" t="s">
        <v>178</v>
      </c>
      <c r="AO185" s="185">
        <v>1</v>
      </c>
      <c r="AP185" s="185" t="str">
        <f t="shared" ca="1" si="173"/>
        <v>1366x768</v>
      </c>
      <c r="AQ185" s="185" t="str">
        <f t="shared" ca="1" si="173"/>
        <v>Intel Celeron</v>
      </c>
      <c r="AR185" s="185">
        <f t="shared" ca="1" si="173"/>
        <v>4</v>
      </c>
      <c r="AS185" s="185">
        <f t="shared" ca="1" si="173"/>
        <v>32</v>
      </c>
      <c r="AT185" s="185">
        <f t="shared" ca="1" si="173"/>
        <v>11.6</v>
      </c>
      <c r="AU185" s="185">
        <f t="shared" ca="1" si="173"/>
        <v>4</v>
      </c>
      <c r="AV185" s="185">
        <f t="shared" ca="1" si="173"/>
        <v>2</v>
      </c>
      <c r="AW185" s="185">
        <f t="shared" ca="1" si="173"/>
        <v>0</v>
      </c>
      <c r="AX185" s="185" t="str">
        <f t="shared" ca="1" si="173"/>
        <v>802.11a/b/g/n/ac/ax</v>
      </c>
      <c r="AY185" s="185">
        <f t="shared" ca="1" si="173"/>
        <v>5</v>
      </c>
      <c r="AZ185" s="185">
        <f t="shared" ca="1" si="174"/>
        <v>11</v>
      </c>
      <c r="BA185" s="185" t="str">
        <f t="shared" ca="1" si="174"/>
        <v>Version 8.0</v>
      </c>
      <c r="BB185" s="185" t="str">
        <f t="shared" ca="1" si="174"/>
        <v>Ja</v>
      </c>
      <c r="BC185" s="185" t="str">
        <f t="shared" ca="1" si="174"/>
        <v>Google Chrome OS</v>
      </c>
      <c r="BD185" s="185" t="str">
        <f t="shared" ca="1" si="174"/>
        <v>ChromeBook 11 G9 EE</v>
      </c>
      <c r="BE185" s="185">
        <f t="shared" ca="1" si="174"/>
        <v>3415</v>
      </c>
      <c r="BF185" s="192">
        <f t="shared" ca="1" si="174"/>
        <v>87</v>
      </c>
      <c r="BG185" s="192">
        <f t="shared" ca="1" si="174"/>
        <v>123</v>
      </c>
      <c r="BH185" s="192">
        <f t="shared" ca="1" si="174"/>
        <v>249</v>
      </c>
      <c r="BI185" s="192">
        <f t="shared" ca="1" si="174"/>
        <v>131</v>
      </c>
      <c r="BJ185" s="192">
        <f t="shared" ca="1" si="175"/>
        <v>133</v>
      </c>
      <c r="BK185" s="192">
        <f t="shared" ca="1" si="175"/>
        <v>20</v>
      </c>
      <c r="BL185" s="192">
        <f t="shared" ca="1" si="175"/>
        <v>20</v>
      </c>
      <c r="BM185" s="192" t="str">
        <f t="shared" ca="1" si="175"/>
        <v>Cirafon</v>
      </c>
      <c r="BN185" s="192" t="str">
        <f t="shared" ca="1" si="175"/>
        <v>Cirafon</v>
      </c>
      <c r="BO185" s="192" t="str">
        <f t="shared" ca="1" si="175"/>
        <v>HP</v>
      </c>
      <c r="BP185" s="192">
        <f t="shared" ca="1" si="175"/>
        <v>0</v>
      </c>
      <c r="BQ185" s="192" t="str">
        <f t="shared" ca="1" si="175"/>
        <v>LSN9117-11</v>
      </c>
      <c r="BR185" s="192" t="str">
        <f t="shared" ca="1" si="175"/>
        <v>DPF11.6-9</v>
      </c>
      <c r="BS185" s="192" t="str">
        <f t="shared" ca="1" si="175"/>
        <v>1MZ01AA</v>
      </c>
      <c r="BT185" s="192">
        <f t="shared" ca="1" si="175"/>
        <v>0</v>
      </c>
      <c r="BU185" s="192"/>
      <c r="BV185" s="192"/>
      <c r="BW185" s="192" t="str">
        <f t="shared" ca="1" si="176"/>
        <v>Dustin Sverige AB</v>
      </c>
      <c r="BX185" s="192" t="str">
        <f t="shared" ca="1" si="176"/>
        <v>HP</v>
      </c>
      <c r="BY185" s="185"/>
      <c r="BZ185" s="185"/>
      <c r="CA185" s="185"/>
      <c r="CB185" s="185"/>
      <c r="CC185" s="185">
        <v>0</v>
      </c>
      <c r="CD185" s="185"/>
      <c r="CE185" s="185"/>
      <c r="CF185" s="185"/>
      <c r="CG185" s="186">
        <v>0</v>
      </c>
      <c r="CH185" s="185"/>
      <c r="CI185" s="185"/>
      <c r="CJ185" s="185"/>
      <c r="CK185" s="185"/>
      <c r="CL185" s="185"/>
      <c r="CM185" s="185"/>
    </row>
    <row r="186" spans="2:91" ht="22.5" customHeight="1" outlineLevel="1" x14ac:dyDescent="0.35">
      <c r="C186" s="61" t="s">
        <v>119</v>
      </c>
      <c r="D186" s="64"/>
      <c r="F186" s="78" t="str">
        <f t="shared" si="177"/>
        <v/>
      </c>
      <c r="G186" s="79">
        <f t="shared" ca="1" si="178"/>
        <v>4</v>
      </c>
      <c r="H186" s="79">
        <f t="shared" ca="1" si="178"/>
        <v>4</v>
      </c>
      <c r="I186" s="120">
        <f t="shared" ca="1" si="178"/>
        <v>8</v>
      </c>
      <c r="J186" s="62"/>
      <c r="K186" s="185">
        <f t="shared" ca="1" si="152"/>
        <v>0</v>
      </c>
      <c r="L186" s="185" t="b">
        <f t="shared" si="153"/>
        <v>1</v>
      </c>
      <c r="M186" s="185" t="s">
        <v>546</v>
      </c>
      <c r="N186" s="185" t="str">
        <f t="shared" ca="1" si="154"/>
        <v>Offererad produktnr. 05Qlosr Göteborg AB</v>
      </c>
      <c r="O186" s="185" cm="1">
        <f t="array" aca="1" ref="O186" ca="1">MIN(IF(($BW$181:$BW$202=M186)*($AO$181:$AO$202=$O$178),$Y$181:$Y$202))</f>
        <v>2950</v>
      </c>
      <c r="P186" s="197"/>
      <c r="Q186" s="185">
        <f t="shared" si="155"/>
        <v>0</v>
      </c>
      <c r="R186" s="185">
        <f t="shared" si="156"/>
        <v>0</v>
      </c>
      <c r="S186" s="185">
        <f t="shared" si="157"/>
        <v>0</v>
      </c>
      <c r="T186" s="185">
        <f t="shared" si="158"/>
        <v>0</v>
      </c>
      <c r="U186" s="185">
        <f t="shared" si="159"/>
        <v>0</v>
      </c>
      <c r="V186" s="185">
        <f t="shared" si="160"/>
        <v>0</v>
      </c>
      <c r="W186" s="185">
        <f t="shared" si="161"/>
        <v>0</v>
      </c>
      <c r="X186" s="185">
        <f t="shared" si="162"/>
        <v>0</v>
      </c>
      <c r="Y186" s="185">
        <f t="shared" ca="1" si="163"/>
        <v>4088</v>
      </c>
      <c r="Z186" s="185" t="str">
        <f t="shared" si="164"/>
        <v>Offererad produktnr. 06Dustin Sverige AB</v>
      </c>
      <c r="AA186" s="185" t="b">
        <f t="shared" si="165"/>
        <v>1</v>
      </c>
      <c r="AB186" s="185" t="b">
        <f t="shared" si="166"/>
        <v>1</v>
      </c>
      <c r="AC186" s="185" t="b">
        <f t="shared" si="167"/>
        <v>1</v>
      </c>
      <c r="AD186" s="185" t="b">
        <f t="shared" si="168"/>
        <v>1</v>
      </c>
      <c r="AE186" s="185" t="b">
        <f>IF($D$183="",TRUE,IF(COUNTIF(Processor!$I$2:$I$9,$D$183)&gt;0,AND(AT186&gt;INDEX(Processor!$J$2:$J$9,MATCH($D$183,Processor!$I$2:$I$9,0)),AT186&lt;INDEX(Processor!$K$2:$K$9,MATCH($D$183,Processor!$I$2:$I$9,0))),IF(AT186=$D$183,TRUE,FALSE)))</f>
        <v>1</v>
      </c>
      <c r="AF186" s="185" t="b">
        <f t="shared" si="169"/>
        <v>1</v>
      </c>
      <c r="AG186" s="185" t="b">
        <f t="shared" si="170"/>
        <v>1</v>
      </c>
      <c r="AH186" s="185" t="b">
        <f t="shared" si="171"/>
        <v>1</v>
      </c>
      <c r="AI186" s="185" t="b">
        <f t="shared" si="172"/>
        <v>1</v>
      </c>
      <c r="AJ186" s="185" t="b">
        <f>IFERROR(IF($D193="",TRUE,IF(MID(BA186,LEN(BA186)-2,1)*1&gt;=MID($D193,LEN($D193)-2,1)*1,TRUE,FALSE)),FALSE)</f>
        <v>1</v>
      </c>
      <c r="AK186" s="185"/>
      <c r="AL186" s="185"/>
      <c r="AM186" s="185"/>
      <c r="AN186" s="185" t="s">
        <v>179</v>
      </c>
      <c r="AO186" s="185">
        <v>1</v>
      </c>
      <c r="AP186" s="185" t="str">
        <f t="shared" ca="1" si="173"/>
        <v>1920x1080</v>
      </c>
      <c r="AQ186" s="185" t="str">
        <f t="shared" ca="1" si="173"/>
        <v>Intel Celeron</v>
      </c>
      <c r="AR186" s="185">
        <f t="shared" ca="1" si="173"/>
        <v>8</v>
      </c>
      <c r="AS186" s="185">
        <f t="shared" ca="1" si="173"/>
        <v>64</v>
      </c>
      <c r="AT186" s="185">
        <f t="shared" ca="1" si="173"/>
        <v>14</v>
      </c>
      <c r="AU186" s="185">
        <f t="shared" ca="1" si="173"/>
        <v>3</v>
      </c>
      <c r="AV186" s="185">
        <f t="shared" ca="1" si="173"/>
        <v>1</v>
      </c>
      <c r="AW186" s="185">
        <f t="shared" ca="1" si="173"/>
        <v>0</v>
      </c>
      <c r="AX186" s="185" t="str">
        <f t="shared" ca="1" si="173"/>
        <v>802.11a/b/g/n/ac/ax</v>
      </c>
      <c r="AY186" s="185">
        <f t="shared" ca="1" si="173"/>
        <v>5.0999999999999996</v>
      </c>
      <c r="AZ186" s="185">
        <f t="shared" ca="1" si="174"/>
        <v>11</v>
      </c>
      <c r="BA186" s="185" t="str">
        <f t="shared" ca="1" si="174"/>
        <v>Version 8.0</v>
      </c>
      <c r="BB186" s="185" t="str">
        <f t="shared" ca="1" si="174"/>
        <v>Ja</v>
      </c>
      <c r="BC186" s="185" t="str">
        <f t="shared" ca="1" si="174"/>
        <v>Google Chrome OS</v>
      </c>
      <c r="BD186" s="185" t="str">
        <f t="shared" ca="1" si="174"/>
        <v>Chromebook 14 G7</v>
      </c>
      <c r="BE186" s="185">
        <f t="shared" ca="1" si="174"/>
        <v>4088</v>
      </c>
      <c r="BF186" s="192">
        <f t="shared" ca="1" si="174"/>
        <v>123</v>
      </c>
      <c r="BG186" s="192">
        <f t="shared" ca="1" si="174"/>
        <v>425</v>
      </c>
      <c r="BH186" s="192">
        <f t="shared" ca="1" si="174"/>
        <v>249</v>
      </c>
      <c r="BI186" s="192">
        <f t="shared" ca="1" si="174"/>
        <v>131</v>
      </c>
      <c r="BJ186" s="192">
        <f t="shared" ca="1" si="175"/>
        <v>133</v>
      </c>
      <c r="BK186" s="192">
        <f t="shared" ca="1" si="175"/>
        <v>20</v>
      </c>
      <c r="BL186" s="192">
        <f t="shared" ca="1" si="175"/>
        <v>20</v>
      </c>
      <c r="BM186" s="192" t="str">
        <f t="shared" ca="1" si="175"/>
        <v>Cirafon</v>
      </c>
      <c r="BN186" s="192" t="str">
        <f t="shared" ca="1" si="175"/>
        <v>Cirafon</v>
      </c>
      <c r="BO186" s="192" t="str">
        <f t="shared" ca="1" si="175"/>
        <v>HP</v>
      </c>
      <c r="BP186" s="192">
        <f t="shared" ca="1" si="175"/>
        <v>0</v>
      </c>
      <c r="BQ186" s="192" t="str">
        <f t="shared" ca="1" si="175"/>
        <v>LSN8696R2-14.1</v>
      </c>
      <c r="BR186" s="192" t="str">
        <f t="shared" ca="1" si="175"/>
        <v>DPF14-9</v>
      </c>
      <c r="BS186" s="192" t="str">
        <f t="shared" ca="1" si="175"/>
        <v>1MZ01AA</v>
      </c>
      <c r="BT186" s="192">
        <f t="shared" ca="1" si="175"/>
        <v>0</v>
      </c>
      <c r="BU186" s="192"/>
      <c r="BV186" s="192"/>
      <c r="BW186" s="192" t="str">
        <f t="shared" ca="1" si="176"/>
        <v>Dustin Sverige AB</v>
      </c>
      <c r="BX186" s="192" t="str">
        <f t="shared" ca="1" si="176"/>
        <v>HP</v>
      </c>
      <c r="BY186" s="185"/>
      <c r="BZ186" s="185"/>
      <c r="CA186" s="185"/>
      <c r="CB186" s="185"/>
      <c r="CC186" s="185"/>
      <c r="CD186" s="185"/>
      <c r="CE186" s="185"/>
      <c r="CF186" s="185"/>
      <c r="CG186" s="185"/>
      <c r="CH186" s="185"/>
      <c r="CI186" s="185"/>
      <c r="CJ186" s="185"/>
      <c r="CK186" s="185"/>
      <c r="CL186" s="185"/>
      <c r="CM186" s="185"/>
    </row>
    <row r="187" spans="2:91" ht="22.5" customHeight="1" outlineLevel="1" x14ac:dyDescent="0.35">
      <c r="C187" s="61" t="s">
        <v>16</v>
      </c>
      <c r="D187" s="64"/>
      <c r="F187" s="78" t="str">
        <f t="shared" si="177"/>
        <v/>
      </c>
      <c r="G187" s="79">
        <f t="shared" ca="1" si="178"/>
        <v>32</v>
      </c>
      <c r="H187" s="79">
        <f t="shared" ca="1" si="178"/>
        <v>32</v>
      </c>
      <c r="I187" s="120">
        <f t="shared" ca="1" si="178"/>
        <v>64</v>
      </c>
      <c r="J187" s="62"/>
      <c r="Q187" s="185">
        <f t="shared" si="155"/>
        <v>0</v>
      </c>
      <c r="R187" s="185">
        <f t="shared" si="156"/>
        <v>0</v>
      </c>
      <c r="S187" s="185">
        <f t="shared" si="157"/>
        <v>0</v>
      </c>
      <c r="T187" s="185">
        <f t="shared" si="158"/>
        <v>0</v>
      </c>
      <c r="U187" s="185">
        <f t="shared" si="159"/>
        <v>0</v>
      </c>
      <c r="V187" s="185">
        <f t="shared" si="160"/>
        <v>0</v>
      </c>
      <c r="W187" s="185">
        <f t="shared" si="161"/>
        <v>0</v>
      </c>
      <c r="X187" s="185">
        <f t="shared" si="162"/>
        <v>0</v>
      </c>
      <c r="Y187" s="185">
        <f t="shared" ca="1" si="163"/>
        <v>3636</v>
      </c>
      <c r="Z187" s="185" t="str">
        <f t="shared" si="164"/>
        <v>Offererad produktnr. 05Foxway Education AB</v>
      </c>
      <c r="AA187" s="185" t="b">
        <f t="shared" si="165"/>
        <v>1</v>
      </c>
      <c r="AB187" s="185" t="b">
        <f t="shared" si="166"/>
        <v>1</v>
      </c>
      <c r="AC187" s="185" t="b">
        <f t="shared" si="167"/>
        <v>1</v>
      </c>
      <c r="AD187" s="185" t="b">
        <f t="shared" si="168"/>
        <v>1</v>
      </c>
      <c r="AE187" s="185" t="b">
        <f>IF($D$183="",TRUE,IF(COUNTIF(Processor!$I$2:$I$9,$D$183)&gt;0,AND(AT187&gt;INDEX(Processor!$J$2:$J$9,MATCH($D$183,Processor!$I$2:$I$9,0)),AT187&lt;INDEX(Processor!$K$2:$K$9,MATCH($D$183,Processor!$I$2:$I$9,0))),IF(AT187=$D$183,TRUE,FALSE)))</f>
        <v>1</v>
      </c>
      <c r="AF187" s="185" t="b">
        <f t="shared" si="169"/>
        <v>1</v>
      </c>
      <c r="AG187" s="185" t="b">
        <f t="shared" si="170"/>
        <v>1</v>
      </c>
      <c r="AH187" s="185" t="b">
        <f t="shared" si="171"/>
        <v>1</v>
      </c>
      <c r="AI187" s="185" t="b">
        <f t="shared" si="172"/>
        <v>1</v>
      </c>
      <c r="AJ187" s="185" t="b">
        <f>IFERROR(IF($D193="",TRUE,IF(MID(BA187,LEN(BA187)-2,1)*1&gt;=MID($D193,LEN($D193)-2,1)*1,TRUE,FALSE)),FALSE)</f>
        <v>1</v>
      </c>
      <c r="AK187" s="185"/>
      <c r="AL187" s="185"/>
      <c r="AM187" s="185"/>
      <c r="AN187" s="185" t="s">
        <v>214</v>
      </c>
      <c r="AO187" s="185">
        <v>1</v>
      </c>
      <c r="AP187" s="185" t="str">
        <f t="shared" ca="1" si="173"/>
        <v>1366x768</v>
      </c>
      <c r="AQ187" s="185" t="str">
        <f t="shared" ca="1" si="173"/>
        <v>MT8186</v>
      </c>
      <c r="AR187" s="185">
        <f t="shared" ca="1" si="173"/>
        <v>4</v>
      </c>
      <c r="AS187" s="185">
        <f t="shared" ca="1" si="173"/>
        <v>32</v>
      </c>
      <c r="AT187" s="185">
        <f t="shared" ca="1" si="173"/>
        <v>11.6</v>
      </c>
      <c r="AU187" s="185">
        <f t="shared" ca="1" si="173"/>
        <v>3</v>
      </c>
      <c r="AV187" s="185">
        <f t="shared" ca="1" si="173"/>
        <v>1</v>
      </c>
      <c r="AW187" s="185">
        <f t="shared" ca="1" si="173"/>
        <v>0</v>
      </c>
      <c r="AX187" s="185" t="str">
        <f t="shared" ca="1" si="173"/>
        <v>802.11a/b/g/n/ac</v>
      </c>
      <c r="AY187" s="185">
        <f t="shared" ca="1" si="173"/>
        <v>5.0999999999999996</v>
      </c>
      <c r="AZ187" s="185">
        <f t="shared" ca="1" si="174"/>
        <v>11</v>
      </c>
      <c r="BA187" s="185" t="str">
        <f t="shared" ca="1" si="174"/>
        <v>Version 8.0</v>
      </c>
      <c r="BB187" s="185" t="str">
        <f t="shared" ca="1" si="174"/>
        <v>Ja</v>
      </c>
      <c r="BC187" s="185" t="str">
        <f t="shared" ca="1" si="174"/>
        <v>Google Chrome OS</v>
      </c>
      <c r="BD187" s="185" t="str">
        <f t="shared" ca="1" si="174"/>
        <v>100e Chr Gen4</v>
      </c>
      <c r="BE187" s="185">
        <f t="shared" ca="1" si="174"/>
        <v>3636</v>
      </c>
      <c r="BF187" s="192">
        <f t="shared" ca="1" si="174"/>
        <v>78</v>
      </c>
      <c r="BG187" s="192">
        <f t="shared" ca="1" si="174"/>
        <v>240</v>
      </c>
      <c r="BH187" s="192">
        <f t="shared" ca="1" si="174"/>
        <v>210</v>
      </c>
      <c r="BI187" s="192">
        <f t="shared" ca="1" si="174"/>
        <v>405</v>
      </c>
      <c r="BJ187" s="192">
        <f t="shared" ca="1" si="175"/>
        <v>185</v>
      </c>
      <c r="BK187" s="192">
        <f t="shared" ca="1" si="175"/>
        <v>60</v>
      </c>
      <c r="BL187" s="192">
        <f t="shared" ca="1" si="175"/>
        <v>50</v>
      </c>
      <c r="BM187" s="192" t="str">
        <f t="shared" ca="1" si="175"/>
        <v>V7</v>
      </c>
      <c r="BN187" s="192" t="str">
        <f t="shared" ca="1" si="175"/>
        <v>Lenovo</v>
      </c>
      <c r="BO187" s="192" t="str">
        <f t="shared" ca="1" si="175"/>
        <v>Lenovo</v>
      </c>
      <c r="BP187" s="192">
        <f t="shared" ca="1" si="175"/>
        <v>0</v>
      </c>
      <c r="BQ187" s="192" t="str">
        <f t="shared" ca="1" si="175"/>
        <v>V7 Elite Sleeve 12"</v>
      </c>
      <c r="BR187" s="192" t="str">
        <f t="shared" ca="1" si="175"/>
        <v>Lenovo 11.6" Privacy Filter</v>
      </c>
      <c r="BS187" s="192" t="str">
        <f t="shared" ca="1" si="175"/>
        <v>Power adapter USB-C 45w</v>
      </c>
      <c r="BT187" s="192">
        <f t="shared" ca="1" si="175"/>
        <v>0</v>
      </c>
      <c r="BU187" s="192"/>
      <c r="BV187" s="192"/>
      <c r="BW187" s="192" t="str">
        <f t="shared" ca="1" si="176"/>
        <v>Foxway Education AB</v>
      </c>
      <c r="BX187" s="192" t="str">
        <f t="shared" ca="1" si="176"/>
        <v>Lenovo</v>
      </c>
      <c r="BY187" s="185"/>
      <c r="BZ187" s="185"/>
      <c r="CA187" s="185"/>
      <c r="CB187" s="185"/>
      <c r="CC187" s="185"/>
      <c r="CD187" s="185"/>
      <c r="CE187" s="185"/>
      <c r="CF187" s="185"/>
      <c r="CG187" s="185"/>
      <c r="CH187" s="185"/>
      <c r="CI187" s="185"/>
      <c r="CJ187" s="185"/>
      <c r="CK187" s="185"/>
      <c r="CL187" s="185"/>
      <c r="CM187" s="185"/>
    </row>
    <row r="188" spans="2:91" ht="22.5" customHeight="1" outlineLevel="1" x14ac:dyDescent="0.35">
      <c r="C188" s="61" t="s">
        <v>67</v>
      </c>
      <c r="D188" s="64"/>
      <c r="F188" s="78" t="str">
        <f t="shared" si="177"/>
        <v/>
      </c>
      <c r="G188" s="79">
        <f t="shared" ca="1" si="178"/>
        <v>2</v>
      </c>
      <c r="H188" s="79">
        <f t="shared" ca="1" si="178"/>
        <v>4</v>
      </c>
      <c r="I188" s="120">
        <f t="shared" ca="1" si="178"/>
        <v>3</v>
      </c>
      <c r="J188" s="62"/>
      <c r="Q188" s="185">
        <f t="shared" si="155"/>
        <v>0</v>
      </c>
      <c r="R188" s="185">
        <f t="shared" si="156"/>
        <v>0</v>
      </c>
      <c r="S188" s="185">
        <f t="shared" si="157"/>
        <v>0</v>
      </c>
      <c r="T188" s="185">
        <f t="shared" si="158"/>
        <v>0</v>
      </c>
      <c r="U188" s="185">
        <f t="shared" si="159"/>
        <v>0</v>
      </c>
      <c r="V188" s="185">
        <f t="shared" si="160"/>
        <v>0</v>
      </c>
      <c r="W188" s="185">
        <f t="shared" si="161"/>
        <v>0</v>
      </c>
      <c r="X188" s="185">
        <f t="shared" si="162"/>
        <v>0</v>
      </c>
      <c r="Y188" s="185">
        <f t="shared" ca="1" si="163"/>
        <v>5133</v>
      </c>
      <c r="Z188" s="185" t="str">
        <f t="shared" si="164"/>
        <v>Offererad produktnr. 06Foxway Education AB</v>
      </c>
      <c r="AA188" s="185" t="b">
        <f t="shared" si="165"/>
        <v>1</v>
      </c>
      <c r="AB188" s="185" t="b">
        <f t="shared" si="166"/>
        <v>1</v>
      </c>
      <c r="AC188" s="185" t="b">
        <f t="shared" si="167"/>
        <v>1</v>
      </c>
      <c r="AD188" s="185" t="b">
        <f t="shared" si="168"/>
        <v>1</v>
      </c>
      <c r="AE188" s="185" t="b">
        <f>IF($D$183="",TRUE,IF(COUNTIF(Processor!$I$2:$I$9,$D$183)&gt;0,AND(AT188&gt;INDEX(Processor!$J$2:$J$9,MATCH($D$183,Processor!$I$2:$I$9,0)),AT188&lt;INDEX(Processor!$K$2:$K$9,MATCH($D$183,Processor!$I$2:$I$9,0))),IF(AT188=$D$183,TRUE,FALSE)))</f>
        <v>1</v>
      </c>
      <c r="AF188" s="185" t="b">
        <f t="shared" si="169"/>
        <v>1</v>
      </c>
      <c r="AG188" s="185" t="b">
        <f t="shared" si="170"/>
        <v>1</v>
      </c>
      <c r="AH188" s="185" t="b">
        <f t="shared" si="171"/>
        <v>1</v>
      </c>
      <c r="AI188" s="185" t="b">
        <f t="shared" si="172"/>
        <v>1</v>
      </c>
      <c r="AJ188" s="185" t="b">
        <f>IFERROR(IF($D193="",TRUE,IF(MID(BA188,LEN(BA188)-2,1)*1&gt;=MID($D193,LEN($D193)-2,1)*1,TRUE,FALSE)),FALSE)</f>
        <v>1</v>
      </c>
      <c r="AK188" s="185"/>
      <c r="AL188" s="185"/>
      <c r="AM188" s="185"/>
      <c r="AN188" s="185" t="s">
        <v>215</v>
      </c>
      <c r="AO188" s="185">
        <v>1</v>
      </c>
      <c r="AP188" s="185" t="str">
        <f t="shared" ca="1" si="173"/>
        <v>1920x1080</v>
      </c>
      <c r="AQ188" s="185" t="str">
        <f t="shared" ca="1" si="173"/>
        <v>Intel Celeron</v>
      </c>
      <c r="AR188" s="185">
        <f t="shared" ca="1" si="173"/>
        <v>8</v>
      </c>
      <c r="AS188" s="185">
        <f t="shared" ca="1" si="173"/>
        <v>64</v>
      </c>
      <c r="AT188" s="185">
        <f t="shared" ca="1" si="173"/>
        <v>14</v>
      </c>
      <c r="AU188" s="185">
        <f t="shared" ca="1" si="173"/>
        <v>3</v>
      </c>
      <c r="AV188" s="185">
        <f t="shared" ca="1" si="173"/>
        <v>1</v>
      </c>
      <c r="AW188" s="185">
        <f t="shared" ca="1" si="173"/>
        <v>0</v>
      </c>
      <c r="AX188" s="185" t="str">
        <f t="shared" ca="1" si="173"/>
        <v>802.11a/b/g/n/ac/ax</v>
      </c>
      <c r="AY188" s="185">
        <f t="shared" ca="1" si="173"/>
        <v>5</v>
      </c>
      <c r="AZ188" s="185">
        <f t="shared" ca="1" si="174"/>
        <v>11</v>
      </c>
      <c r="BA188" s="185" t="str">
        <f t="shared" ca="1" si="174"/>
        <v>Version 8.0</v>
      </c>
      <c r="BB188" s="185" t="str">
        <f t="shared" ca="1" si="174"/>
        <v>Ja</v>
      </c>
      <c r="BC188" s="185" t="str">
        <f t="shared" ca="1" si="174"/>
        <v>Google Chrome OS</v>
      </c>
      <c r="BD188" s="185" t="str">
        <f t="shared" ca="1" si="174"/>
        <v>Chromebook 14 G7</v>
      </c>
      <c r="BE188" s="185">
        <f t="shared" ca="1" si="174"/>
        <v>5133</v>
      </c>
      <c r="BF188" s="192">
        <f t="shared" ca="1" si="174"/>
        <v>78</v>
      </c>
      <c r="BG188" s="192">
        <f t="shared" ca="1" si="174"/>
        <v>276</v>
      </c>
      <c r="BH188" s="192">
        <f t="shared" ca="1" si="174"/>
        <v>240</v>
      </c>
      <c r="BI188" s="192">
        <f t="shared" ca="1" si="174"/>
        <v>162</v>
      </c>
      <c r="BJ188" s="192">
        <f t="shared" ca="1" si="175"/>
        <v>185</v>
      </c>
      <c r="BK188" s="192">
        <f t="shared" ca="1" si="175"/>
        <v>60</v>
      </c>
      <c r="BL188" s="192">
        <f t="shared" ca="1" si="175"/>
        <v>50</v>
      </c>
      <c r="BM188" s="192" t="str">
        <f t="shared" ca="1" si="175"/>
        <v>V7</v>
      </c>
      <c r="BN188" s="192" t="str">
        <f t="shared" ca="1" si="175"/>
        <v>Targus</v>
      </c>
      <c r="BO188" s="192" t="str">
        <f t="shared" ca="1" si="175"/>
        <v>HP</v>
      </c>
      <c r="BP188" s="192">
        <f t="shared" ca="1" si="175"/>
        <v>0</v>
      </c>
      <c r="BQ188" s="192" t="str">
        <f t="shared" ca="1" si="175"/>
        <v>V7 Elite Sleeve 12"</v>
      </c>
      <c r="BR188" s="192" t="str">
        <f t="shared" ca="1" si="175"/>
        <v>Targus Privacy Screen 14"</v>
      </c>
      <c r="BS188" s="192" t="str">
        <f t="shared" ca="1" si="175"/>
        <v>HP 45W USB-C Power Adapter G2</v>
      </c>
      <c r="BT188" s="192">
        <f t="shared" ca="1" si="175"/>
        <v>0</v>
      </c>
      <c r="BU188" s="192"/>
      <c r="BV188" s="192"/>
      <c r="BW188" s="192" t="str">
        <f t="shared" ca="1" si="176"/>
        <v>Foxway Education AB</v>
      </c>
      <c r="BX188" s="192" t="str">
        <f t="shared" ca="1" si="176"/>
        <v>HP</v>
      </c>
      <c r="BY188" s="185"/>
      <c r="BZ188" s="185"/>
      <c r="CA188" s="185"/>
      <c r="CB188" s="185"/>
      <c r="CC188" s="185"/>
      <c r="CD188" s="185"/>
      <c r="CE188" s="185"/>
      <c r="CF188" s="185"/>
      <c r="CG188" s="185"/>
      <c r="CH188" s="185"/>
      <c r="CI188" s="185"/>
      <c r="CJ188" s="185"/>
      <c r="CK188" s="185"/>
      <c r="CL188" s="185"/>
      <c r="CM188" s="185"/>
    </row>
    <row r="189" spans="2:91" ht="22.5" customHeight="1" outlineLevel="1" x14ac:dyDescent="0.35">
      <c r="C189" s="61" t="s">
        <v>74</v>
      </c>
      <c r="D189" s="64"/>
      <c r="F189" s="78" t="str">
        <f t="shared" si="177"/>
        <v/>
      </c>
      <c r="G189" s="79">
        <f t="shared" ca="1" si="178"/>
        <v>1</v>
      </c>
      <c r="H189" s="79">
        <f t="shared" ca="1" si="178"/>
        <v>2</v>
      </c>
      <c r="I189" s="120">
        <f t="shared" ca="1" si="178"/>
        <v>1</v>
      </c>
      <c r="J189" s="62"/>
      <c r="Q189" s="185">
        <f t="shared" si="155"/>
        <v>0</v>
      </c>
      <c r="R189" s="185">
        <f t="shared" si="156"/>
        <v>0</v>
      </c>
      <c r="S189" s="185">
        <f t="shared" si="157"/>
        <v>0</v>
      </c>
      <c r="T189" s="185">
        <f t="shared" si="158"/>
        <v>0</v>
      </c>
      <c r="U189" s="185">
        <f t="shared" si="159"/>
        <v>0</v>
      </c>
      <c r="V189" s="185">
        <f t="shared" si="160"/>
        <v>0</v>
      </c>
      <c r="W189" s="185">
        <f t="shared" si="161"/>
        <v>0</v>
      </c>
      <c r="X189" s="185">
        <f t="shared" si="162"/>
        <v>0</v>
      </c>
      <c r="Y189" s="185">
        <f t="shared" ca="1" si="163"/>
        <v>2950</v>
      </c>
      <c r="Z189" s="185" t="str">
        <f t="shared" si="164"/>
        <v>Offererad produktnr. 05Qlosr Göteborg AB</v>
      </c>
      <c r="AA189" s="185" t="b">
        <f t="shared" si="165"/>
        <v>1</v>
      </c>
      <c r="AB189" s="185" t="b">
        <f t="shared" si="166"/>
        <v>1</v>
      </c>
      <c r="AC189" s="185" t="b">
        <f t="shared" si="167"/>
        <v>1</v>
      </c>
      <c r="AD189" s="185" t="b">
        <f t="shared" si="168"/>
        <v>1</v>
      </c>
      <c r="AE189" s="185" t="b">
        <f>IF($D$183="",TRUE,IF(COUNTIF(Processor!$I$2:$I$9,$D$183)&gt;0,AND(AT189&gt;INDEX(Processor!$J$2:$J$9,MATCH($D$183,Processor!$I$2:$I$9,0)),AT189&lt;INDEX(Processor!$K$2:$K$9,MATCH($D$183,Processor!$I$2:$I$9,0))),IF(AT189=$D$183,TRUE,FALSE)))</f>
        <v>1</v>
      </c>
      <c r="AF189" s="185" t="b">
        <f t="shared" si="169"/>
        <v>1</v>
      </c>
      <c r="AG189" s="185" t="b">
        <f t="shared" si="170"/>
        <v>1</v>
      </c>
      <c r="AH189" s="185" t="b">
        <f t="shared" si="171"/>
        <v>1</v>
      </c>
      <c r="AI189" s="185" t="b">
        <f t="shared" si="172"/>
        <v>1</v>
      </c>
      <c r="AJ189" s="185" t="b">
        <f>IFERROR(IF($D193="",TRUE,IF(MID(BA189,LEN(BA189)-2,1)*1&gt;=MID($D193,LEN($D193)-2,1)*1,TRUE,FALSE)),FALSE)</f>
        <v>1</v>
      </c>
      <c r="AK189" s="185"/>
      <c r="AL189" s="185"/>
      <c r="AM189" s="185"/>
      <c r="AN189" s="185" t="s">
        <v>556</v>
      </c>
      <c r="AO189" s="185">
        <v>1</v>
      </c>
      <c r="AP189" s="185" t="str">
        <f t="shared" ca="1" si="173"/>
        <v>1366x768</v>
      </c>
      <c r="AQ189" s="185" t="str">
        <f t="shared" ca="1" si="173"/>
        <v>Intel Celeron</v>
      </c>
      <c r="AR189" s="185">
        <f t="shared" ca="1" si="173"/>
        <v>4</v>
      </c>
      <c r="AS189" s="185">
        <f t="shared" ca="1" si="173"/>
        <v>32</v>
      </c>
      <c r="AT189" s="185">
        <f t="shared" ca="1" si="173"/>
        <v>11.6</v>
      </c>
      <c r="AU189" s="185">
        <f t="shared" ca="1" si="173"/>
        <v>2</v>
      </c>
      <c r="AV189" s="185">
        <f t="shared" ca="1" si="173"/>
        <v>1</v>
      </c>
      <c r="AW189" s="185">
        <f t="shared" ca="1" si="173"/>
        <v>0</v>
      </c>
      <c r="AX189" s="185" t="str">
        <f t="shared" ca="1" si="173"/>
        <v>802.11a/b/g/n/ac/ax</v>
      </c>
      <c r="AY189" s="185">
        <f t="shared" ca="1" si="173"/>
        <v>5.0999999999999996</v>
      </c>
      <c r="AZ189" s="185">
        <f t="shared" ca="1" si="174"/>
        <v>11</v>
      </c>
      <c r="BA189" s="185" t="str">
        <f t="shared" ca="1" si="174"/>
        <v>Version 8.0</v>
      </c>
      <c r="BB189" s="185" t="str">
        <f t="shared" ca="1" si="174"/>
        <v>Ja</v>
      </c>
      <c r="BC189" s="185" t="str">
        <f t="shared" ca="1" si="174"/>
        <v>Google Chrome OS</v>
      </c>
      <c r="BD189" s="185" t="str">
        <f t="shared" ca="1" si="174"/>
        <v>Chromebook 3110</v>
      </c>
      <c r="BE189" s="185">
        <f t="shared" ca="1" si="174"/>
        <v>2950</v>
      </c>
      <c r="BF189" s="192">
        <f t="shared" ca="1" si="174"/>
        <v>59</v>
      </c>
      <c r="BG189" s="192">
        <f t="shared" ca="1" si="174"/>
        <v>287</v>
      </c>
      <c r="BH189" s="192">
        <f t="shared" ca="1" si="174"/>
        <v>240</v>
      </c>
      <c r="BI189" s="192">
        <f t="shared" ca="1" si="174"/>
        <v>275</v>
      </c>
      <c r="BJ189" s="192">
        <f t="shared" ca="1" si="175"/>
        <v>70</v>
      </c>
      <c r="BK189" s="192">
        <f t="shared" ca="1" si="175"/>
        <v>25</v>
      </c>
      <c r="BL189" s="192">
        <f t="shared" ca="1" si="175"/>
        <v>25</v>
      </c>
      <c r="BM189" s="192" t="str">
        <f t="shared" ca="1" si="175"/>
        <v>HP</v>
      </c>
      <c r="BN189" s="192" t="str">
        <f t="shared" ca="1" si="175"/>
        <v>Kapsolo</v>
      </c>
      <c r="BO189" s="192" t="str">
        <f t="shared" ca="1" si="175"/>
        <v>Dell</v>
      </c>
      <c r="BP189" s="192">
        <f t="shared" ca="1" si="175"/>
        <v>0</v>
      </c>
      <c r="BQ189" s="192" t="str">
        <f t="shared" ca="1" si="175"/>
        <v>GBX77E81AA</v>
      </c>
      <c r="BR189" s="192" t="str">
        <f t="shared" ca="1" si="175"/>
        <v>GBXKAP10145</v>
      </c>
      <c r="BS189" s="192" t="str">
        <f t="shared" ca="1" si="175"/>
        <v>DELL-921CW</v>
      </c>
      <c r="BT189" s="192">
        <f t="shared" ca="1" si="175"/>
        <v>0</v>
      </c>
      <c r="BU189" s="192"/>
      <c r="BV189" s="192"/>
      <c r="BW189" s="192" t="str">
        <f t="shared" ca="1" si="176"/>
        <v>Qlosr Göteborg AB</v>
      </c>
      <c r="BX189" s="192" t="str">
        <f t="shared" ca="1" si="176"/>
        <v>Dell</v>
      </c>
      <c r="BY189" s="185"/>
      <c r="BZ189" s="185"/>
      <c r="CA189" s="185"/>
      <c r="CB189" s="185"/>
      <c r="CC189" s="185"/>
      <c r="CD189" s="185"/>
      <c r="CE189" s="185"/>
      <c r="CF189" s="185"/>
      <c r="CG189" s="185"/>
      <c r="CH189" s="185"/>
      <c r="CI189" s="185"/>
      <c r="CJ189" s="185"/>
      <c r="CK189" s="185"/>
      <c r="CL189" s="185"/>
      <c r="CM189" s="185"/>
    </row>
    <row r="190" spans="2:91" ht="22.5" customHeight="1" outlineLevel="1" x14ac:dyDescent="0.35">
      <c r="C190" s="61" t="s">
        <v>103</v>
      </c>
      <c r="D190" s="64"/>
      <c r="F190" s="78" t="str">
        <f t="shared" si="177"/>
        <v/>
      </c>
      <c r="G190" s="79" t="str">
        <f t="shared" ca="1" si="178"/>
        <v>802.11a/b/g/n/ac/ax</v>
      </c>
      <c r="H190" s="79" t="str">
        <f t="shared" ca="1" si="178"/>
        <v>802.11a/b/g/n/ac/ax</v>
      </c>
      <c r="I190" s="120" t="str">
        <f t="shared" ca="1" si="178"/>
        <v>802.11a/b/g/n/ac/ax</v>
      </c>
      <c r="J190" s="62"/>
      <c r="Q190" s="185">
        <f t="shared" si="155"/>
        <v>0</v>
      </c>
      <c r="R190" s="185">
        <f t="shared" si="156"/>
        <v>0</v>
      </c>
      <c r="S190" s="185">
        <f t="shared" si="157"/>
        <v>0</v>
      </c>
      <c r="T190" s="185">
        <f t="shared" si="158"/>
        <v>0</v>
      </c>
      <c r="U190" s="185">
        <f t="shared" si="159"/>
        <v>0</v>
      </c>
      <c r="V190" s="185">
        <f t="shared" si="160"/>
        <v>0</v>
      </c>
      <c r="W190" s="185">
        <f t="shared" si="161"/>
        <v>0</v>
      </c>
      <c r="X190" s="185">
        <f t="shared" si="162"/>
        <v>0</v>
      </c>
      <c r="Y190" s="185">
        <f t="shared" ca="1" si="163"/>
        <v>3610</v>
      </c>
      <c r="Z190" s="185" t="str">
        <f t="shared" si="164"/>
        <v>Offererad produktnr. 06Qlosr Göteborg AB</v>
      </c>
      <c r="AA190" s="185" t="b">
        <f t="shared" si="165"/>
        <v>1</v>
      </c>
      <c r="AB190" s="185" t="b">
        <f t="shared" si="166"/>
        <v>1</v>
      </c>
      <c r="AC190" s="185" t="b">
        <f t="shared" si="167"/>
        <v>1</v>
      </c>
      <c r="AD190" s="185" t="b">
        <f t="shared" si="168"/>
        <v>1</v>
      </c>
      <c r="AE190" s="185" t="b">
        <f>IF($D$183="",TRUE,IF(COUNTIF(Processor!$I$2:$I$9,$D$183)&gt;0,AND(AT190&gt;INDEX(Processor!$J$2:$J$9,MATCH($D$183,Processor!$I$2:$I$9,0)),AT190&lt;INDEX(Processor!$K$2:$K$9,MATCH($D$183,Processor!$I$2:$I$9,0))),IF(AT190=$D$183,TRUE,FALSE)))</f>
        <v>1</v>
      </c>
      <c r="AF190" s="185" t="b">
        <f t="shared" si="169"/>
        <v>1</v>
      </c>
      <c r="AG190" s="185" t="b">
        <f t="shared" si="170"/>
        <v>1</v>
      </c>
      <c r="AH190" s="185" t="b">
        <f t="shared" si="171"/>
        <v>1</v>
      </c>
      <c r="AI190" s="185" t="b">
        <f t="shared" si="172"/>
        <v>1</v>
      </c>
      <c r="AJ190" s="185" t="b">
        <f>IFERROR(IF($D193="",TRUE,IF(MID(BA190,LEN(BA190)-2,1)*1&gt;=MID($D193,LEN($D193)-2,1)*1,TRUE,FALSE)),FALSE)</f>
        <v>1</v>
      </c>
      <c r="AK190" s="185"/>
      <c r="AL190" s="185"/>
      <c r="AM190" s="185"/>
      <c r="AN190" s="185" t="s">
        <v>557</v>
      </c>
      <c r="AO190" s="185">
        <v>1</v>
      </c>
      <c r="AP190" s="185" t="str">
        <f t="shared" ca="1" si="173"/>
        <v>1920x1080</v>
      </c>
      <c r="AQ190" s="185" t="str">
        <f t="shared" ca="1" si="173"/>
        <v>Intel Celeron</v>
      </c>
      <c r="AR190" s="185">
        <f t="shared" ca="1" si="173"/>
        <v>8</v>
      </c>
      <c r="AS190" s="185">
        <f t="shared" ca="1" si="173"/>
        <v>64</v>
      </c>
      <c r="AT190" s="185">
        <f t="shared" ca="1" si="173"/>
        <v>14</v>
      </c>
      <c r="AU190" s="185">
        <f t="shared" ca="1" si="173"/>
        <v>3</v>
      </c>
      <c r="AV190" s="185">
        <f t="shared" ca="1" si="173"/>
        <v>1</v>
      </c>
      <c r="AW190" s="185">
        <f t="shared" ca="1" si="173"/>
        <v>0</v>
      </c>
      <c r="AX190" s="185" t="str">
        <f t="shared" ca="1" si="173"/>
        <v>802.11a/b/g/n/ac/ax</v>
      </c>
      <c r="AY190" s="185">
        <f t="shared" ca="1" si="173"/>
        <v>5</v>
      </c>
      <c r="AZ190" s="185">
        <f t="shared" ca="1" si="174"/>
        <v>11</v>
      </c>
      <c r="BA190" s="185" t="str">
        <f t="shared" ca="1" si="174"/>
        <v>Version 8.0</v>
      </c>
      <c r="BB190" s="185" t="str">
        <f t="shared" ca="1" si="174"/>
        <v>Ja</v>
      </c>
      <c r="BC190" s="185" t="str">
        <f t="shared" ca="1" si="174"/>
        <v>Google Chrome OS</v>
      </c>
      <c r="BD190" s="185" t="str">
        <f t="shared" ca="1" si="174"/>
        <v>Chromebook 14 G7</v>
      </c>
      <c r="BE190" s="185">
        <f t="shared" ca="1" si="174"/>
        <v>3610</v>
      </c>
      <c r="BF190" s="192">
        <f t="shared" ca="1" si="174"/>
        <v>64</v>
      </c>
      <c r="BG190" s="192">
        <f t="shared" ca="1" si="174"/>
        <v>298</v>
      </c>
      <c r="BH190" s="192">
        <f t="shared" ca="1" si="174"/>
        <v>198</v>
      </c>
      <c r="BI190" s="192">
        <f t="shared" ca="1" si="174"/>
        <v>125</v>
      </c>
      <c r="BJ190" s="192">
        <f t="shared" ca="1" si="175"/>
        <v>70</v>
      </c>
      <c r="BK190" s="192">
        <f t="shared" ca="1" si="175"/>
        <v>25</v>
      </c>
      <c r="BL190" s="192">
        <f t="shared" ca="1" si="175"/>
        <v>25</v>
      </c>
      <c r="BM190" s="192" t="str">
        <f t="shared" ca="1" si="175"/>
        <v>HP</v>
      </c>
      <c r="BN190" s="192" t="str">
        <f t="shared" ca="1" si="175"/>
        <v>Kapsolo</v>
      </c>
      <c r="BO190" s="192" t="str">
        <f t="shared" ca="1" si="175"/>
        <v>HP</v>
      </c>
      <c r="BP190" s="192">
        <f t="shared" ca="1" si="175"/>
        <v>0</v>
      </c>
      <c r="BQ190" s="192" t="str">
        <f t="shared" ca="1" si="175"/>
        <v>GBX2UW01AA</v>
      </c>
      <c r="BR190" s="192" t="str">
        <f t="shared" ca="1" si="175"/>
        <v>GBXKAP10478</v>
      </c>
      <c r="BS190" s="192" t="str">
        <f t="shared" ca="1" si="175"/>
        <v>GBX1HE07AA</v>
      </c>
      <c r="BT190" s="192">
        <f t="shared" ca="1" si="175"/>
        <v>0</v>
      </c>
      <c r="BU190" s="192"/>
      <c r="BV190" s="192"/>
      <c r="BW190" s="192" t="str">
        <f t="shared" ca="1" si="176"/>
        <v>Qlosr Göteborg AB</v>
      </c>
      <c r="BX190" s="192" t="str">
        <f t="shared" ca="1" si="176"/>
        <v>HP</v>
      </c>
      <c r="BY190" s="185"/>
      <c r="BZ190" s="185"/>
      <c r="CA190" s="185"/>
      <c r="CB190" s="185"/>
      <c r="CC190" s="185"/>
      <c r="CD190" s="185"/>
      <c r="CE190" s="185"/>
      <c r="CF190" s="185"/>
      <c r="CG190" s="185"/>
      <c r="CH190" s="185"/>
      <c r="CI190" s="185"/>
      <c r="CJ190" s="185"/>
      <c r="CK190" s="185"/>
      <c r="CL190" s="185"/>
      <c r="CM190" s="185"/>
    </row>
    <row r="191" spans="2:91" ht="33.75" customHeight="1" outlineLevel="1" x14ac:dyDescent="0.35">
      <c r="C191" s="61" t="s">
        <v>75</v>
      </c>
      <c r="D191" s="110"/>
      <c r="F191" s="78" t="str">
        <f t="shared" si="177"/>
        <v/>
      </c>
      <c r="G191" s="79">
        <f t="shared" ca="1" si="178"/>
        <v>5.0999999999999996</v>
      </c>
      <c r="H191" s="79">
        <f t="shared" ca="1" si="178"/>
        <v>5</v>
      </c>
      <c r="I191" s="120">
        <f t="shared" ca="1" si="178"/>
        <v>5</v>
      </c>
      <c r="J191" s="94"/>
      <c r="BF191" s="63"/>
      <c r="BG191" s="63"/>
      <c r="BH191" s="63"/>
      <c r="BI191" s="63"/>
      <c r="BJ191" s="63"/>
      <c r="BK191" s="63"/>
      <c r="BL191" s="63"/>
      <c r="BM191" s="63"/>
      <c r="BN191" s="63"/>
      <c r="BO191" s="63"/>
      <c r="BP191" s="63"/>
      <c r="BQ191" s="63"/>
      <c r="BR191" s="63"/>
      <c r="BS191" s="63"/>
      <c r="BT191" s="63"/>
      <c r="BU191" s="63"/>
      <c r="BV191" s="63"/>
      <c r="BW191" s="63"/>
      <c r="BX191" s="63"/>
    </row>
    <row r="192" spans="2:91" ht="33.75" customHeight="1" outlineLevel="1" x14ac:dyDescent="0.35">
      <c r="C192" s="61" t="s">
        <v>120</v>
      </c>
      <c r="D192" s="65"/>
      <c r="F192" s="80" t="str">
        <f t="shared" si="177"/>
        <v/>
      </c>
      <c r="G192" s="81">
        <f t="shared" ca="1" si="178"/>
        <v>11</v>
      </c>
      <c r="H192" s="81">
        <f t="shared" ca="1" si="178"/>
        <v>11</v>
      </c>
      <c r="I192" s="121">
        <f t="shared" ca="1" si="178"/>
        <v>11</v>
      </c>
      <c r="J192" s="62"/>
      <c r="BF192" s="63"/>
      <c r="BG192" s="63"/>
      <c r="BH192" s="63"/>
      <c r="BI192" s="63"/>
      <c r="BJ192" s="63"/>
      <c r="BK192" s="63"/>
      <c r="BL192" s="63"/>
      <c r="BM192" s="63"/>
      <c r="BN192" s="63"/>
      <c r="BO192" s="63"/>
      <c r="BP192" s="63"/>
      <c r="BQ192" s="63"/>
      <c r="BR192" s="63"/>
      <c r="BS192" s="63"/>
      <c r="BT192" s="63"/>
      <c r="BU192" s="63"/>
      <c r="BV192" s="63"/>
      <c r="BW192" s="63"/>
      <c r="BX192" s="63"/>
    </row>
    <row r="193" spans="2:76" ht="33.75" customHeight="1" outlineLevel="1" x14ac:dyDescent="0.35">
      <c r="C193" s="61" t="s">
        <v>38</v>
      </c>
      <c r="D193" s="64"/>
      <c r="F193" s="78" t="str">
        <f t="shared" si="177"/>
        <v/>
      </c>
      <c r="G193" s="81" t="str">
        <f t="shared" ca="1" si="178"/>
        <v>Version 8.0</v>
      </c>
      <c r="H193" s="81" t="str">
        <f t="shared" ca="1" si="178"/>
        <v>Version 8.0</v>
      </c>
      <c r="I193" s="121" t="str">
        <f t="shared" ca="1" si="178"/>
        <v>Version 8.0</v>
      </c>
      <c r="J193" s="62"/>
      <c r="BF193" s="63"/>
      <c r="BG193" s="63"/>
      <c r="BH193" s="63"/>
      <c r="BI193" s="63"/>
      <c r="BJ193" s="63"/>
      <c r="BK193" s="63"/>
      <c r="BL193" s="63"/>
      <c r="BM193" s="63"/>
      <c r="BN193" s="63"/>
      <c r="BO193" s="63"/>
      <c r="BP193" s="63"/>
      <c r="BQ193" s="63"/>
      <c r="BR193" s="63"/>
      <c r="BS193" s="63"/>
      <c r="BT193" s="63"/>
      <c r="BU193" s="63"/>
      <c r="BV193" s="63"/>
      <c r="BW193" s="63"/>
      <c r="BX193" s="63"/>
    </row>
    <row r="194" spans="2:76" ht="33.75" customHeight="1" outlineLevel="1" x14ac:dyDescent="0.35">
      <c r="C194" s="61" t="s">
        <v>37</v>
      </c>
      <c r="D194" s="64"/>
      <c r="F194" s="78" t="str">
        <f t="shared" si="177"/>
        <v/>
      </c>
      <c r="G194" s="79" t="str">
        <f t="shared" ca="1" si="178"/>
        <v>Ja</v>
      </c>
      <c r="H194" s="79" t="str">
        <f t="shared" ca="1" si="178"/>
        <v>Ja</v>
      </c>
      <c r="I194" s="120" t="str">
        <f t="shared" ca="1" si="178"/>
        <v>Ja</v>
      </c>
      <c r="J194" s="62"/>
      <c r="BF194" s="63"/>
      <c r="BG194" s="63"/>
      <c r="BH194" s="63"/>
      <c r="BI194" s="63"/>
      <c r="BJ194" s="63"/>
      <c r="BK194" s="63"/>
      <c r="BL194" s="63"/>
      <c r="BM194" s="63"/>
      <c r="BN194" s="63"/>
      <c r="BO194" s="63"/>
      <c r="BP194" s="63"/>
      <c r="BQ194" s="63"/>
      <c r="BR194" s="63"/>
      <c r="BS194" s="63"/>
      <c r="BT194" s="63"/>
      <c r="BU194" s="63"/>
      <c r="BV194" s="63"/>
      <c r="BW194" s="63"/>
      <c r="BX194" s="63"/>
    </row>
    <row r="195" spans="2:76" ht="23.25" customHeight="1" outlineLevel="1" x14ac:dyDescent="0.35">
      <c r="C195" s="66"/>
      <c r="D195" s="67"/>
      <c r="G195" s="62"/>
      <c r="H195" s="62"/>
      <c r="I195" s="62"/>
      <c r="J195" s="62"/>
      <c r="BF195" s="63"/>
      <c r="BG195" s="63"/>
      <c r="BH195" s="63"/>
      <c r="BI195" s="63"/>
      <c r="BJ195" s="63"/>
      <c r="BK195" s="63"/>
      <c r="BL195" s="63"/>
      <c r="BM195" s="63"/>
      <c r="BN195" s="63"/>
      <c r="BO195" s="63"/>
      <c r="BP195" s="63"/>
      <c r="BQ195" s="63"/>
      <c r="BR195" s="63"/>
      <c r="BS195" s="63"/>
      <c r="BT195" s="63"/>
      <c r="BU195" s="63"/>
      <c r="BV195" s="63"/>
      <c r="BW195" s="63"/>
      <c r="BX195" s="63"/>
    </row>
    <row r="196" spans="2:76" ht="23.25" customHeight="1" outlineLevel="1" x14ac:dyDescent="0.35">
      <c r="C196" s="212" t="s">
        <v>366</v>
      </c>
      <c r="D196" s="213"/>
      <c r="E196" s="213"/>
      <c r="F196" s="213"/>
      <c r="G196" s="213"/>
      <c r="H196" s="213"/>
      <c r="I196" s="214"/>
      <c r="J196" s="62"/>
      <c r="BF196" s="63"/>
      <c r="BG196" s="63"/>
      <c r="BH196" s="63"/>
      <c r="BI196" s="63"/>
      <c r="BJ196" s="63"/>
      <c r="BK196" s="63"/>
      <c r="BL196" s="63"/>
      <c r="BM196" s="63"/>
      <c r="BN196" s="63"/>
      <c r="BO196" s="63"/>
      <c r="BP196" s="63"/>
      <c r="BQ196" s="63"/>
      <c r="BR196" s="63"/>
      <c r="BS196" s="63"/>
      <c r="BT196" s="63"/>
      <c r="BU196" s="63"/>
      <c r="BV196" s="63"/>
      <c r="BW196" s="63"/>
      <c r="BX196" s="63"/>
    </row>
    <row r="197" spans="2:76" ht="23.25" customHeight="1" outlineLevel="1" x14ac:dyDescent="0.35">
      <c r="B197" s="69" t="s">
        <v>53</v>
      </c>
      <c r="C197" s="95" t="s">
        <v>363</v>
      </c>
      <c r="D197" s="70"/>
      <c r="F197" s="159" t="str">
        <f t="shared" ref="F197:F205" si="179">IF(F$179="Inget antal angivet","",IFERROR(INDEX($AP$180:$BX$204,MATCH(F$176,$AN$180:$AN$204,0),MATCH($B197,$AP$180:$BX$180,0)),""))</f>
        <v/>
      </c>
      <c r="G197" s="160">
        <f t="shared" ref="G197:I205" ca="1" si="180">IFERROR(INDEX($AP$180:$BX$204,MATCH(G$176,$AN$180:$AN$204,0),MATCH($B197,$AP$180:$BX$180,0)),"")</f>
        <v>59</v>
      </c>
      <c r="H197" s="160">
        <f t="shared" ca="1" si="180"/>
        <v>87</v>
      </c>
      <c r="I197" s="160">
        <f t="shared" ca="1" si="180"/>
        <v>64</v>
      </c>
      <c r="J197" s="73"/>
      <c r="BF197" s="63"/>
      <c r="BG197" s="63"/>
      <c r="BH197" s="63"/>
      <c r="BI197" s="63"/>
      <c r="BJ197" s="63"/>
      <c r="BK197" s="63"/>
      <c r="BL197" s="63"/>
      <c r="BM197" s="63"/>
      <c r="BN197" s="63"/>
      <c r="BO197" s="63"/>
      <c r="BP197" s="63"/>
      <c r="BQ197" s="63"/>
      <c r="BR197" s="63"/>
      <c r="BS197" s="63"/>
      <c r="BT197" s="63"/>
      <c r="BU197" s="63"/>
      <c r="BV197" s="63"/>
      <c r="BW197" s="63"/>
      <c r="BX197" s="63"/>
    </row>
    <row r="198" spans="2:76" ht="23.25" customHeight="1" outlineLevel="1" x14ac:dyDescent="0.35">
      <c r="B198" s="69" t="s">
        <v>340</v>
      </c>
      <c r="C198" s="96" t="s">
        <v>51</v>
      </c>
      <c r="D198" s="131" t="str">
        <f>IF("Ska Ingå"=D197,"Ska Ingå","")</f>
        <v/>
      </c>
      <c r="F198" s="84" t="str">
        <f t="shared" si="179"/>
        <v/>
      </c>
      <c r="G198" s="85" t="str">
        <f t="shared" ca="1" si="180"/>
        <v>HP</v>
      </c>
      <c r="H198" s="85" t="str">
        <f t="shared" ca="1" si="180"/>
        <v>Cirafon</v>
      </c>
      <c r="I198" s="85" t="str">
        <f t="shared" ca="1" si="180"/>
        <v>HP</v>
      </c>
      <c r="J198" s="54"/>
      <c r="BF198" s="63"/>
      <c r="BG198" s="63"/>
      <c r="BH198" s="63"/>
      <c r="BI198" s="63"/>
      <c r="BJ198" s="63"/>
      <c r="BK198" s="63"/>
      <c r="BL198" s="63"/>
      <c r="BM198" s="63"/>
      <c r="BN198" s="63"/>
      <c r="BO198" s="63"/>
      <c r="BP198" s="63"/>
      <c r="BQ198" s="63"/>
      <c r="BR198" s="63"/>
      <c r="BS198" s="63"/>
      <c r="BT198" s="63"/>
      <c r="BU198" s="63"/>
      <c r="BV198" s="63"/>
      <c r="BW198" s="63"/>
      <c r="BX198" s="63"/>
    </row>
    <row r="199" spans="2:76" ht="67.5" customHeight="1" outlineLevel="1" x14ac:dyDescent="0.35">
      <c r="B199" s="69" t="s">
        <v>345</v>
      </c>
      <c r="C199" s="97" t="s">
        <v>52</v>
      </c>
      <c r="D199" s="132" t="str">
        <f>IF("Ska Ingå"=D197,"Ska Ingå","")</f>
        <v/>
      </c>
      <c r="F199" s="86" t="str">
        <f t="shared" si="179"/>
        <v/>
      </c>
      <c r="G199" s="87" t="str">
        <f t="shared" ca="1" si="180"/>
        <v>GBX77E81AA</v>
      </c>
      <c r="H199" s="87" t="str">
        <f t="shared" ca="1" si="180"/>
        <v>LSN9117-11</v>
      </c>
      <c r="I199" s="87" t="str">
        <f t="shared" ca="1" si="180"/>
        <v>GBX2UW01AA</v>
      </c>
      <c r="J199" s="73"/>
      <c r="BF199" s="63"/>
      <c r="BG199" s="63"/>
      <c r="BH199" s="63"/>
      <c r="BI199" s="63"/>
      <c r="BJ199" s="63"/>
      <c r="BK199" s="63"/>
      <c r="BL199" s="63"/>
      <c r="BM199" s="63"/>
      <c r="BN199" s="63"/>
      <c r="BO199" s="63"/>
      <c r="BP199" s="63"/>
      <c r="BQ199" s="63"/>
      <c r="BR199" s="63"/>
      <c r="BS199" s="63"/>
      <c r="BT199" s="63"/>
      <c r="BU199" s="63"/>
      <c r="BV199" s="63"/>
      <c r="BW199" s="63"/>
      <c r="BX199" s="63"/>
    </row>
    <row r="200" spans="2:76" ht="23.25" customHeight="1" outlineLevel="1" x14ac:dyDescent="0.35">
      <c r="B200" s="69" t="s">
        <v>54</v>
      </c>
      <c r="C200" s="98" t="s">
        <v>77</v>
      </c>
      <c r="D200" s="70"/>
      <c r="F200" s="157" t="str">
        <f t="shared" si="179"/>
        <v/>
      </c>
      <c r="G200" s="158">
        <f t="shared" ca="1" si="180"/>
        <v>287</v>
      </c>
      <c r="H200" s="158">
        <f t="shared" ca="1" si="180"/>
        <v>123</v>
      </c>
      <c r="I200" s="158">
        <f t="shared" ca="1" si="180"/>
        <v>298</v>
      </c>
      <c r="J200" s="54"/>
      <c r="BF200" s="63"/>
      <c r="BG200" s="63"/>
      <c r="BH200" s="63"/>
      <c r="BI200" s="63"/>
      <c r="BJ200" s="63"/>
      <c r="BK200" s="63"/>
      <c r="BL200" s="63"/>
      <c r="BM200" s="63"/>
      <c r="BN200" s="63"/>
      <c r="BO200" s="63"/>
      <c r="BP200" s="63"/>
      <c r="BQ200" s="63"/>
      <c r="BR200" s="63"/>
      <c r="BS200" s="63"/>
      <c r="BT200" s="63"/>
      <c r="BU200" s="63"/>
      <c r="BV200" s="63"/>
      <c r="BW200" s="63"/>
      <c r="BX200" s="63"/>
    </row>
    <row r="201" spans="2:76" ht="23.25" customHeight="1" outlineLevel="1" x14ac:dyDescent="0.35">
      <c r="B201" s="69" t="s">
        <v>341</v>
      </c>
      <c r="C201" s="61" t="s">
        <v>51</v>
      </c>
      <c r="D201" s="131" t="str">
        <f>IF("Ska Ingå"=D200,"Ska Ingå","")</f>
        <v/>
      </c>
      <c r="F201" s="88" t="str">
        <f t="shared" si="179"/>
        <v/>
      </c>
      <c r="G201" s="89" t="str">
        <f t="shared" ca="1" si="180"/>
        <v>Kapsolo</v>
      </c>
      <c r="H201" s="89" t="str">
        <f t="shared" ca="1" si="180"/>
        <v>Cirafon</v>
      </c>
      <c r="I201" s="89" t="str">
        <f t="shared" ca="1" si="180"/>
        <v>Kapsolo</v>
      </c>
      <c r="J201" s="73"/>
      <c r="BF201" s="63"/>
      <c r="BG201" s="63"/>
      <c r="BH201" s="63"/>
      <c r="BI201" s="63"/>
      <c r="BJ201" s="63"/>
      <c r="BK201" s="63"/>
      <c r="BL201" s="63"/>
      <c r="BM201" s="63"/>
      <c r="BN201" s="63"/>
      <c r="BO201" s="63"/>
      <c r="BP201" s="63"/>
      <c r="BQ201" s="63"/>
      <c r="BR201" s="63"/>
      <c r="BS201" s="63"/>
      <c r="BT201" s="63"/>
      <c r="BU201" s="63"/>
      <c r="BV201" s="63"/>
      <c r="BW201" s="63"/>
      <c r="BX201" s="63"/>
    </row>
    <row r="202" spans="2:76" ht="68.25" customHeight="1" outlineLevel="1" x14ac:dyDescent="0.35">
      <c r="B202" s="69" t="s">
        <v>346</v>
      </c>
      <c r="C202" s="99" t="s">
        <v>52</v>
      </c>
      <c r="D202" s="132" t="str">
        <f>IF("Ska Ingå"=D200,"Ska Ingå","")</f>
        <v/>
      </c>
      <c r="F202" s="90" t="str">
        <f t="shared" si="179"/>
        <v/>
      </c>
      <c r="G202" s="91" t="str">
        <f t="shared" ca="1" si="180"/>
        <v>GBXKAP10145</v>
      </c>
      <c r="H202" s="91" t="str">
        <f t="shared" ca="1" si="180"/>
        <v>DPF11.6-9</v>
      </c>
      <c r="I202" s="91" t="str">
        <f t="shared" ca="1" si="180"/>
        <v>GBXKAP10478</v>
      </c>
      <c r="J202" s="54"/>
      <c r="BF202" s="63"/>
      <c r="BG202" s="63"/>
      <c r="BH202" s="63"/>
      <c r="BI202" s="63"/>
      <c r="BJ202" s="63"/>
      <c r="BK202" s="63"/>
      <c r="BL202" s="63"/>
      <c r="BM202" s="63"/>
      <c r="BN202" s="63"/>
      <c r="BO202" s="63"/>
      <c r="BP202" s="63"/>
      <c r="BQ202" s="63"/>
      <c r="BR202" s="63"/>
      <c r="BS202" s="63"/>
      <c r="BT202" s="63"/>
      <c r="BU202" s="63"/>
      <c r="BV202" s="63"/>
      <c r="BW202" s="63"/>
      <c r="BX202" s="63"/>
    </row>
    <row r="203" spans="2:76" ht="31.5" customHeight="1" outlineLevel="1" x14ac:dyDescent="0.35">
      <c r="B203" s="69" t="s">
        <v>55</v>
      </c>
      <c r="C203" s="95" t="s">
        <v>371</v>
      </c>
      <c r="D203" s="70"/>
      <c r="F203" s="159" t="str">
        <f t="shared" si="179"/>
        <v/>
      </c>
      <c r="G203" s="160">
        <f t="shared" ca="1" si="180"/>
        <v>240</v>
      </c>
      <c r="H203" s="160">
        <f t="shared" ca="1" si="180"/>
        <v>249</v>
      </c>
      <c r="I203" s="160">
        <f t="shared" ca="1" si="180"/>
        <v>198</v>
      </c>
      <c r="BF203" s="63"/>
      <c r="BG203" s="63"/>
      <c r="BH203" s="63"/>
      <c r="BI203" s="63"/>
      <c r="BJ203" s="63"/>
      <c r="BK203" s="63"/>
      <c r="BL203" s="63"/>
      <c r="BM203" s="63"/>
      <c r="BN203" s="63"/>
      <c r="BO203" s="63"/>
      <c r="BP203" s="63"/>
      <c r="BQ203" s="63"/>
      <c r="BR203" s="63"/>
      <c r="BS203" s="63"/>
      <c r="BT203" s="63"/>
      <c r="BU203" s="63"/>
      <c r="BV203" s="63"/>
      <c r="BW203" s="63"/>
      <c r="BX203" s="63"/>
    </row>
    <row r="204" spans="2:76" ht="23.25" customHeight="1" outlineLevel="1" x14ac:dyDescent="0.35">
      <c r="B204" s="69" t="s">
        <v>342</v>
      </c>
      <c r="C204" s="96" t="s">
        <v>51</v>
      </c>
      <c r="D204" s="131" t="str">
        <f>IF("Ska Ingå"=D203,"Ska Ingå","")</f>
        <v/>
      </c>
      <c r="F204" s="84" t="str">
        <f t="shared" si="179"/>
        <v/>
      </c>
      <c r="G204" s="85" t="str">
        <f t="shared" ca="1" si="180"/>
        <v>Dell</v>
      </c>
      <c r="H204" s="85" t="str">
        <f t="shared" ca="1" si="180"/>
        <v>HP</v>
      </c>
      <c r="I204" s="85" t="str">
        <f t="shared" ca="1" si="180"/>
        <v>HP</v>
      </c>
      <c r="BF204" s="63"/>
      <c r="BG204" s="63"/>
      <c r="BH204" s="63"/>
      <c r="BI204" s="63"/>
      <c r="BJ204" s="63"/>
      <c r="BK204" s="63"/>
      <c r="BL204" s="63"/>
      <c r="BM204" s="63"/>
      <c r="BN204" s="63"/>
      <c r="BO204" s="63"/>
      <c r="BP204" s="63"/>
      <c r="BQ204" s="63"/>
      <c r="BR204" s="63"/>
      <c r="BS204" s="63"/>
      <c r="BT204" s="63"/>
      <c r="BU204" s="63"/>
      <c r="BV204" s="63"/>
      <c r="BW204" s="63"/>
      <c r="BX204" s="63"/>
    </row>
    <row r="205" spans="2:76" ht="66.75" customHeight="1" outlineLevel="1" x14ac:dyDescent="0.35">
      <c r="B205" s="69" t="s">
        <v>347</v>
      </c>
      <c r="C205" s="97" t="s">
        <v>52</v>
      </c>
      <c r="D205" s="132" t="str">
        <f>IF("Ska Ingå"=D203,"Ska Ingå","")</f>
        <v/>
      </c>
      <c r="F205" s="86" t="str">
        <f t="shared" si="179"/>
        <v/>
      </c>
      <c r="G205" s="87" t="str">
        <f t="shared" ca="1" si="180"/>
        <v>DELL-921CW</v>
      </c>
      <c r="H205" s="87" t="str">
        <f t="shared" ca="1" si="180"/>
        <v>1MZ01AA</v>
      </c>
      <c r="I205" s="87" t="str">
        <f t="shared" ca="1" si="180"/>
        <v>GBX1HE07AA</v>
      </c>
    </row>
    <row r="206" spans="2:76" ht="23.25" customHeight="1" outlineLevel="1" x14ac:dyDescent="0.35">
      <c r="B206" s="69"/>
      <c r="C206" s="220" t="s">
        <v>365</v>
      </c>
      <c r="D206" s="220"/>
      <c r="E206" s="220"/>
      <c r="F206" s="220"/>
      <c r="G206" s="220"/>
      <c r="H206" s="220"/>
      <c r="I206" s="220"/>
    </row>
    <row r="207" spans="2:76" ht="23.25" customHeight="1" outlineLevel="1" x14ac:dyDescent="0.35">
      <c r="B207" s="71" t="s">
        <v>228</v>
      </c>
      <c r="C207" s="96" t="s">
        <v>367</v>
      </c>
      <c r="D207" s="70"/>
      <c r="F207" s="163" t="str">
        <f>IF(F$179="Inget antal angivet","",IFERROR(INDEX($AP$180:$BX$204,MATCH(F$176,$AN$180:$AN$204,0),MATCH($B207,$AP$180:$BX$180,0)),""))</f>
        <v/>
      </c>
      <c r="G207" s="164">
        <f t="shared" ref="G207:I210" ca="1" si="181">IFERROR(INDEX($AP$180:$BX$204,MATCH(G$176,$AN$180:$AN$204,0),MATCH($B207,$AP$180:$BX$180,0)),"")</f>
        <v>275</v>
      </c>
      <c r="H207" s="164">
        <f t="shared" ca="1" si="181"/>
        <v>131</v>
      </c>
      <c r="I207" s="164">
        <f t="shared" ca="1" si="181"/>
        <v>125</v>
      </c>
    </row>
    <row r="208" spans="2:76" ht="23.25" customHeight="1" outlineLevel="1" x14ac:dyDescent="0.35">
      <c r="B208" s="71" t="s">
        <v>229</v>
      </c>
      <c r="C208" s="61" t="s">
        <v>368</v>
      </c>
      <c r="D208" s="70"/>
      <c r="F208" s="165" t="str">
        <f>IF(F$179="Inget antal angivet","",IFERROR(INDEX($AP$180:$BX$204,MATCH(F$176,$AN$180:$AN$204,0),MATCH($B208,$AP$180:$BX$180,0)),""))</f>
        <v/>
      </c>
      <c r="G208" s="166">
        <f t="shared" ca="1" si="181"/>
        <v>70</v>
      </c>
      <c r="H208" s="166">
        <f t="shared" ca="1" si="181"/>
        <v>133</v>
      </c>
      <c r="I208" s="166">
        <f t="shared" ca="1" si="181"/>
        <v>70</v>
      </c>
    </row>
    <row r="209" spans="2:91" ht="23.25" customHeight="1" outlineLevel="1" x14ac:dyDescent="0.35">
      <c r="B209" s="71" t="s">
        <v>230</v>
      </c>
      <c r="C209" s="96" t="s">
        <v>369</v>
      </c>
      <c r="D209" s="70"/>
      <c r="F209" s="163" t="str">
        <f>IF(F$179="Inget antal angivet","",IFERROR(INDEX($AP$180:$BX$204,MATCH(F$176,$AN$180:$AN$204,0),MATCH($B209,$AP$180:$BX$180,0)),""))</f>
        <v/>
      </c>
      <c r="G209" s="164">
        <f t="shared" ca="1" si="181"/>
        <v>25</v>
      </c>
      <c r="H209" s="164">
        <f t="shared" ca="1" si="181"/>
        <v>20</v>
      </c>
      <c r="I209" s="164">
        <f t="shared" ca="1" si="181"/>
        <v>25</v>
      </c>
    </row>
    <row r="210" spans="2:91" ht="23.25" customHeight="1" outlineLevel="1" x14ac:dyDescent="0.35">
      <c r="B210" s="71" t="s">
        <v>231</v>
      </c>
      <c r="C210" s="61" t="s">
        <v>370</v>
      </c>
      <c r="D210" s="70"/>
      <c r="F210" s="165" t="str">
        <f>IF(F$179="Inget antal angivet","",IFERROR(INDEX($AP$180:$BX$204,MATCH(F$176,$AN$180:$AN$204,0),MATCH($B210,$AP$180:$BX$180,0)),""))</f>
        <v/>
      </c>
      <c r="G210" s="166">
        <f t="shared" ca="1" si="181"/>
        <v>25</v>
      </c>
      <c r="H210" s="166">
        <f t="shared" ca="1" si="181"/>
        <v>20</v>
      </c>
      <c r="I210" s="166">
        <f t="shared" ca="1" si="181"/>
        <v>25</v>
      </c>
    </row>
    <row r="211" spans="2:91" ht="23.25" customHeight="1" outlineLevel="1" x14ac:dyDescent="0.35"/>
    <row r="212" spans="2:91" ht="23.25" customHeight="1" collapsed="1" x14ac:dyDescent="0.35"/>
    <row r="213" spans="2:91" ht="23.25" customHeight="1" x14ac:dyDescent="0.35">
      <c r="D213" s="72" t="s">
        <v>233</v>
      </c>
      <c r="E213" s="1"/>
      <c r="F213" s="221" t="s">
        <v>252</v>
      </c>
      <c r="G213" s="221"/>
      <c r="H213" s="221"/>
      <c r="I213" s="222"/>
    </row>
    <row r="214" spans="2:91" ht="23.25" customHeight="1" x14ac:dyDescent="0.35">
      <c r="D214" s="74"/>
      <c r="F214" s="202" t="str">
        <f ca="1">IFERROR(INDEX($Y$181:$Y$192,MATCH(F176,$Z$181:$Z$192,0)) *D214,"")</f>
        <v/>
      </c>
      <c r="G214" s="202">
        <f ca="1">IFERROR(P181 *D214,"")</f>
        <v>0</v>
      </c>
      <c r="H214" s="202">
        <f ca="1">IFERROR(P182 *D214,"")</f>
        <v>0</v>
      </c>
      <c r="I214" s="202">
        <f ca="1">IFERROR(P183 * D214,"")</f>
        <v>0</v>
      </c>
    </row>
    <row r="216" spans="2:91" ht="15" thickBot="1" x14ac:dyDescent="0.4">
      <c r="C216" s="174"/>
      <c r="D216" s="174"/>
      <c r="E216" s="174"/>
      <c r="F216" s="174"/>
      <c r="G216" s="174"/>
      <c r="H216" s="174"/>
      <c r="I216" s="174"/>
    </row>
    <row r="217" spans="2:91" ht="15" thickTop="1" x14ac:dyDescent="0.35"/>
    <row r="219" spans="2:91" ht="68.25" hidden="1" customHeight="1" collapsed="1" x14ac:dyDescent="0.35">
      <c r="C219" s="53"/>
      <c r="D219" s="53"/>
      <c r="F219" s="50" t="e">
        <f ca="1">N223</f>
        <v>#N/A</v>
      </c>
      <c r="G219" s="50" t="str">
        <f ca="1">INDEX(Z224:Z247,MATCH(P224,Y224:Y247,0))</f>
        <v>Offererad produktnr. 05Qlosr Göteborg AB</v>
      </c>
      <c r="H219" s="50" t="str">
        <f ca="1">INDEX(Z223:Z246,MATCH(P225,Y223:Y246,0))</f>
        <v>Offererad produktnr. 05Dustin Sverige AB</v>
      </c>
      <c r="I219" s="50" t="str">
        <f ca="1">INDEX(Z223:Z246,MATCH(P226,Y223:Y246,0))</f>
        <v>Offererad produktnr. 06Qlosr Göteborg AB</v>
      </c>
      <c r="AP219" s="12" t="s">
        <v>124</v>
      </c>
      <c r="AQ219" s="12" t="s">
        <v>124</v>
      </c>
      <c r="AR219" s="12" t="s">
        <v>124</v>
      </c>
      <c r="AS219" s="12" t="s">
        <v>124</v>
      </c>
      <c r="AT219" s="12" t="s">
        <v>124</v>
      </c>
      <c r="AU219" s="12" t="s">
        <v>124</v>
      </c>
      <c r="AV219" s="12" t="s">
        <v>124</v>
      </c>
      <c r="AW219" s="12" t="s">
        <v>124</v>
      </c>
      <c r="AX219" s="12" t="s">
        <v>124</v>
      </c>
      <c r="AY219" s="12" t="s">
        <v>124</v>
      </c>
      <c r="AZ219" s="12" t="s">
        <v>124</v>
      </c>
      <c r="BA219" s="12" t="s">
        <v>124</v>
      </c>
      <c r="BB219" s="12" t="s">
        <v>124</v>
      </c>
      <c r="BC219" s="12" t="s">
        <v>124</v>
      </c>
      <c r="BD219" s="12" t="s">
        <v>124</v>
      </c>
      <c r="BE219" s="12" t="s">
        <v>124</v>
      </c>
      <c r="BF219" s="12" t="s">
        <v>124</v>
      </c>
      <c r="BG219" s="12" t="s">
        <v>124</v>
      </c>
      <c r="BH219" s="12" t="s">
        <v>124</v>
      </c>
      <c r="BI219" s="12" t="s">
        <v>124</v>
      </c>
      <c r="BJ219" s="12" t="s">
        <v>124</v>
      </c>
      <c r="BK219" s="12" t="s">
        <v>124</v>
      </c>
      <c r="BL219" s="12" t="s">
        <v>124</v>
      </c>
      <c r="BM219" s="12" t="s">
        <v>124</v>
      </c>
      <c r="BN219" s="12" t="s">
        <v>124</v>
      </c>
      <c r="BO219" s="12" t="s">
        <v>124</v>
      </c>
      <c r="BP219" s="12" t="s">
        <v>124</v>
      </c>
      <c r="BQ219" s="12" t="s">
        <v>124</v>
      </c>
      <c r="BR219" s="12" t="s">
        <v>124</v>
      </c>
      <c r="BS219" s="12" t="s">
        <v>124</v>
      </c>
      <c r="BT219" s="12" t="s">
        <v>124</v>
      </c>
      <c r="BU219" s="12"/>
      <c r="BV219" s="12"/>
      <c r="BW219" s="12" t="s">
        <v>124</v>
      </c>
      <c r="BX219" s="12" t="s">
        <v>124</v>
      </c>
      <c r="BY219" s="12"/>
      <c r="BZ219" s="12"/>
      <c r="CA219" s="12"/>
      <c r="CB219" s="12"/>
      <c r="CC219" s="12"/>
      <c r="CD219" s="12"/>
      <c r="CE219" s="12"/>
      <c r="CF219" s="12"/>
      <c r="CG219" s="12"/>
      <c r="CH219" s="12"/>
      <c r="CI219" s="12"/>
      <c r="CJ219" s="12"/>
      <c r="CK219" s="12"/>
      <c r="CL219" s="12"/>
    </row>
    <row r="220" spans="2:91" ht="26.25" customHeight="1" thickBot="1" x14ac:dyDescent="0.4">
      <c r="C220" s="53"/>
      <c r="D220" s="53"/>
      <c r="F220" s="140" t="s">
        <v>446</v>
      </c>
      <c r="G220" s="205" t="s">
        <v>447</v>
      </c>
      <c r="H220" s="205"/>
      <c r="I220" s="205"/>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row>
    <row r="221" spans="2:91" ht="22.5" customHeight="1" thickBot="1" x14ac:dyDescent="0.4">
      <c r="B221" t="str">
        <f ca="1" xml:space="preserve"> "Produkt "  &amp; B222</f>
        <v>Produkt 6</v>
      </c>
      <c r="C221" s="206" t="str">
        <f>IF(F222="Ingen produkt motsvarar","Felmeddelande",IF(COUNTIF(P$1:$P$6,TRUE)&gt;0,"","Felmeddelande"))</f>
        <v/>
      </c>
      <c r="D221" s="207"/>
      <c r="F221" s="218" t="s">
        <v>271</v>
      </c>
      <c r="G221" s="218"/>
      <c r="H221" s="218"/>
      <c r="I221" s="219"/>
      <c r="O221">
        <v>1</v>
      </c>
      <c r="AH221" t="s">
        <v>241</v>
      </c>
      <c r="AP221" s="13" t="str">
        <f t="shared" ref="AP221:BD221" si="182">AP223</f>
        <v>Upplösning</v>
      </c>
      <c r="AQ221" s="13" t="str">
        <f t="shared" si="182"/>
        <v>Processor</v>
      </c>
      <c r="AR221" s="13" t="str">
        <f t="shared" si="182"/>
        <v>Internminne (GB)</v>
      </c>
      <c r="AS221" s="13" t="str">
        <f t="shared" si="182"/>
        <v>Hårddisk</v>
      </c>
      <c r="AT221" s="13" t="str">
        <f t="shared" si="182"/>
        <v>Skärmstorlek (tum)</v>
      </c>
      <c r="AU221" s="13" t="str">
        <f t="shared" si="182"/>
        <v>Portar USB</v>
      </c>
      <c r="AV221" s="13" t="str">
        <f t="shared" si="182"/>
        <v>Portar USB C</v>
      </c>
      <c r="AW221" s="13" t="str">
        <f t="shared" si="182"/>
        <v>Portar HDMI/Display</v>
      </c>
      <c r="AX221" s="13" t="str">
        <f t="shared" si="182"/>
        <v>Kommunikation WLAN</v>
      </c>
      <c r="AY221" s="13" t="str">
        <f t="shared" si="182"/>
        <v>Kommunikation Bluetooth</v>
      </c>
      <c r="AZ221" s="13" t="str">
        <f t="shared" si="182"/>
        <v>Batteritid (tim)</v>
      </c>
      <c r="BA221" s="13" t="str">
        <f t="shared" si="182"/>
        <v>Energiprestanda</v>
      </c>
      <c r="BB221" s="13" t="str">
        <f t="shared" si="182"/>
        <v>Låsskydd</v>
      </c>
      <c r="BC221" s="13" t="str">
        <f t="shared" si="182"/>
        <v>Operativsystem</v>
      </c>
      <c r="BD221" s="13" t="str">
        <f t="shared" si="182"/>
        <v>Modellbenämning</v>
      </c>
      <c r="BE221" t="s">
        <v>224</v>
      </c>
      <c r="BF221" s="56" t="s">
        <v>53</v>
      </c>
      <c r="BG221" s="56" t="s">
        <v>54</v>
      </c>
      <c r="BH221" s="56" t="s">
        <v>55</v>
      </c>
      <c r="BI221" s="57" t="s">
        <v>228</v>
      </c>
      <c r="BJ221" s="57" t="s">
        <v>229</v>
      </c>
      <c r="BK221" s="57" t="s">
        <v>230</v>
      </c>
      <c r="BL221" s="57" t="s">
        <v>231</v>
      </c>
      <c r="BM221" s="57" t="s">
        <v>340</v>
      </c>
      <c r="BN221" s="57" t="s">
        <v>341</v>
      </c>
      <c r="BO221" s="57" t="s">
        <v>342</v>
      </c>
      <c r="BP221" s="57" t="s">
        <v>343</v>
      </c>
      <c r="BQ221" s="57" t="s">
        <v>345</v>
      </c>
      <c r="BR221" s="57" t="s">
        <v>346</v>
      </c>
      <c r="BS221" s="57" t="s">
        <v>347</v>
      </c>
      <c r="BT221" s="57" t="s">
        <v>348</v>
      </c>
      <c r="BU221" s="57"/>
      <c r="BV221" s="57"/>
      <c r="BW221" s="57" t="s">
        <v>6</v>
      </c>
      <c r="BX221" s="4" t="s">
        <v>51</v>
      </c>
      <c r="BY221" s="13"/>
      <c r="BZ221" s="13"/>
      <c r="CA221" s="13"/>
      <c r="CB221" s="13"/>
      <c r="CC221" s="13"/>
      <c r="CD221" s="13"/>
      <c r="CE221" s="13"/>
      <c r="CF221" s="13"/>
      <c r="CG221" s="13"/>
      <c r="CH221" s="13"/>
      <c r="CI221" s="13"/>
      <c r="CJ221" s="13"/>
      <c r="CK221" s="13"/>
      <c r="CL221" s="13"/>
    </row>
    <row r="222" spans="2:91" ht="22.5" customHeight="1" x14ac:dyDescent="0.35">
      <c r="B222">
        <f ca="1">COUNTIF($F$7:F225,"Produkt I varukorg*")</f>
        <v>6</v>
      </c>
      <c r="F222" s="51" t="str">
        <f>IF(D257&lt;1,"Inget antal angivet",IFERROR(INDEX($Y$224:$Y$235,MATCH(F219,$Z$224:$Z$235,0)),"Ingen produkt motsvarar"))</f>
        <v>Inget antal angivet</v>
      </c>
      <c r="G222" s="52">
        <f ca="1">IFERROR(P224,"Ingen produkt motsvarar")</f>
        <v>2950</v>
      </c>
      <c r="H222" s="52">
        <f ca="1">IFERROR(P225,"")</f>
        <v>3415</v>
      </c>
      <c r="I222" s="52">
        <f ca="1">IFERROR(P226,"")</f>
        <v>3610</v>
      </c>
      <c r="Z222" t="str">
        <f>IF(COUNTIF(AA222:AI222,FALSE)&gt;0,AN222,"")</f>
        <v/>
      </c>
      <c r="AN222" t="s">
        <v>126</v>
      </c>
      <c r="AP222" s="58" t="str">
        <f t="shared" ref="AP222:BT222" ca="1" si="183">IFERROR(INDEX(INDIRECT(AP$219&amp;"!$A$10:CC100000"),MATCH($AN222,INDIRECT(AP$219&amp;"!BH$10:BH100000"),0),MATCH(AP$221,INDIRECT(AP$219&amp;"!a10:CC10"),0)),"False")</f>
        <v>False</v>
      </c>
      <c r="AQ222" s="58" t="str">
        <f t="shared" ca="1" si="183"/>
        <v>False</v>
      </c>
      <c r="AR222" s="58" t="str">
        <f t="shared" ca="1" si="183"/>
        <v>False</v>
      </c>
      <c r="AS222" s="58" t="str">
        <f t="shared" ca="1" si="183"/>
        <v>False</v>
      </c>
      <c r="AT222" s="58" t="str">
        <f t="shared" ca="1" si="183"/>
        <v>False</v>
      </c>
      <c r="AU222" s="58" t="str">
        <f t="shared" ca="1" si="183"/>
        <v>False</v>
      </c>
      <c r="AV222" s="58" t="str">
        <f t="shared" ca="1" si="183"/>
        <v>False</v>
      </c>
      <c r="AW222" s="58" t="str">
        <f t="shared" ca="1" si="183"/>
        <v>False</v>
      </c>
      <c r="AX222" s="58" t="str">
        <f t="shared" ca="1" si="183"/>
        <v>False</v>
      </c>
      <c r="AY222" s="58" t="str">
        <f t="shared" ca="1" si="183"/>
        <v>False</v>
      </c>
      <c r="AZ222" s="58" t="str">
        <f t="shared" ca="1" si="183"/>
        <v>False</v>
      </c>
      <c r="BA222" s="58" t="str">
        <f t="shared" ca="1" si="183"/>
        <v>False</v>
      </c>
      <c r="BB222" s="58" t="str">
        <f t="shared" ca="1" si="183"/>
        <v>False</v>
      </c>
      <c r="BC222" s="58" t="str">
        <f t="shared" ca="1" si="183"/>
        <v>False</v>
      </c>
      <c r="BD222" s="58" t="str">
        <f t="shared" ca="1" si="183"/>
        <v>False</v>
      </c>
      <c r="BE222" s="58" t="str">
        <f t="shared" ca="1" si="183"/>
        <v>False</v>
      </c>
      <c r="BF222" s="58" t="str">
        <f t="shared" ca="1" si="183"/>
        <v>False</v>
      </c>
      <c r="BG222" s="58" t="str">
        <f t="shared" ca="1" si="183"/>
        <v>False</v>
      </c>
      <c r="BH222" s="58" t="str">
        <f t="shared" ca="1" si="183"/>
        <v>False</v>
      </c>
      <c r="BI222" s="58" t="str">
        <f t="shared" ca="1" si="183"/>
        <v>False</v>
      </c>
      <c r="BJ222" s="58" t="str">
        <f t="shared" ca="1" si="183"/>
        <v>False</v>
      </c>
      <c r="BK222" s="58" t="str">
        <f t="shared" ca="1" si="183"/>
        <v>False</v>
      </c>
      <c r="BL222" s="58" t="str">
        <f t="shared" ca="1" si="183"/>
        <v>False</v>
      </c>
      <c r="BM222" s="58" t="str">
        <f t="shared" ca="1" si="183"/>
        <v>False</v>
      </c>
      <c r="BN222" s="58" t="str">
        <f t="shared" ca="1" si="183"/>
        <v>False</v>
      </c>
      <c r="BO222" s="58" t="str">
        <f t="shared" ca="1" si="183"/>
        <v>False</v>
      </c>
      <c r="BP222" s="58" t="str">
        <f t="shared" ca="1" si="183"/>
        <v>False</v>
      </c>
      <c r="BQ222" s="58" t="str">
        <f t="shared" ca="1" si="183"/>
        <v>False</v>
      </c>
      <c r="BR222" s="58" t="str">
        <f t="shared" ca="1" si="183"/>
        <v>False</v>
      </c>
      <c r="BS222" s="58" t="str">
        <f t="shared" ca="1" si="183"/>
        <v>False</v>
      </c>
      <c r="BT222" s="58" t="str">
        <f t="shared" ca="1" si="183"/>
        <v>False</v>
      </c>
      <c r="BU222" s="58"/>
      <c r="BV222" s="58"/>
      <c r="BW222" s="58" t="str">
        <f ca="1">IFERROR(INDEX(INDIRECT(BW$219&amp;"!$A$10:CC100000"),MATCH($AN222,INDIRECT(BW$219&amp;"!BH$10:BH100000"),0),MATCH(BW$221,INDIRECT(BW$219&amp;"!a10:CC10"),0)),"False")</f>
        <v>False</v>
      </c>
      <c r="BX222" s="58" t="str">
        <f ca="1">IFERROR(INDEX(INDIRECT(BX$219&amp;"!$A$10:CC100000"),MATCH($AN222,INDIRECT(BX$219&amp;"!BH$10:BH100000"),0),MATCH(BX$221,INDIRECT(BX$219&amp;"!a10:CC10"),0)),"False")</f>
        <v>False</v>
      </c>
      <c r="BY222" s="58"/>
      <c r="BZ222" s="58"/>
      <c r="CA222" s="58"/>
      <c r="CB222" s="58"/>
      <c r="CC222" s="58"/>
      <c r="CD222" s="58"/>
      <c r="CE222" s="58"/>
      <c r="CF222" s="58"/>
      <c r="CG222" s="58"/>
      <c r="CH222" s="58"/>
      <c r="CI222" s="58"/>
      <c r="CJ222" s="58"/>
      <c r="CK222" s="58"/>
      <c r="CL222" s="58"/>
    </row>
    <row r="223" spans="2:91" ht="22.5" customHeight="1" x14ac:dyDescent="0.35">
      <c r="C223" s="210" t="str">
        <f ca="1" xml:space="preserve"> "Bärbar dator (B) "  &amp; RIGHT("00" &amp; B222,2)</f>
        <v>Bärbar dator (B) 06</v>
      </c>
      <c r="D223" s="211"/>
      <c r="F223" s="92" t="str">
        <f>IF(F222="Inget antal angivet","",IFERROR(INDEX($AP$223:$BX$247,MATCH(F$219,$AN$223:$AN$247,0),MATCH("Modellbenämning",$AP$223:$BX$223,0)),""))</f>
        <v/>
      </c>
      <c r="G223" s="92" t="str">
        <f ca="1">IFERROR(INDEX($AP$223:$BX$247,MATCH(G$219,$AN$223:$AN$247,0),MATCH("Modellbenämning",$AP$223:$BX$223,0)),"")</f>
        <v>Chromebook 3110</v>
      </c>
      <c r="H223" s="92" t="str">
        <f ca="1">IFERROR(INDEX($AP$223:$BX$247,MATCH(H$219,$AN$223:$AN$247,0),MATCH("Modellbenämning",$AP$223:$BX$223,0)),"")</f>
        <v>ChromeBook 11 G9 EE</v>
      </c>
      <c r="I223" s="92" t="str">
        <f ca="1">IFERROR(INDEX($AP$223:$BX$247,MATCH(I$219,$AN$223:$AN$247,0),MATCH("Modellbenämning",$AP$223:$BX$223,0)),"")</f>
        <v>Chromebook 14 G7</v>
      </c>
      <c r="J223" s="93"/>
      <c r="K223" s="92"/>
      <c r="L223" s="92"/>
      <c r="M223" s="92"/>
      <c r="N223" s="92" t="e">
        <f ca="1">INDEX($N$224:$N$229,MATCH(Överblick!$L$2,$M$224:$M$229,0))</f>
        <v>#N/A</v>
      </c>
      <c r="O223" s="92"/>
      <c r="P223" s="92"/>
      <c r="Q223" s="92"/>
      <c r="R223" s="92">
        <v>1</v>
      </c>
      <c r="S223" s="92">
        <v>2</v>
      </c>
      <c r="T223" s="92">
        <v>3</v>
      </c>
      <c r="U223" s="92">
        <v>5</v>
      </c>
      <c r="V223" s="92">
        <v>6</v>
      </c>
      <c r="W223" s="92">
        <v>7</v>
      </c>
      <c r="X223" s="92">
        <v>8</v>
      </c>
      <c r="Y223" s="92"/>
      <c r="Z223" s="92" t="s">
        <v>122</v>
      </c>
      <c r="AA223" s="92" t="s">
        <v>2</v>
      </c>
      <c r="AB223" s="92" t="s">
        <v>4</v>
      </c>
      <c r="AC223" s="92" t="s">
        <v>119</v>
      </c>
      <c r="AD223" s="92" t="s">
        <v>16</v>
      </c>
      <c r="AE223" s="92" t="s">
        <v>7</v>
      </c>
      <c r="AF223" s="92" t="s">
        <v>67</v>
      </c>
      <c r="AG223" s="92" t="s">
        <v>74</v>
      </c>
      <c r="AH223" s="92" t="s">
        <v>103</v>
      </c>
      <c r="AI223" s="92" t="s">
        <v>75</v>
      </c>
      <c r="AJ223" s="92" t="s">
        <v>38</v>
      </c>
      <c r="AK223" s="92"/>
      <c r="AL223" s="92"/>
      <c r="AM223" s="92"/>
      <c r="AN223" s="92" t="s">
        <v>222</v>
      </c>
      <c r="AO223" s="92">
        <v>1</v>
      </c>
      <c r="AP223" s="92" t="s">
        <v>2</v>
      </c>
      <c r="AQ223" s="92" t="s">
        <v>4</v>
      </c>
      <c r="AR223" s="92" t="s">
        <v>119</v>
      </c>
      <c r="AS223" s="92" t="s">
        <v>16</v>
      </c>
      <c r="AT223" s="92" t="s">
        <v>7</v>
      </c>
      <c r="AU223" s="92" t="s">
        <v>67</v>
      </c>
      <c r="AV223" s="92" t="s">
        <v>74</v>
      </c>
      <c r="AW223" s="92" t="s">
        <v>97</v>
      </c>
      <c r="AX223" s="92" t="s">
        <v>103</v>
      </c>
      <c r="AY223" s="92" t="s">
        <v>75</v>
      </c>
      <c r="AZ223" s="92" t="s">
        <v>120</v>
      </c>
      <c r="BA223" s="92" t="s">
        <v>38</v>
      </c>
      <c r="BB223" s="92" t="s">
        <v>37</v>
      </c>
      <c r="BC223" s="92" t="s">
        <v>3</v>
      </c>
      <c r="BD223" s="92" t="s">
        <v>52</v>
      </c>
      <c r="BE223" s="92" t="s">
        <v>25</v>
      </c>
      <c r="BF223" s="92" t="s">
        <v>53</v>
      </c>
      <c r="BG223" s="92" t="s">
        <v>54</v>
      </c>
      <c r="BH223" s="92" t="s">
        <v>55</v>
      </c>
      <c r="BI223" s="92" t="s">
        <v>228</v>
      </c>
      <c r="BJ223" s="92" t="s">
        <v>229</v>
      </c>
      <c r="BK223" s="92" t="s">
        <v>230</v>
      </c>
      <c r="BL223" s="92" t="s">
        <v>231</v>
      </c>
      <c r="BM223" s="92" t="s">
        <v>340</v>
      </c>
      <c r="BN223" s="92" t="s">
        <v>341</v>
      </c>
      <c r="BO223" s="92" t="s">
        <v>342</v>
      </c>
      <c r="BP223" s="92" t="s">
        <v>343</v>
      </c>
      <c r="BQ223" s="92" t="s">
        <v>345</v>
      </c>
      <c r="BR223" s="92" t="s">
        <v>346</v>
      </c>
      <c r="BS223" s="92" t="s">
        <v>347</v>
      </c>
      <c r="BT223" s="92" t="s">
        <v>348</v>
      </c>
      <c r="BU223" s="92"/>
      <c r="BV223" s="92"/>
      <c r="BW223" s="92" t="s">
        <v>6</v>
      </c>
      <c r="BX223" s="92" t="s">
        <v>51</v>
      </c>
      <c r="BY223" s="92" t="s">
        <v>2</v>
      </c>
      <c r="BZ223" s="92" t="s">
        <v>4</v>
      </c>
      <c r="CA223" s="92" t="s">
        <v>119</v>
      </c>
      <c r="CB223" s="92" t="s">
        <v>16</v>
      </c>
      <c r="CC223" s="92" t="s">
        <v>7</v>
      </c>
      <c r="CD223" s="92" t="s">
        <v>67</v>
      </c>
      <c r="CE223" s="92" t="s">
        <v>74</v>
      </c>
      <c r="CF223" s="92" t="s">
        <v>75</v>
      </c>
      <c r="CG223" s="92" t="s">
        <v>75</v>
      </c>
      <c r="CH223" s="92" t="s">
        <v>120</v>
      </c>
      <c r="CI223" s="92" t="s">
        <v>38</v>
      </c>
      <c r="CJ223" s="92" t="s">
        <v>37</v>
      </c>
      <c r="CK223" s="92" t="s">
        <v>3</v>
      </c>
      <c r="CL223" s="92"/>
      <c r="CM223" s="92"/>
    </row>
    <row r="224" spans="2:91" ht="22.5" customHeight="1" outlineLevel="1" x14ac:dyDescent="0.35">
      <c r="C224" s="210" t="s">
        <v>261</v>
      </c>
      <c r="D224" s="211"/>
      <c r="F224" s="76" t="str">
        <f>IF(F222="Inget antal angivet","",IFERROR(INDEX($AP$223:$BX$247,MATCH(F$219,$AN$223:$AN$247,0),MATCH("Varumärke",$AP$223:$BX$223,0)),""))</f>
        <v/>
      </c>
      <c r="G224" s="77" t="str">
        <f ca="1">IFERROR(INDEX($AP$223:$BX$247,MATCH(G$219,$AN$223:$AN$247,0),MATCH("Varumärke",$AP$223:$BX$223,0)),"")</f>
        <v>Dell</v>
      </c>
      <c r="H224" s="77" t="str">
        <f ca="1">IFERROR(INDEX($AP$223:$BX$247,MATCH(H$219,$AN$223:$AN$247,0),MATCH("Varumärke",$AP$223:$BX$223,0)),"")</f>
        <v>HP</v>
      </c>
      <c r="I224" s="119" t="str">
        <f ca="1">IFERROR(INDEX($AP$223:$BX$247,MATCH(I$219,$AN$223:$AN$247,0),MATCH("Varumärke",$AP$223:$BX$223,0)),"")</f>
        <v>HP</v>
      </c>
      <c r="K224" s="185">
        <f t="shared" ref="K224:K229" ca="1" si="184">O224*$D$257</f>
        <v>0</v>
      </c>
      <c r="L224" s="185" t="b">
        <f t="shared" ref="L224:L229" si="185">IF($D$257=0,TRUE,IF(K224=0,FALSE,TRUE))</f>
        <v>1</v>
      </c>
      <c r="M224" s="185" t="s">
        <v>162</v>
      </c>
      <c r="N224" s="185" t="str">
        <f t="shared" ref="N224:N229" ca="1" si="186">INDEX($Z$224:$Z$235,MATCH(O224,$Y$224:$Y$235,0))</f>
        <v>Offererad produktnr. 05Advania Sverige AB</v>
      </c>
      <c r="O224" s="185" cm="1">
        <f t="array" aca="1" ref="O224" ca="1">MIN(IF(($BW$224:$BW$245=M224)*($AO$224:$AO$245=$O$221),$Y$224:$Y$245))</f>
        <v>3996</v>
      </c>
      <c r="P224" s="197">
        <f ca="1">SMALL($Y$224:$Y$247,1)</f>
        <v>2950</v>
      </c>
      <c r="Q224" s="185">
        <f t="shared" ref="Q224:Q233" si="187">SUM(R224:X224)</f>
        <v>0</v>
      </c>
      <c r="R224" s="185">
        <f t="shared" ref="R224:R233" si="188">IF($D$240="",0,BF224)</f>
        <v>0</v>
      </c>
      <c r="S224" s="185">
        <f t="shared" ref="S224:S233" si="189">IF($D$243="",0,BG224)</f>
        <v>0</v>
      </c>
      <c r="T224" s="185">
        <f t="shared" ref="T224:T233" si="190">IF($D$246="",0,BH224)</f>
        <v>0</v>
      </c>
      <c r="U224" s="185">
        <f t="shared" ref="U224:U233" si="191">IF($D$250="",0,BI224)</f>
        <v>0</v>
      </c>
      <c r="V224" s="185">
        <f t="shared" ref="V224:V233" si="192">IF($D$251="",0,BJ224)</f>
        <v>0</v>
      </c>
      <c r="W224" s="185">
        <f t="shared" ref="W224:W233" si="193">IF($D$252="",0,BK224)</f>
        <v>0</v>
      </c>
      <c r="X224" s="185">
        <f t="shared" ref="X224:X233" si="194">IF($D$253="",0,BL224)</f>
        <v>0</v>
      </c>
      <c r="Y224" s="185">
        <f t="shared" ref="Y224:Y233" ca="1" si="195">IF(Z224="","",SUM(BE224,R224:X224))</f>
        <v>3996</v>
      </c>
      <c r="Z224" s="185" t="str">
        <f t="shared" ref="Z224:Z233" si="196">IF(COUNTIF(AA224:AM224,FALSE)&gt;0,"",AN224)</f>
        <v>Offererad produktnr. 05Advania Sverige AB</v>
      </c>
      <c r="AA224" s="185" t="b">
        <f t="shared" ref="AA224:AA233" si="197">IF(" 1366x768"=$D$227,TRUE,IF($D$227=0,TRUE,IF($D$227=AP224,TRUE,FALSE)))</f>
        <v>1</v>
      </c>
      <c r="AB224" s="185" t="b">
        <f t="shared" ref="AB224:AB233" si="198">IF($D$228="",TRUE,IF(AQ224=$D$228,TRUE,FALSE))</f>
        <v>1</v>
      </c>
      <c r="AC224" s="185" t="b">
        <f t="shared" ref="AC224:AC233" si="199">IF($D$229="",TRUE,IF(AR224&gt;=$D$229,TRUE,FALSE))</f>
        <v>1</v>
      </c>
      <c r="AD224" s="185" t="b">
        <f t="shared" ref="AD224:AD233" si="200">IF($D$230="",TRUE,IF(AS224&gt;=$D$230,TRUE,FALSE))</f>
        <v>1</v>
      </c>
      <c r="AE224" s="185" t="b">
        <f>IF($D$226="",TRUE,IF(COUNTIF(Processor!$I$2:$I$9,$D$226)&gt;0,AND(AT224&gt;INDEX(Processor!$J$2:$J$9,MATCH($D$226,Processor!$I$2:$I$9,0)),AT224&lt;INDEX(Processor!$K$2:$K$9,MATCH($D$226,Processor!$I$2:$I$9,0))),IF(AT224=$D$226,TRUE,FALSE)))</f>
        <v>1</v>
      </c>
      <c r="AF224" s="185" t="b">
        <f t="shared" ref="AF224:AF233" si="201">IF($D$231="",TRUE,IF(AU224&gt;=$D$231,TRUE,FALSE))</f>
        <v>1</v>
      </c>
      <c r="AG224" s="185" t="b">
        <f t="shared" ref="AG224:AG233" si="202">IF($D$232="",TRUE,IF(AV224&gt;=$D$232,TRUE,FALSE))</f>
        <v>1</v>
      </c>
      <c r="AH224" s="185" t="b">
        <f t="shared" ref="AH224:AH233" si="203">IF($D$233="",TRUE,IF($D$233="802.11a/b/g/n/ac",TRUE,IF(AX224&gt;=$D$233,TRUE,FALSE)))</f>
        <v>1</v>
      </c>
      <c r="AI224" s="185" t="b">
        <f t="shared" ref="AI224:AI233" si="204">IF($D$234="",TRUE,IF(AY224&gt;=$D$234,TRUE,FALSE))</f>
        <v>1</v>
      </c>
      <c r="AJ224" s="185" t="b">
        <f>IFERROR(IF($D236="",TRUE,IF(MID(BA224,LEN(BA224)-2,1)*1&gt;=MID($D236,LEN($D236)-2,1)*1,TRUE,FALSE)),FALSE)</f>
        <v>1</v>
      </c>
      <c r="AK224" s="185"/>
      <c r="AL224" s="185"/>
      <c r="AM224" s="185"/>
      <c r="AN224" s="185" t="s">
        <v>202</v>
      </c>
      <c r="AO224" s="185">
        <v>1</v>
      </c>
      <c r="AP224" s="185" t="str">
        <f t="shared" ref="AP224:AY233" ca="1" si="205">IFERROR(INDEX(INDIRECT(AP$219&amp;"!$A$10:CC100000"),MATCH($AN224,INDIRECT(AP$219&amp;"!BH$10:BH100000"),0),MATCH(AP$221,INDIRECT(AP$219&amp;"!a10:CC10"),0)),"False")</f>
        <v>1366x768</v>
      </c>
      <c r="AQ224" s="185" t="str">
        <f t="shared" ca="1" si="205"/>
        <v>Intel Celeron</v>
      </c>
      <c r="AR224" s="185">
        <f t="shared" ca="1" si="205"/>
        <v>4</v>
      </c>
      <c r="AS224" s="185">
        <f t="shared" ca="1" si="205"/>
        <v>32</v>
      </c>
      <c r="AT224" s="185">
        <f t="shared" ca="1" si="205"/>
        <v>11.6</v>
      </c>
      <c r="AU224" s="185">
        <f t="shared" ca="1" si="205"/>
        <v>3</v>
      </c>
      <c r="AV224" s="185">
        <f t="shared" ca="1" si="205"/>
        <v>1</v>
      </c>
      <c r="AW224" s="185">
        <f t="shared" ca="1" si="205"/>
        <v>0</v>
      </c>
      <c r="AX224" s="185" t="str">
        <f t="shared" ca="1" si="205"/>
        <v>802.11a/b/g/n/ac</v>
      </c>
      <c r="AY224" s="185">
        <f t="shared" ca="1" si="205"/>
        <v>5</v>
      </c>
      <c r="AZ224" s="185">
        <f t="shared" ref="AZ224:BI233" ca="1" si="206">IFERROR(INDEX(INDIRECT(AZ$219&amp;"!$A$10:CC100000"),MATCH($AN224,INDIRECT(AZ$219&amp;"!BH$10:BH100000"),0),MATCH(AZ$221,INDIRECT(AZ$219&amp;"!a10:CC10"),0)),"False")</f>
        <v>11</v>
      </c>
      <c r="BA224" s="185" t="str">
        <f t="shared" ca="1" si="206"/>
        <v>Version 8.0</v>
      </c>
      <c r="BB224" s="185" t="str">
        <f t="shared" ca="1" si="206"/>
        <v>Ja</v>
      </c>
      <c r="BC224" s="185" t="str">
        <f t="shared" ca="1" si="206"/>
        <v>Google Chrome OS</v>
      </c>
      <c r="BD224" s="185" t="str">
        <f t="shared" ca="1" si="206"/>
        <v>ChromeBook 11 G9 EE</v>
      </c>
      <c r="BE224" s="185">
        <f t="shared" ca="1" si="206"/>
        <v>3996</v>
      </c>
      <c r="BF224" s="192">
        <f t="shared" ca="1" si="206"/>
        <v>64</v>
      </c>
      <c r="BG224" s="192">
        <f t="shared" ca="1" si="206"/>
        <v>213</v>
      </c>
      <c r="BH224" s="192">
        <f t="shared" ca="1" si="206"/>
        <v>251</v>
      </c>
      <c r="BI224" s="192">
        <f t="shared" ca="1" si="206"/>
        <v>594</v>
      </c>
      <c r="BJ224" s="192">
        <f t="shared" ref="BJ224:BT233" ca="1" si="207">IFERROR(INDEX(INDIRECT(BJ$219&amp;"!$A$10:CC100000"),MATCH($AN224,INDIRECT(BJ$219&amp;"!BH$10:BH100000"),0),MATCH(BJ$221,INDIRECT(BJ$219&amp;"!a10:CC10"),0)),"False")</f>
        <v>112</v>
      </c>
      <c r="BK224" s="192">
        <f t="shared" ca="1" si="207"/>
        <v>50</v>
      </c>
      <c r="BL224" s="192">
        <f t="shared" ca="1" si="207"/>
        <v>50</v>
      </c>
      <c r="BM224" s="192" t="str">
        <f t="shared" ca="1" si="207"/>
        <v>V7</v>
      </c>
      <c r="BN224" s="192" t="str">
        <f t="shared" ca="1" si="207"/>
        <v>PORT Designs</v>
      </c>
      <c r="BO224" s="192" t="str">
        <f t="shared" ca="1" si="207"/>
        <v>CoreParts</v>
      </c>
      <c r="BP224" s="192">
        <f t="shared" ca="1" si="207"/>
        <v>0</v>
      </c>
      <c r="BQ224" s="192" t="str">
        <f t="shared" ca="1" si="207"/>
        <v xml:space="preserve"> CSE12-BLK-3E  - Fodral för bärbar dator 12" - svart</v>
      </c>
      <c r="BR224" s="192" t="str">
        <f t="shared" ca="1" si="207"/>
        <v>900265 - Sekretessfilter till bärbar dator - 11.6" - guld</v>
      </c>
      <c r="BS224" s="192" t="str">
        <f t="shared" ca="1" si="207"/>
        <v>MBXUSBC-AC0005 - USB-C - strömadapter 45 Watt</v>
      </c>
      <c r="BT224" s="192">
        <f t="shared" ca="1" si="207"/>
        <v>0</v>
      </c>
      <c r="BU224" s="192"/>
      <c r="BV224" s="192"/>
      <c r="BW224" s="192" t="str">
        <f t="shared" ref="BW224:BX233" ca="1" si="208">IFERROR(INDEX(INDIRECT(BW$219&amp;"!$A$10:CC100000"),MATCH($AN224,INDIRECT(BW$219&amp;"!BH$10:BH100000"),0),MATCH(BW$221,INDIRECT(BW$219&amp;"!a10:CC10"),0)),"False")</f>
        <v>Advania Sverige AB</v>
      </c>
      <c r="BX224" s="192" t="str">
        <f t="shared" ca="1" si="208"/>
        <v>HP</v>
      </c>
      <c r="BY224" s="185" t="s">
        <v>706</v>
      </c>
      <c r="BZ224" s="185" t="s">
        <v>81</v>
      </c>
      <c r="CA224" s="185">
        <v>4</v>
      </c>
      <c r="CB224" s="185">
        <v>32</v>
      </c>
      <c r="CC224" s="191">
        <v>11.6</v>
      </c>
      <c r="CD224" s="185">
        <v>2</v>
      </c>
      <c r="CE224" s="185">
        <v>1</v>
      </c>
      <c r="CF224" s="185" t="s">
        <v>86</v>
      </c>
      <c r="CG224" s="186">
        <v>5</v>
      </c>
      <c r="CH224" s="186">
        <v>11</v>
      </c>
      <c r="CI224" s="185" t="s">
        <v>527</v>
      </c>
      <c r="CJ224" s="185" t="s">
        <v>69</v>
      </c>
      <c r="CK224" s="185" t="s">
        <v>82</v>
      </c>
      <c r="CL224" s="185"/>
      <c r="CM224" s="185"/>
    </row>
    <row r="225" spans="2:91" ht="22.5" customHeight="1" outlineLevel="1" x14ac:dyDescent="0.35">
      <c r="C225" s="61" t="s">
        <v>3</v>
      </c>
      <c r="D225" s="64"/>
      <c r="F225" s="78" t="str">
        <f t="shared" ref="F225:F237" si="209">IF(F$222="Inget antal angivet","",IFERROR(INDEX($AP$223:$BX$247,MATCH(F$219,$AN$223:$AN$247,0),MATCH($C225,$AP$223:$BX$223,0)),""))</f>
        <v/>
      </c>
      <c r="G225" s="79" t="str">
        <f t="shared" ref="G225:I237" ca="1" si="210">IFERROR(INDEX($AP$223:$BX$247,MATCH(G$219,$AN$223:$AN$247,0),MATCH($C225,$AP$223:$BX$223,0)),"")</f>
        <v>Google Chrome OS</v>
      </c>
      <c r="H225" s="79" t="str">
        <f t="shared" ca="1" si="210"/>
        <v>Google Chrome OS</v>
      </c>
      <c r="I225" s="120" t="str">
        <f t="shared" ca="1" si="210"/>
        <v>Google Chrome OS</v>
      </c>
      <c r="J225" s="62"/>
      <c r="K225" s="185">
        <f t="shared" ca="1" si="184"/>
        <v>0</v>
      </c>
      <c r="L225" s="185" t="b">
        <f t="shared" si="185"/>
        <v>1</v>
      </c>
      <c r="M225" s="185" t="s">
        <v>150</v>
      </c>
      <c r="N225" s="185" t="str">
        <f t="shared" ca="1" si="186"/>
        <v>Offererad produktnr. 05Atea Sverige AB</v>
      </c>
      <c r="O225" s="185" cm="1">
        <f t="array" aca="1" ref="O225" ca="1">MIN(IF(($BW$224:$BW$245=M225)*($AO$224:$AO$245=$O$221),$Y$224:$Y$245))</f>
        <v>4802</v>
      </c>
      <c r="P225" s="197">
        <f ca="1">SMALL($Y$224:$Y$247,2)</f>
        <v>3415</v>
      </c>
      <c r="Q225" s="185">
        <f t="shared" si="187"/>
        <v>0</v>
      </c>
      <c r="R225" s="185">
        <f t="shared" si="188"/>
        <v>0</v>
      </c>
      <c r="S225" s="185">
        <f t="shared" si="189"/>
        <v>0</v>
      </c>
      <c r="T225" s="185">
        <f t="shared" si="190"/>
        <v>0</v>
      </c>
      <c r="U225" s="185">
        <f t="shared" si="191"/>
        <v>0</v>
      </c>
      <c r="V225" s="185">
        <f t="shared" si="192"/>
        <v>0</v>
      </c>
      <c r="W225" s="185">
        <f t="shared" si="193"/>
        <v>0</v>
      </c>
      <c r="X225" s="185">
        <f t="shared" si="194"/>
        <v>0</v>
      </c>
      <c r="Y225" s="185">
        <f t="shared" ca="1" si="195"/>
        <v>4882</v>
      </c>
      <c r="Z225" s="185" t="str">
        <f t="shared" si="196"/>
        <v>Offererad produktnr. 06Advania Sverige AB</v>
      </c>
      <c r="AA225" s="185" t="b">
        <f t="shared" si="197"/>
        <v>1</v>
      </c>
      <c r="AB225" s="185" t="b">
        <f t="shared" si="198"/>
        <v>1</v>
      </c>
      <c r="AC225" s="185" t="b">
        <f t="shared" si="199"/>
        <v>1</v>
      </c>
      <c r="AD225" s="185" t="b">
        <f t="shared" si="200"/>
        <v>1</v>
      </c>
      <c r="AE225" s="185" t="b">
        <f>IF($D$226="",TRUE,IF(COUNTIF(Processor!$I$2:$I$9,$D$226)&gt;0,AND(AT225&gt;INDEX(Processor!$J$2:$J$9,MATCH($D$226,Processor!$I$2:$I$9,0)),AT225&lt;INDEX(Processor!$K$2:$K$9,MATCH($D$226,Processor!$I$2:$I$9,0))),IF(AT225=$D$226,TRUE,FALSE)))</f>
        <v>1</v>
      </c>
      <c r="AF225" s="185" t="b">
        <f t="shared" si="201"/>
        <v>1</v>
      </c>
      <c r="AG225" s="185" t="b">
        <f t="shared" si="202"/>
        <v>1</v>
      </c>
      <c r="AH225" s="185" t="b">
        <f t="shared" si="203"/>
        <v>1</v>
      </c>
      <c r="AI225" s="185" t="b">
        <f t="shared" si="204"/>
        <v>1</v>
      </c>
      <c r="AJ225" s="185" t="b">
        <f>IFERROR(IF($D236="",TRUE,IF(MID(BA225,LEN(BA225)-2,1)*1&gt;=MID($D236,LEN($D236)-2,1)*1,TRUE,FALSE)),FALSE)</f>
        <v>1</v>
      </c>
      <c r="AK225" s="185"/>
      <c r="AL225" s="185"/>
      <c r="AM225" s="185"/>
      <c r="AN225" s="185" t="s">
        <v>203</v>
      </c>
      <c r="AO225" s="185">
        <v>1</v>
      </c>
      <c r="AP225" s="185" t="str">
        <f t="shared" ca="1" si="205"/>
        <v>1920x1080</v>
      </c>
      <c r="AQ225" s="185" t="str">
        <f t="shared" ca="1" si="205"/>
        <v>Intel Celeron</v>
      </c>
      <c r="AR225" s="185">
        <f t="shared" ca="1" si="205"/>
        <v>8</v>
      </c>
      <c r="AS225" s="185">
        <f t="shared" ca="1" si="205"/>
        <v>64</v>
      </c>
      <c r="AT225" s="185">
        <f t="shared" ca="1" si="205"/>
        <v>14</v>
      </c>
      <c r="AU225" s="185">
        <f t="shared" ca="1" si="205"/>
        <v>3</v>
      </c>
      <c r="AV225" s="185">
        <f t="shared" ca="1" si="205"/>
        <v>1</v>
      </c>
      <c r="AW225" s="185">
        <f t="shared" ca="1" si="205"/>
        <v>0</v>
      </c>
      <c r="AX225" s="185" t="str">
        <f t="shared" ca="1" si="205"/>
        <v>802.11a/b/g/n/ac/ax</v>
      </c>
      <c r="AY225" s="185">
        <f t="shared" ca="1" si="205"/>
        <v>5</v>
      </c>
      <c r="AZ225" s="185">
        <f t="shared" ca="1" si="206"/>
        <v>11</v>
      </c>
      <c r="BA225" s="185" t="str">
        <f t="shared" ca="1" si="206"/>
        <v>Version 8.0</v>
      </c>
      <c r="BB225" s="185" t="str">
        <f t="shared" ca="1" si="206"/>
        <v>Ja</v>
      </c>
      <c r="BC225" s="185" t="str">
        <f t="shared" ca="1" si="206"/>
        <v>Google Chrome OS</v>
      </c>
      <c r="BD225" s="185" t="str">
        <f t="shared" ca="1" si="206"/>
        <v>Chromebook 14 G7</v>
      </c>
      <c r="BE225" s="185">
        <f t="shared" ca="1" si="206"/>
        <v>4882</v>
      </c>
      <c r="BF225" s="192">
        <f t="shared" ca="1" si="206"/>
        <v>60</v>
      </c>
      <c r="BG225" s="192">
        <f t="shared" ca="1" si="206"/>
        <v>218</v>
      </c>
      <c r="BH225" s="192">
        <f t="shared" ca="1" si="206"/>
        <v>251</v>
      </c>
      <c r="BI225" s="192">
        <f t="shared" ca="1" si="206"/>
        <v>244</v>
      </c>
      <c r="BJ225" s="192">
        <f t="shared" ca="1" si="207"/>
        <v>112</v>
      </c>
      <c r="BK225" s="192">
        <f t="shared" ca="1" si="207"/>
        <v>50</v>
      </c>
      <c r="BL225" s="192">
        <f t="shared" ca="1" si="207"/>
        <v>50</v>
      </c>
      <c r="BM225" s="192" t="str">
        <f t="shared" ca="1" si="207"/>
        <v>V7</v>
      </c>
      <c r="BN225" s="192" t="str">
        <f t="shared" ca="1" si="207"/>
        <v>PORT Designs</v>
      </c>
      <c r="BO225" s="192" t="str">
        <f t="shared" ca="1" si="207"/>
        <v>CoreParts</v>
      </c>
      <c r="BP225" s="192">
        <f t="shared" ca="1" si="207"/>
        <v>0</v>
      </c>
      <c r="BQ225" s="192" t="str">
        <f t="shared" ca="1" si="207"/>
        <v xml:space="preserve"> CSE14-BLK-3E  -Fodral för bärbar dator - 14" - svart</v>
      </c>
      <c r="BR225" s="192" t="str">
        <f t="shared" ca="1" si="207"/>
        <v>900003 - Professional - filter för personlig integritet - 14"</v>
      </c>
      <c r="BS225" s="192" t="str">
        <f t="shared" ca="1" si="207"/>
        <v>MBXUSBC-AC0005 - USB-C - strömadapter 45 Watt</v>
      </c>
      <c r="BT225" s="192">
        <f t="shared" ca="1" si="207"/>
        <v>0</v>
      </c>
      <c r="BU225" s="192"/>
      <c r="BV225" s="192"/>
      <c r="BW225" s="192" t="str">
        <f t="shared" ca="1" si="208"/>
        <v>Advania Sverige AB</v>
      </c>
      <c r="BX225" s="192" t="str">
        <f t="shared" ca="1" si="208"/>
        <v>HP</v>
      </c>
      <c r="BY225" s="185" t="s">
        <v>71</v>
      </c>
      <c r="BZ225" s="185" t="s">
        <v>696</v>
      </c>
      <c r="CA225" s="185">
        <v>8</v>
      </c>
      <c r="CB225" s="185">
        <v>64</v>
      </c>
      <c r="CC225" s="191">
        <v>14</v>
      </c>
      <c r="CD225" s="185">
        <v>3</v>
      </c>
      <c r="CE225" s="185">
        <v>2</v>
      </c>
      <c r="CF225" s="185" t="s">
        <v>79</v>
      </c>
      <c r="CG225" s="186">
        <v>5.0999999999999996</v>
      </c>
      <c r="CH225" s="186"/>
      <c r="CI225" s="185"/>
      <c r="CJ225" s="185"/>
      <c r="CK225" s="185"/>
      <c r="CL225" s="185"/>
      <c r="CM225" s="185"/>
    </row>
    <row r="226" spans="2:91" ht="22.5" customHeight="1" outlineLevel="1" x14ac:dyDescent="0.35">
      <c r="C226" s="61" t="s">
        <v>7</v>
      </c>
      <c r="D226" s="64"/>
      <c r="F226" s="78" t="str">
        <f t="shared" si="209"/>
        <v/>
      </c>
      <c r="G226" s="79">
        <f t="shared" ca="1" si="210"/>
        <v>11.6</v>
      </c>
      <c r="H226" s="79">
        <f t="shared" ca="1" si="210"/>
        <v>11.6</v>
      </c>
      <c r="I226" s="120">
        <f t="shared" ca="1" si="210"/>
        <v>14</v>
      </c>
      <c r="J226" s="62"/>
      <c r="K226" s="185">
        <f t="shared" ca="1" si="184"/>
        <v>0</v>
      </c>
      <c r="L226" s="185" t="b">
        <f t="shared" si="185"/>
        <v>1</v>
      </c>
      <c r="M226" s="185" t="s">
        <v>128</v>
      </c>
      <c r="N226" s="185" t="str">
        <f t="shared" ca="1" si="186"/>
        <v>Offererad produktnr. 05Dustin Sverige AB</v>
      </c>
      <c r="O226" s="185" cm="1">
        <f t="array" aca="1" ref="O226" ca="1">MIN(IF(($BW$224:$BW$245=M226)*($AO$224:$AO$245=$O$221),$Y$224:$Y$245))</f>
        <v>3415</v>
      </c>
      <c r="P226" s="197">
        <f ca="1">SMALL($Y$224:$Y$247,3)</f>
        <v>3610</v>
      </c>
      <c r="Q226" s="185">
        <f t="shared" si="187"/>
        <v>0</v>
      </c>
      <c r="R226" s="185">
        <f t="shared" si="188"/>
        <v>0</v>
      </c>
      <c r="S226" s="185">
        <f t="shared" si="189"/>
        <v>0</v>
      </c>
      <c r="T226" s="185">
        <f t="shared" si="190"/>
        <v>0</v>
      </c>
      <c r="U226" s="185">
        <f t="shared" si="191"/>
        <v>0</v>
      </c>
      <c r="V226" s="185">
        <f t="shared" si="192"/>
        <v>0</v>
      </c>
      <c r="W226" s="185">
        <f t="shared" si="193"/>
        <v>0</v>
      </c>
      <c r="X226" s="185">
        <f t="shared" si="194"/>
        <v>0</v>
      </c>
      <c r="Y226" s="185">
        <f t="shared" ca="1" si="195"/>
        <v>4802</v>
      </c>
      <c r="Z226" s="185" t="str">
        <f t="shared" si="196"/>
        <v>Offererad produktnr. 05Atea Sverige AB</v>
      </c>
      <c r="AA226" s="185" t="b">
        <f t="shared" si="197"/>
        <v>1</v>
      </c>
      <c r="AB226" s="185" t="b">
        <f t="shared" si="198"/>
        <v>1</v>
      </c>
      <c r="AC226" s="185" t="b">
        <f t="shared" si="199"/>
        <v>1</v>
      </c>
      <c r="AD226" s="185" t="b">
        <f t="shared" si="200"/>
        <v>1</v>
      </c>
      <c r="AE226" s="185" t="b">
        <f>IF($D$226="",TRUE,IF(COUNTIF(Processor!$I$2:$I$9,$D$226)&gt;0,AND(AT226&gt;INDEX(Processor!$J$2:$J$9,MATCH($D$226,Processor!$I$2:$I$9,0)),AT226&lt;INDEX(Processor!$K$2:$K$9,MATCH($D$226,Processor!$I$2:$I$9,0))),IF(AT226=$D$226,TRUE,FALSE)))</f>
        <v>1</v>
      </c>
      <c r="AF226" s="185" t="b">
        <f t="shared" si="201"/>
        <v>1</v>
      </c>
      <c r="AG226" s="185" t="b">
        <f t="shared" si="202"/>
        <v>1</v>
      </c>
      <c r="AH226" s="185" t="b">
        <f t="shared" si="203"/>
        <v>1</v>
      </c>
      <c r="AI226" s="185" t="b">
        <f t="shared" si="204"/>
        <v>1</v>
      </c>
      <c r="AJ226" s="185" t="b">
        <f>IFERROR(IF($D236="",TRUE,IF(MID(BA226,LEN(BA226)-2,1)*1&gt;=MID($D236,LEN($D236)-2,1)*1,TRUE,FALSE)),FALSE)</f>
        <v>1</v>
      </c>
      <c r="AK226" s="185"/>
      <c r="AL226" s="185"/>
      <c r="AM226" s="185"/>
      <c r="AN226" s="185" t="s">
        <v>190</v>
      </c>
      <c r="AO226" s="185">
        <v>1</v>
      </c>
      <c r="AP226" s="185" t="str">
        <f t="shared" ca="1" si="205"/>
        <v>1366x768</v>
      </c>
      <c r="AQ226" s="185" t="str">
        <f t="shared" ca="1" si="205"/>
        <v>Intel Celeron</v>
      </c>
      <c r="AR226" s="185">
        <f t="shared" ca="1" si="205"/>
        <v>4</v>
      </c>
      <c r="AS226" s="185">
        <f t="shared" ca="1" si="205"/>
        <v>32</v>
      </c>
      <c r="AT226" s="185">
        <f t="shared" ca="1" si="205"/>
        <v>11.6</v>
      </c>
      <c r="AU226" s="185">
        <f t="shared" ca="1" si="205"/>
        <v>2</v>
      </c>
      <c r="AV226" s="185">
        <f t="shared" ca="1" si="205"/>
        <v>1</v>
      </c>
      <c r="AW226" s="185">
        <f t="shared" ca="1" si="205"/>
        <v>0</v>
      </c>
      <c r="AX226" s="185" t="str">
        <f t="shared" ca="1" si="205"/>
        <v>802.11a/b/g/n/ac/ax</v>
      </c>
      <c r="AY226" s="185">
        <f t="shared" ca="1" si="205"/>
        <v>5.0999999999999996</v>
      </c>
      <c r="AZ226" s="185">
        <f t="shared" ca="1" si="206"/>
        <v>11</v>
      </c>
      <c r="BA226" s="185" t="str">
        <f t="shared" ca="1" si="206"/>
        <v>Version 8.0</v>
      </c>
      <c r="BB226" s="185" t="str">
        <f t="shared" ca="1" si="206"/>
        <v>Ja</v>
      </c>
      <c r="BC226" s="185" t="str">
        <f t="shared" ca="1" si="206"/>
        <v>Google Chrome OS</v>
      </c>
      <c r="BD226" s="185" t="str">
        <f t="shared" ca="1" si="206"/>
        <v>100e Chr Gen3</v>
      </c>
      <c r="BE226" s="185">
        <f t="shared" ca="1" si="206"/>
        <v>4802</v>
      </c>
      <c r="BF226" s="192">
        <f t="shared" ca="1" si="206"/>
        <v>145</v>
      </c>
      <c r="BG226" s="192">
        <f t="shared" ca="1" si="206"/>
        <v>431</v>
      </c>
      <c r="BH226" s="192">
        <f t="shared" ca="1" si="206"/>
        <v>361</v>
      </c>
      <c r="BI226" s="192">
        <f t="shared" ca="1" si="206"/>
        <v>728</v>
      </c>
      <c r="BJ226" s="192">
        <f t="shared" ca="1" si="207"/>
        <v>120</v>
      </c>
      <c r="BK226" s="192">
        <f t="shared" ca="1" si="207"/>
        <v>85</v>
      </c>
      <c r="BL226" s="192">
        <f t="shared" ca="1" si="207"/>
        <v>100</v>
      </c>
      <c r="BM226" s="192" t="str">
        <f t="shared" ca="1" si="207"/>
        <v xml:space="preserve">Lenovo </v>
      </c>
      <c r="BN226" s="192" t="str">
        <f t="shared" ca="1" si="207"/>
        <v>Lenovo</v>
      </c>
      <c r="BO226" s="192" t="str">
        <f t="shared" ca="1" si="207"/>
        <v>Lenovo</v>
      </c>
      <c r="BP226" s="192">
        <f t="shared" ca="1" si="207"/>
        <v>0</v>
      </c>
      <c r="BQ226" s="192" t="str">
        <f t="shared" ca="1" si="207"/>
        <v>Basic Sleeve 11"</v>
      </c>
      <c r="BR226" s="192" t="str">
        <f t="shared" ca="1" si="207"/>
        <v>Lenovo 11.6" Privacy Filter</v>
      </c>
      <c r="BS226" s="192" t="str">
        <f t="shared" ca="1" si="207"/>
        <v>Power adapter USB-C 45w</v>
      </c>
      <c r="BT226" s="192">
        <f t="shared" ca="1" si="207"/>
        <v>0</v>
      </c>
      <c r="BU226" s="192"/>
      <c r="BV226" s="192"/>
      <c r="BW226" s="192" t="str">
        <f t="shared" ca="1" si="208"/>
        <v>Atea Sverige AB</v>
      </c>
      <c r="BX226" s="192" t="str">
        <f t="shared" ca="1" si="208"/>
        <v>Lenovo</v>
      </c>
      <c r="BY226" s="185"/>
      <c r="BZ226" s="185"/>
      <c r="CA226" s="185"/>
      <c r="CB226" s="185"/>
      <c r="CC226" s="185"/>
      <c r="CD226" s="185">
        <v>4</v>
      </c>
      <c r="CE226" s="185"/>
      <c r="CF226" s="185"/>
      <c r="CG226" s="186"/>
      <c r="CH226" s="186"/>
      <c r="CI226" s="185"/>
      <c r="CJ226" s="185"/>
      <c r="CK226" s="185"/>
      <c r="CL226" s="185"/>
      <c r="CM226" s="185"/>
    </row>
    <row r="227" spans="2:91" ht="22.5" customHeight="1" outlineLevel="1" x14ac:dyDescent="0.35">
      <c r="C227" s="61" t="s">
        <v>2</v>
      </c>
      <c r="D227" s="64"/>
      <c r="F227" s="78" t="str">
        <f t="shared" si="209"/>
        <v/>
      </c>
      <c r="G227" s="79" t="str">
        <f t="shared" ca="1" si="210"/>
        <v>1366x768</v>
      </c>
      <c r="H227" s="79" t="str">
        <f t="shared" ca="1" si="210"/>
        <v>1366x768</v>
      </c>
      <c r="I227" s="120" t="str">
        <f t="shared" ca="1" si="210"/>
        <v>1920x1080</v>
      </c>
      <c r="J227" s="62"/>
      <c r="K227" s="185">
        <f t="shared" ca="1" si="184"/>
        <v>0</v>
      </c>
      <c r="L227" s="185" t="b">
        <f t="shared" si="185"/>
        <v>1</v>
      </c>
      <c r="M227" s="185" t="s">
        <v>169</v>
      </c>
      <c r="N227" s="185" t="str">
        <f t="shared" ca="1" si="186"/>
        <v>Offererad produktnr. 05Foxway Education AB</v>
      </c>
      <c r="O227" s="185" cm="1">
        <f t="array" aca="1" ref="O227" ca="1">MIN(IF(($BW$224:$BW$245=M227)*($AO$224:$AO$245=$O$221),$Y$224:$Y$245))</f>
        <v>3636</v>
      </c>
      <c r="P227" s="197"/>
      <c r="Q227" s="185">
        <f t="shared" si="187"/>
        <v>0</v>
      </c>
      <c r="R227" s="185">
        <f t="shared" si="188"/>
        <v>0</v>
      </c>
      <c r="S227" s="185">
        <f t="shared" si="189"/>
        <v>0</v>
      </c>
      <c r="T227" s="185">
        <f t="shared" si="190"/>
        <v>0</v>
      </c>
      <c r="U227" s="185">
        <f t="shared" si="191"/>
        <v>0</v>
      </c>
      <c r="V227" s="185">
        <f t="shared" si="192"/>
        <v>0</v>
      </c>
      <c r="W227" s="185">
        <f t="shared" si="193"/>
        <v>0</v>
      </c>
      <c r="X227" s="185">
        <f t="shared" si="194"/>
        <v>0</v>
      </c>
      <c r="Y227" s="185">
        <f t="shared" ca="1" si="195"/>
        <v>6392</v>
      </c>
      <c r="Z227" s="185" t="str">
        <f t="shared" si="196"/>
        <v>Offererad produktnr. 06Atea Sverige AB</v>
      </c>
      <c r="AA227" s="185" t="b">
        <f t="shared" si="197"/>
        <v>1</v>
      </c>
      <c r="AB227" s="185" t="b">
        <f t="shared" si="198"/>
        <v>1</v>
      </c>
      <c r="AC227" s="185" t="b">
        <f t="shared" si="199"/>
        <v>1</v>
      </c>
      <c r="AD227" s="185" t="b">
        <f t="shared" si="200"/>
        <v>1</v>
      </c>
      <c r="AE227" s="185" t="b">
        <f>IF($D$226="",TRUE,IF(COUNTIF(Processor!$I$2:$I$9,$D$226)&gt;0,AND(AT227&gt;INDEX(Processor!$J$2:$J$9,MATCH($D$226,Processor!$I$2:$I$9,0)),AT227&lt;INDEX(Processor!$K$2:$K$9,MATCH($D$226,Processor!$I$2:$I$9,0))),IF(AT227=$D$226,TRUE,FALSE)))</f>
        <v>1</v>
      </c>
      <c r="AF227" s="185" t="b">
        <f t="shared" si="201"/>
        <v>1</v>
      </c>
      <c r="AG227" s="185" t="b">
        <f t="shared" si="202"/>
        <v>1</v>
      </c>
      <c r="AH227" s="185" t="b">
        <f t="shared" si="203"/>
        <v>1</v>
      </c>
      <c r="AI227" s="185" t="b">
        <f t="shared" si="204"/>
        <v>1</v>
      </c>
      <c r="AJ227" s="185" t="b">
        <f>IFERROR(IF($D236="",TRUE,IF(MID(BA227,LEN(BA227)-2,1)*1&gt;=MID($D236,LEN($D236)-2,1)*1,TRUE,FALSE)),FALSE)</f>
        <v>1</v>
      </c>
      <c r="AK227" s="185"/>
      <c r="AL227" s="185"/>
      <c r="AM227" s="185"/>
      <c r="AN227" s="185" t="s">
        <v>191</v>
      </c>
      <c r="AO227" s="185">
        <v>1</v>
      </c>
      <c r="AP227" s="185" t="str">
        <f t="shared" ca="1" si="205"/>
        <v>1920x1080</v>
      </c>
      <c r="AQ227" s="185" t="str">
        <f t="shared" ca="1" si="205"/>
        <v>Intel Celeron</v>
      </c>
      <c r="AR227" s="185">
        <f t="shared" ca="1" si="205"/>
        <v>8</v>
      </c>
      <c r="AS227" s="185">
        <f t="shared" ca="1" si="205"/>
        <v>64</v>
      </c>
      <c r="AT227" s="185">
        <f t="shared" ca="1" si="205"/>
        <v>14</v>
      </c>
      <c r="AU227" s="185">
        <f t="shared" ca="1" si="205"/>
        <v>3</v>
      </c>
      <c r="AV227" s="185">
        <f t="shared" ca="1" si="205"/>
        <v>1</v>
      </c>
      <c r="AW227" s="185">
        <f t="shared" ca="1" si="205"/>
        <v>0</v>
      </c>
      <c r="AX227" s="185" t="str">
        <f t="shared" ca="1" si="205"/>
        <v>802.11a/b/g/n/ac/ax</v>
      </c>
      <c r="AY227" s="185">
        <f t="shared" ca="1" si="205"/>
        <v>5</v>
      </c>
      <c r="AZ227" s="185">
        <f t="shared" ca="1" si="206"/>
        <v>11</v>
      </c>
      <c r="BA227" s="185" t="str">
        <f t="shared" ca="1" si="206"/>
        <v>Version 8.0</v>
      </c>
      <c r="BB227" s="185" t="str">
        <f t="shared" ca="1" si="206"/>
        <v>Ja</v>
      </c>
      <c r="BC227" s="185" t="str">
        <f t="shared" ca="1" si="206"/>
        <v>Google Chrome OS</v>
      </c>
      <c r="BD227" s="185" t="str">
        <f t="shared" ca="1" si="206"/>
        <v>Chromebook 14 G7</v>
      </c>
      <c r="BE227" s="185">
        <f t="shared" ca="1" si="206"/>
        <v>6392</v>
      </c>
      <c r="BF227" s="192">
        <f t="shared" ca="1" si="206"/>
        <v>134</v>
      </c>
      <c r="BG227" s="192">
        <f t="shared" ca="1" si="206"/>
        <v>449</v>
      </c>
      <c r="BH227" s="192">
        <f t="shared" ca="1" si="206"/>
        <v>389</v>
      </c>
      <c r="BI227" s="192">
        <f t="shared" ca="1" si="206"/>
        <v>276</v>
      </c>
      <c r="BJ227" s="192">
        <f t="shared" ca="1" si="207"/>
        <v>120</v>
      </c>
      <c r="BK227" s="192">
        <f t="shared" ca="1" si="207"/>
        <v>85</v>
      </c>
      <c r="BL227" s="192">
        <f t="shared" ca="1" si="207"/>
        <v>100</v>
      </c>
      <c r="BM227" s="192" t="str">
        <f t="shared" ca="1" si="207"/>
        <v>DELTACO</v>
      </c>
      <c r="BN227" s="192" t="str">
        <f t="shared" ca="1" si="207"/>
        <v>Targus</v>
      </c>
      <c r="BO227" s="192" t="str">
        <f t="shared" ca="1" si="207"/>
        <v>HP</v>
      </c>
      <c r="BP227" s="192">
        <f t="shared" ca="1" si="207"/>
        <v>0</v>
      </c>
      <c r="BQ227" s="192" t="str">
        <f t="shared" ca="1" si="207"/>
        <v xml:space="preserve">Fodral för bärbar dator </v>
      </c>
      <c r="BR227" s="192" t="str">
        <f t="shared" ca="1" si="207"/>
        <v>Targus Privacy Screen 14"</v>
      </c>
      <c r="BS227" s="192" t="str">
        <f t="shared" ca="1" si="207"/>
        <v>HP 45W USB-C Power Adapter G2</v>
      </c>
      <c r="BT227" s="192">
        <f t="shared" ca="1" si="207"/>
        <v>0</v>
      </c>
      <c r="BU227" s="192"/>
      <c r="BV227" s="192"/>
      <c r="BW227" s="192" t="str">
        <f t="shared" ca="1" si="208"/>
        <v>Atea Sverige AB</v>
      </c>
      <c r="BX227" s="192" t="str">
        <f t="shared" ca="1" si="208"/>
        <v>HP</v>
      </c>
      <c r="BY227" s="185"/>
      <c r="BZ227" s="185"/>
      <c r="CA227" s="185"/>
      <c r="CB227" s="185"/>
      <c r="CC227" s="185"/>
      <c r="CD227" s="185"/>
      <c r="CE227" s="185"/>
      <c r="CF227" s="185"/>
      <c r="CG227" s="186"/>
      <c r="CH227" s="186"/>
      <c r="CI227" s="185"/>
      <c r="CJ227" s="185"/>
      <c r="CK227" s="185"/>
      <c r="CL227" s="185"/>
      <c r="CM227" s="185"/>
    </row>
    <row r="228" spans="2:91" ht="22.5" customHeight="1" outlineLevel="1" x14ac:dyDescent="0.35">
      <c r="C228" s="61" t="s">
        <v>4</v>
      </c>
      <c r="D228" s="64"/>
      <c r="F228" s="78" t="str">
        <f t="shared" si="209"/>
        <v/>
      </c>
      <c r="G228" s="79" t="str">
        <f t="shared" ca="1" si="210"/>
        <v>Intel Celeron</v>
      </c>
      <c r="H228" s="79" t="str">
        <f t="shared" ca="1" si="210"/>
        <v>Intel Celeron</v>
      </c>
      <c r="I228" s="120" t="str">
        <f t="shared" ca="1" si="210"/>
        <v>Intel Celeron</v>
      </c>
      <c r="J228" s="62"/>
      <c r="K228" s="185">
        <f t="shared" ca="1" si="184"/>
        <v>0</v>
      </c>
      <c r="L228" s="185" t="b">
        <f t="shared" si="185"/>
        <v>1</v>
      </c>
      <c r="M228" s="185" t="s">
        <v>167</v>
      </c>
      <c r="N228" s="185" t="e">
        <f t="shared" ca="1" si="186"/>
        <v>#N/A</v>
      </c>
      <c r="O228" s="185" cm="1">
        <f t="array" aca="1" ref="O228" ca="1">MIN(IF(($BW$224:$BW$245=M228)*($AO$224:$AO$245=$O$221),$Y$224:$Y$245))</f>
        <v>0</v>
      </c>
      <c r="P228" s="197"/>
      <c r="Q228" s="185">
        <f t="shared" si="187"/>
        <v>0</v>
      </c>
      <c r="R228" s="185">
        <f t="shared" si="188"/>
        <v>0</v>
      </c>
      <c r="S228" s="185">
        <f t="shared" si="189"/>
        <v>0</v>
      </c>
      <c r="T228" s="185">
        <f t="shared" si="190"/>
        <v>0</v>
      </c>
      <c r="U228" s="185">
        <f t="shared" si="191"/>
        <v>0</v>
      </c>
      <c r="V228" s="185">
        <f t="shared" si="192"/>
        <v>0</v>
      </c>
      <c r="W228" s="185">
        <f t="shared" si="193"/>
        <v>0</v>
      </c>
      <c r="X228" s="185">
        <f t="shared" si="194"/>
        <v>0</v>
      </c>
      <c r="Y228" s="185">
        <f t="shared" ca="1" si="195"/>
        <v>3415</v>
      </c>
      <c r="Z228" s="185" t="str">
        <f t="shared" si="196"/>
        <v>Offererad produktnr. 05Dustin Sverige AB</v>
      </c>
      <c r="AA228" s="185" t="b">
        <f t="shared" si="197"/>
        <v>1</v>
      </c>
      <c r="AB228" s="185" t="b">
        <f t="shared" si="198"/>
        <v>1</v>
      </c>
      <c r="AC228" s="185" t="b">
        <f t="shared" si="199"/>
        <v>1</v>
      </c>
      <c r="AD228" s="185" t="b">
        <f t="shared" si="200"/>
        <v>1</v>
      </c>
      <c r="AE228" s="185" t="b">
        <f>IF($D$226="",TRUE,IF(COUNTIF(Processor!$I$2:$I$9,$D$226)&gt;0,AND(AT228&gt;INDEX(Processor!$J$2:$J$9,MATCH($D$226,Processor!$I$2:$I$9,0)),AT228&lt;INDEX(Processor!$K$2:$K$9,MATCH($D$226,Processor!$I$2:$I$9,0))),IF(AT228=$D$226,TRUE,FALSE)))</f>
        <v>1</v>
      </c>
      <c r="AF228" s="185" t="b">
        <f t="shared" si="201"/>
        <v>1</v>
      </c>
      <c r="AG228" s="185" t="b">
        <f t="shared" si="202"/>
        <v>1</v>
      </c>
      <c r="AH228" s="185" t="b">
        <f t="shared" si="203"/>
        <v>1</v>
      </c>
      <c r="AI228" s="185" t="b">
        <f t="shared" si="204"/>
        <v>1</v>
      </c>
      <c r="AJ228" s="185" t="b">
        <f>IFERROR(IF($D236="",TRUE,IF(MID(BA228,LEN(BA228)-2,1)*1&gt;=MID($D236,LEN($D236)-2,1)*1,TRUE,FALSE)),FALSE)</f>
        <v>1</v>
      </c>
      <c r="AK228" s="185"/>
      <c r="AL228" s="185"/>
      <c r="AM228" s="185"/>
      <c r="AN228" s="185" t="s">
        <v>178</v>
      </c>
      <c r="AO228" s="185">
        <v>1</v>
      </c>
      <c r="AP228" s="185" t="str">
        <f t="shared" ca="1" si="205"/>
        <v>1366x768</v>
      </c>
      <c r="AQ228" s="185" t="str">
        <f t="shared" ca="1" si="205"/>
        <v>Intel Celeron</v>
      </c>
      <c r="AR228" s="185">
        <f t="shared" ca="1" si="205"/>
        <v>4</v>
      </c>
      <c r="AS228" s="185">
        <f t="shared" ca="1" si="205"/>
        <v>32</v>
      </c>
      <c r="AT228" s="185">
        <f t="shared" ca="1" si="205"/>
        <v>11.6</v>
      </c>
      <c r="AU228" s="185">
        <f t="shared" ca="1" si="205"/>
        <v>4</v>
      </c>
      <c r="AV228" s="185">
        <f t="shared" ca="1" si="205"/>
        <v>2</v>
      </c>
      <c r="AW228" s="185">
        <f t="shared" ca="1" si="205"/>
        <v>0</v>
      </c>
      <c r="AX228" s="185" t="str">
        <f t="shared" ca="1" si="205"/>
        <v>802.11a/b/g/n/ac/ax</v>
      </c>
      <c r="AY228" s="185">
        <f t="shared" ca="1" si="205"/>
        <v>5</v>
      </c>
      <c r="AZ228" s="185">
        <f t="shared" ca="1" si="206"/>
        <v>11</v>
      </c>
      <c r="BA228" s="185" t="str">
        <f t="shared" ca="1" si="206"/>
        <v>Version 8.0</v>
      </c>
      <c r="BB228" s="185" t="str">
        <f t="shared" ca="1" si="206"/>
        <v>Ja</v>
      </c>
      <c r="BC228" s="185" t="str">
        <f t="shared" ca="1" si="206"/>
        <v>Google Chrome OS</v>
      </c>
      <c r="BD228" s="185" t="str">
        <f t="shared" ca="1" si="206"/>
        <v>ChromeBook 11 G9 EE</v>
      </c>
      <c r="BE228" s="185">
        <f t="shared" ca="1" si="206"/>
        <v>3415</v>
      </c>
      <c r="BF228" s="192">
        <f t="shared" ca="1" si="206"/>
        <v>87</v>
      </c>
      <c r="BG228" s="192">
        <f t="shared" ca="1" si="206"/>
        <v>123</v>
      </c>
      <c r="BH228" s="192">
        <f t="shared" ca="1" si="206"/>
        <v>249</v>
      </c>
      <c r="BI228" s="192">
        <f t="shared" ca="1" si="206"/>
        <v>131</v>
      </c>
      <c r="BJ228" s="192">
        <f t="shared" ca="1" si="207"/>
        <v>133</v>
      </c>
      <c r="BK228" s="192">
        <f t="shared" ca="1" si="207"/>
        <v>20</v>
      </c>
      <c r="BL228" s="192">
        <f t="shared" ca="1" si="207"/>
        <v>20</v>
      </c>
      <c r="BM228" s="192" t="str">
        <f t="shared" ca="1" si="207"/>
        <v>Cirafon</v>
      </c>
      <c r="BN228" s="192" t="str">
        <f t="shared" ca="1" si="207"/>
        <v>Cirafon</v>
      </c>
      <c r="BO228" s="192" t="str">
        <f t="shared" ca="1" si="207"/>
        <v>HP</v>
      </c>
      <c r="BP228" s="192">
        <f t="shared" ca="1" si="207"/>
        <v>0</v>
      </c>
      <c r="BQ228" s="192" t="str">
        <f t="shared" ca="1" si="207"/>
        <v>LSN9117-11</v>
      </c>
      <c r="BR228" s="192" t="str">
        <f t="shared" ca="1" si="207"/>
        <v>DPF11.6-9</v>
      </c>
      <c r="BS228" s="192" t="str">
        <f t="shared" ca="1" si="207"/>
        <v>1MZ01AA</v>
      </c>
      <c r="BT228" s="192">
        <f t="shared" ca="1" si="207"/>
        <v>0</v>
      </c>
      <c r="BU228" s="192"/>
      <c r="BV228" s="192"/>
      <c r="BW228" s="192" t="str">
        <f t="shared" ca="1" si="208"/>
        <v>Dustin Sverige AB</v>
      </c>
      <c r="BX228" s="192" t="str">
        <f t="shared" ca="1" si="208"/>
        <v>HP</v>
      </c>
      <c r="BY228" s="185"/>
      <c r="BZ228" s="185"/>
      <c r="CA228" s="185"/>
      <c r="CB228" s="185"/>
      <c r="CC228" s="185">
        <v>0</v>
      </c>
      <c r="CD228" s="185"/>
      <c r="CE228" s="185"/>
      <c r="CF228" s="185"/>
      <c r="CG228" s="186">
        <v>0</v>
      </c>
      <c r="CH228" s="185"/>
      <c r="CI228" s="185"/>
      <c r="CJ228" s="185"/>
      <c r="CK228" s="185"/>
      <c r="CL228" s="185"/>
      <c r="CM228" s="185"/>
    </row>
    <row r="229" spans="2:91" ht="22.5" customHeight="1" outlineLevel="1" x14ac:dyDescent="0.35">
      <c r="C229" s="61" t="s">
        <v>119</v>
      </c>
      <c r="D229" s="64"/>
      <c r="F229" s="78" t="str">
        <f t="shared" si="209"/>
        <v/>
      </c>
      <c r="G229" s="79">
        <f t="shared" ca="1" si="210"/>
        <v>4</v>
      </c>
      <c r="H229" s="79">
        <f t="shared" ca="1" si="210"/>
        <v>4</v>
      </c>
      <c r="I229" s="120">
        <f t="shared" ca="1" si="210"/>
        <v>8</v>
      </c>
      <c r="J229" s="62"/>
      <c r="K229" s="185">
        <f t="shared" ca="1" si="184"/>
        <v>0</v>
      </c>
      <c r="L229" s="185" t="b">
        <f t="shared" si="185"/>
        <v>1</v>
      </c>
      <c r="M229" s="185" t="s">
        <v>546</v>
      </c>
      <c r="N229" s="185" t="str">
        <f t="shared" ca="1" si="186"/>
        <v>Offererad produktnr. 05Qlosr Göteborg AB</v>
      </c>
      <c r="O229" s="185" cm="1">
        <f t="array" aca="1" ref="O229" ca="1">MIN(IF(($BW$224:$BW$245=M229)*($AO$224:$AO$245=$O$221),$Y$224:$Y$245))</f>
        <v>2950</v>
      </c>
      <c r="P229" s="197"/>
      <c r="Q229" s="185">
        <f t="shared" si="187"/>
        <v>0</v>
      </c>
      <c r="R229" s="185">
        <f t="shared" si="188"/>
        <v>0</v>
      </c>
      <c r="S229" s="185">
        <f t="shared" si="189"/>
        <v>0</v>
      </c>
      <c r="T229" s="185">
        <f t="shared" si="190"/>
        <v>0</v>
      </c>
      <c r="U229" s="185">
        <f t="shared" si="191"/>
        <v>0</v>
      </c>
      <c r="V229" s="185">
        <f t="shared" si="192"/>
        <v>0</v>
      </c>
      <c r="W229" s="185">
        <f t="shared" si="193"/>
        <v>0</v>
      </c>
      <c r="X229" s="185">
        <f t="shared" si="194"/>
        <v>0</v>
      </c>
      <c r="Y229" s="185">
        <f t="shared" ca="1" si="195"/>
        <v>4088</v>
      </c>
      <c r="Z229" s="185" t="str">
        <f t="shared" si="196"/>
        <v>Offererad produktnr. 06Dustin Sverige AB</v>
      </c>
      <c r="AA229" s="185" t="b">
        <f t="shared" si="197"/>
        <v>1</v>
      </c>
      <c r="AB229" s="185" t="b">
        <f t="shared" si="198"/>
        <v>1</v>
      </c>
      <c r="AC229" s="185" t="b">
        <f t="shared" si="199"/>
        <v>1</v>
      </c>
      <c r="AD229" s="185" t="b">
        <f t="shared" si="200"/>
        <v>1</v>
      </c>
      <c r="AE229" s="185" t="b">
        <f>IF($D$226="",TRUE,IF(COUNTIF(Processor!$I$2:$I$9,$D$226)&gt;0,AND(AT229&gt;INDEX(Processor!$J$2:$J$9,MATCH($D$226,Processor!$I$2:$I$9,0)),AT229&lt;INDEX(Processor!$K$2:$K$9,MATCH($D$226,Processor!$I$2:$I$9,0))),IF(AT229=$D$226,TRUE,FALSE)))</f>
        <v>1</v>
      </c>
      <c r="AF229" s="185" t="b">
        <f t="shared" si="201"/>
        <v>1</v>
      </c>
      <c r="AG229" s="185" t="b">
        <f t="shared" si="202"/>
        <v>1</v>
      </c>
      <c r="AH229" s="185" t="b">
        <f t="shared" si="203"/>
        <v>1</v>
      </c>
      <c r="AI229" s="185" t="b">
        <f t="shared" si="204"/>
        <v>1</v>
      </c>
      <c r="AJ229" s="185" t="b">
        <f>IFERROR(IF($D236="",TRUE,IF(MID(BA229,LEN(BA229)-2,1)*1&gt;=MID($D236,LEN($D236)-2,1)*1,TRUE,FALSE)),FALSE)</f>
        <v>1</v>
      </c>
      <c r="AK229" s="185"/>
      <c r="AL229" s="185"/>
      <c r="AM229" s="185"/>
      <c r="AN229" s="185" t="s">
        <v>179</v>
      </c>
      <c r="AO229" s="185">
        <v>1</v>
      </c>
      <c r="AP229" s="185" t="str">
        <f t="shared" ca="1" si="205"/>
        <v>1920x1080</v>
      </c>
      <c r="AQ229" s="185" t="str">
        <f t="shared" ca="1" si="205"/>
        <v>Intel Celeron</v>
      </c>
      <c r="AR229" s="185">
        <f t="shared" ca="1" si="205"/>
        <v>8</v>
      </c>
      <c r="AS229" s="185">
        <f t="shared" ca="1" si="205"/>
        <v>64</v>
      </c>
      <c r="AT229" s="185">
        <f t="shared" ca="1" si="205"/>
        <v>14</v>
      </c>
      <c r="AU229" s="185">
        <f t="shared" ca="1" si="205"/>
        <v>3</v>
      </c>
      <c r="AV229" s="185">
        <f t="shared" ca="1" si="205"/>
        <v>1</v>
      </c>
      <c r="AW229" s="185">
        <f t="shared" ca="1" si="205"/>
        <v>0</v>
      </c>
      <c r="AX229" s="185" t="str">
        <f t="shared" ca="1" si="205"/>
        <v>802.11a/b/g/n/ac/ax</v>
      </c>
      <c r="AY229" s="185">
        <f t="shared" ca="1" si="205"/>
        <v>5.0999999999999996</v>
      </c>
      <c r="AZ229" s="185">
        <f t="shared" ca="1" si="206"/>
        <v>11</v>
      </c>
      <c r="BA229" s="185" t="str">
        <f t="shared" ca="1" si="206"/>
        <v>Version 8.0</v>
      </c>
      <c r="BB229" s="185" t="str">
        <f t="shared" ca="1" si="206"/>
        <v>Ja</v>
      </c>
      <c r="BC229" s="185" t="str">
        <f t="shared" ca="1" si="206"/>
        <v>Google Chrome OS</v>
      </c>
      <c r="BD229" s="185" t="str">
        <f t="shared" ca="1" si="206"/>
        <v>Chromebook 14 G7</v>
      </c>
      <c r="BE229" s="185">
        <f t="shared" ca="1" si="206"/>
        <v>4088</v>
      </c>
      <c r="BF229" s="192">
        <f t="shared" ca="1" si="206"/>
        <v>123</v>
      </c>
      <c r="BG229" s="192">
        <f t="shared" ca="1" si="206"/>
        <v>425</v>
      </c>
      <c r="BH229" s="192">
        <f t="shared" ca="1" si="206"/>
        <v>249</v>
      </c>
      <c r="BI229" s="192">
        <f t="shared" ca="1" si="206"/>
        <v>131</v>
      </c>
      <c r="BJ229" s="192">
        <f t="shared" ca="1" si="207"/>
        <v>133</v>
      </c>
      <c r="BK229" s="192">
        <f t="shared" ca="1" si="207"/>
        <v>20</v>
      </c>
      <c r="BL229" s="192">
        <f t="shared" ca="1" si="207"/>
        <v>20</v>
      </c>
      <c r="BM229" s="192" t="str">
        <f t="shared" ca="1" si="207"/>
        <v>Cirafon</v>
      </c>
      <c r="BN229" s="192" t="str">
        <f t="shared" ca="1" si="207"/>
        <v>Cirafon</v>
      </c>
      <c r="BO229" s="192" t="str">
        <f t="shared" ca="1" si="207"/>
        <v>HP</v>
      </c>
      <c r="BP229" s="192">
        <f t="shared" ca="1" si="207"/>
        <v>0</v>
      </c>
      <c r="BQ229" s="192" t="str">
        <f t="shared" ca="1" si="207"/>
        <v>LSN8696R2-14.1</v>
      </c>
      <c r="BR229" s="192" t="str">
        <f t="shared" ca="1" si="207"/>
        <v>DPF14-9</v>
      </c>
      <c r="BS229" s="192" t="str">
        <f t="shared" ca="1" si="207"/>
        <v>1MZ01AA</v>
      </c>
      <c r="BT229" s="192">
        <f t="shared" ca="1" si="207"/>
        <v>0</v>
      </c>
      <c r="BU229" s="192"/>
      <c r="BV229" s="192"/>
      <c r="BW229" s="192" t="str">
        <f t="shared" ca="1" si="208"/>
        <v>Dustin Sverige AB</v>
      </c>
      <c r="BX229" s="192" t="str">
        <f t="shared" ca="1" si="208"/>
        <v>HP</v>
      </c>
      <c r="BY229" s="185"/>
      <c r="BZ229" s="185"/>
      <c r="CA229" s="185"/>
      <c r="CB229" s="185"/>
      <c r="CC229" s="185"/>
      <c r="CD229" s="185"/>
      <c r="CE229" s="185"/>
      <c r="CF229" s="185"/>
      <c r="CG229" s="185"/>
      <c r="CH229" s="185"/>
      <c r="CI229" s="185"/>
      <c r="CJ229" s="185"/>
      <c r="CK229" s="185"/>
      <c r="CL229" s="185"/>
      <c r="CM229" s="185"/>
    </row>
    <row r="230" spans="2:91" ht="22.5" customHeight="1" outlineLevel="1" x14ac:dyDescent="0.35">
      <c r="C230" s="61" t="s">
        <v>16</v>
      </c>
      <c r="D230" s="64"/>
      <c r="F230" s="78" t="str">
        <f t="shared" si="209"/>
        <v/>
      </c>
      <c r="G230" s="79">
        <f t="shared" ca="1" si="210"/>
        <v>32</v>
      </c>
      <c r="H230" s="79">
        <f t="shared" ca="1" si="210"/>
        <v>32</v>
      </c>
      <c r="I230" s="120">
        <f t="shared" ca="1" si="210"/>
        <v>64</v>
      </c>
      <c r="J230" s="62"/>
      <c r="Q230" s="185">
        <f t="shared" si="187"/>
        <v>0</v>
      </c>
      <c r="R230" s="185">
        <f t="shared" si="188"/>
        <v>0</v>
      </c>
      <c r="S230" s="185">
        <f t="shared" si="189"/>
        <v>0</v>
      </c>
      <c r="T230" s="185">
        <f t="shared" si="190"/>
        <v>0</v>
      </c>
      <c r="U230" s="185">
        <f t="shared" si="191"/>
        <v>0</v>
      </c>
      <c r="V230" s="185">
        <f t="shared" si="192"/>
        <v>0</v>
      </c>
      <c r="W230" s="185">
        <f t="shared" si="193"/>
        <v>0</v>
      </c>
      <c r="X230" s="185">
        <f t="shared" si="194"/>
        <v>0</v>
      </c>
      <c r="Y230" s="185">
        <f t="shared" ca="1" si="195"/>
        <v>3636</v>
      </c>
      <c r="Z230" s="185" t="str">
        <f t="shared" si="196"/>
        <v>Offererad produktnr. 05Foxway Education AB</v>
      </c>
      <c r="AA230" s="185" t="b">
        <f t="shared" si="197"/>
        <v>1</v>
      </c>
      <c r="AB230" s="185" t="b">
        <f t="shared" si="198"/>
        <v>1</v>
      </c>
      <c r="AC230" s="185" t="b">
        <f t="shared" si="199"/>
        <v>1</v>
      </c>
      <c r="AD230" s="185" t="b">
        <f t="shared" si="200"/>
        <v>1</v>
      </c>
      <c r="AE230" s="185" t="b">
        <f>IF($D$226="",TRUE,IF(COUNTIF(Processor!$I$2:$I$9,$D$226)&gt;0,AND(AT230&gt;INDEX(Processor!$J$2:$J$9,MATCH($D$226,Processor!$I$2:$I$9,0)),AT230&lt;INDEX(Processor!$K$2:$K$9,MATCH($D$226,Processor!$I$2:$I$9,0))),IF(AT230=$D$226,TRUE,FALSE)))</f>
        <v>1</v>
      </c>
      <c r="AF230" s="185" t="b">
        <f t="shared" si="201"/>
        <v>1</v>
      </c>
      <c r="AG230" s="185" t="b">
        <f t="shared" si="202"/>
        <v>1</v>
      </c>
      <c r="AH230" s="185" t="b">
        <f t="shared" si="203"/>
        <v>1</v>
      </c>
      <c r="AI230" s="185" t="b">
        <f t="shared" si="204"/>
        <v>1</v>
      </c>
      <c r="AJ230" s="185" t="b">
        <f>IFERROR(IF($D236="",TRUE,IF(MID(BA230,LEN(BA230)-2,1)*1&gt;=MID($D236,LEN($D236)-2,1)*1,TRUE,FALSE)),FALSE)</f>
        <v>1</v>
      </c>
      <c r="AK230" s="185"/>
      <c r="AL230" s="185"/>
      <c r="AM230" s="185"/>
      <c r="AN230" s="185" t="s">
        <v>214</v>
      </c>
      <c r="AO230" s="185">
        <v>1</v>
      </c>
      <c r="AP230" s="185" t="str">
        <f t="shared" ca="1" si="205"/>
        <v>1366x768</v>
      </c>
      <c r="AQ230" s="185" t="str">
        <f t="shared" ca="1" si="205"/>
        <v>MT8186</v>
      </c>
      <c r="AR230" s="185">
        <f t="shared" ca="1" si="205"/>
        <v>4</v>
      </c>
      <c r="AS230" s="185">
        <f t="shared" ca="1" si="205"/>
        <v>32</v>
      </c>
      <c r="AT230" s="185">
        <f t="shared" ca="1" si="205"/>
        <v>11.6</v>
      </c>
      <c r="AU230" s="185">
        <f t="shared" ca="1" si="205"/>
        <v>3</v>
      </c>
      <c r="AV230" s="185">
        <f t="shared" ca="1" si="205"/>
        <v>1</v>
      </c>
      <c r="AW230" s="185">
        <f t="shared" ca="1" si="205"/>
        <v>0</v>
      </c>
      <c r="AX230" s="185" t="str">
        <f t="shared" ca="1" si="205"/>
        <v>802.11a/b/g/n/ac</v>
      </c>
      <c r="AY230" s="185">
        <f t="shared" ca="1" si="205"/>
        <v>5.0999999999999996</v>
      </c>
      <c r="AZ230" s="185">
        <f t="shared" ca="1" si="206"/>
        <v>11</v>
      </c>
      <c r="BA230" s="185" t="str">
        <f t="shared" ca="1" si="206"/>
        <v>Version 8.0</v>
      </c>
      <c r="BB230" s="185" t="str">
        <f t="shared" ca="1" si="206"/>
        <v>Ja</v>
      </c>
      <c r="BC230" s="185" t="str">
        <f t="shared" ca="1" si="206"/>
        <v>Google Chrome OS</v>
      </c>
      <c r="BD230" s="185" t="str">
        <f t="shared" ca="1" si="206"/>
        <v>100e Chr Gen4</v>
      </c>
      <c r="BE230" s="185">
        <f t="shared" ca="1" si="206"/>
        <v>3636</v>
      </c>
      <c r="BF230" s="192">
        <f t="shared" ca="1" si="206"/>
        <v>78</v>
      </c>
      <c r="BG230" s="192">
        <f t="shared" ca="1" si="206"/>
        <v>240</v>
      </c>
      <c r="BH230" s="192">
        <f t="shared" ca="1" si="206"/>
        <v>210</v>
      </c>
      <c r="BI230" s="192">
        <f t="shared" ca="1" si="206"/>
        <v>405</v>
      </c>
      <c r="BJ230" s="192">
        <f t="shared" ca="1" si="207"/>
        <v>185</v>
      </c>
      <c r="BK230" s="192">
        <f t="shared" ca="1" si="207"/>
        <v>60</v>
      </c>
      <c r="BL230" s="192">
        <f t="shared" ca="1" si="207"/>
        <v>50</v>
      </c>
      <c r="BM230" s="192" t="str">
        <f t="shared" ca="1" si="207"/>
        <v>V7</v>
      </c>
      <c r="BN230" s="192" t="str">
        <f t="shared" ca="1" si="207"/>
        <v>Lenovo</v>
      </c>
      <c r="BO230" s="192" t="str">
        <f t="shared" ca="1" si="207"/>
        <v>Lenovo</v>
      </c>
      <c r="BP230" s="192">
        <f t="shared" ca="1" si="207"/>
        <v>0</v>
      </c>
      <c r="BQ230" s="192" t="str">
        <f t="shared" ca="1" si="207"/>
        <v>V7 Elite Sleeve 12"</v>
      </c>
      <c r="BR230" s="192" t="str">
        <f t="shared" ca="1" si="207"/>
        <v>Lenovo 11.6" Privacy Filter</v>
      </c>
      <c r="BS230" s="192" t="str">
        <f t="shared" ca="1" si="207"/>
        <v>Power adapter USB-C 45w</v>
      </c>
      <c r="BT230" s="192">
        <f t="shared" ca="1" si="207"/>
        <v>0</v>
      </c>
      <c r="BU230" s="192"/>
      <c r="BV230" s="192"/>
      <c r="BW230" s="192" t="str">
        <f t="shared" ca="1" si="208"/>
        <v>Foxway Education AB</v>
      </c>
      <c r="BX230" s="192" t="str">
        <f t="shared" ca="1" si="208"/>
        <v>Lenovo</v>
      </c>
      <c r="BY230" s="185"/>
      <c r="BZ230" s="185"/>
      <c r="CA230" s="185"/>
      <c r="CB230" s="185"/>
      <c r="CC230" s="185"/>
      <c r="CD230" s="185"/>
      <c r="CE230" s="185"/>
      <c r="CF230" s="185"/>
      <c r="CG230" s="185"/>
      <c r="CH230" s="185"/>
      <c r="CI230" s="185"/>
      <c r="CJ230" s="185"/>
      <c r="CK230" s="185"/>
      <c r="CL230" s="185"/>
      <c r="CM230" s="185"/>
    </row>
    <row r="231" spans="2:91" ht="22.5" customHeight="1" outlineLevel="1" x14ac:dyDescent="0.35">
      <c r="C231" s="61" t="s">
        <v>67</v>
      </c>
      <c r="D231" s="64"/>
      <c r="F231" s="78" t="str">
        <f t="shared" si="209"/>
        <v/>
      </c>
      <c r="G231" s="79">
        <f t="shared" ca="1" si="210"/>
        <v>2</v>
      </c>
      <c r="H231" s="79">
        <f t="shared" ca="1" si="210"/>
        <v>4</v>
      </c>
      <c r="I231" s="120">
        <f t="shared" ca="1" si="210"/>
        <v>3</v>
      </c>
      <c r="J231" s="62"/>
      <c r="Q231" s="185">
        <f t="shared" si="187"/>
        <v>0</v>
      </c>
      <c r="R231" s="185">
        <f t="shared" si="188"/>
        <v>0</v>
      </c>
      <c r="S231" s="185">
        <f t="shared" si="189"/>
        <v>0</v>
      </c>
      <c r="T231" s="185">
        <f t="shared" si="190"/>
        <v>0</v>
      </c>
      <c r="U231" s="185">
        <f t="shared" si="191"/>
        <v>0</v>
      </c>
      <c r="V231" s="185">
        <f t="shared" si="192"/>
        <v>0</v>
      </c>
      <c r="W231" s="185">
        <f t="shared" si="193"/>
        <v>0</v>
      </c>
      <c r="X231" s="185">
        <f t="shared" si="194"/>
        <v>0</v>
      </c>
      <c r="Y231" s="185">
        <f t="shared" ca="1" si="195"/>
        <v>5133</v>
      </c>
      <c r="Z231" s="185" t="str">
        <f t="shared" si="196"/>
        <v>Offererad produktnr. 06Foxway Education AB</v>
      </c>
      <c r="AA231" s="185" t="b">
        <f t="shared" si="197"/>
        <v>1</v>
      </c>
      <c r="AB231" s="185" t="b">
        <f t="shared" si="198"/>
        <v>1</v>
      </c>
      <c r="AC231" s="185" t="b">
        <f t="shared" si="199"/>
        <v>1</v>
      </c>
      <c r="AD231" s="185" t="b">
        <f t="shared" si="200"/>
        <v>1</v>
      </c>
      <c r="AE231" s="185" t="b">
        <f>IF($D$226="",TRUE,IF(COUNTIF(Processor!$I$2:$I$9,$D$226)&gt;0,AND(AT231&gt;INDEX(Processor!$J$2:$J$9,MATCH($D$226,Processor!$I$2:$I$9,0)),AT231&lt;INDEX(Processor!$K$2:$K$9,MATCH($D$226,Processor!$I$2:$I$9,0))),IF(AT231=$D$226,TRUE,FALSE)))</f>
        <v>1</v>
      </c>
      <c r="AF231" s="185" t="b">
        <f t="shared" si="201"/>
        <v>1</v>
      </c>
      <c r="AG231" s="185" t="b">
        <f t="shared" si="202"/>
        <v>1</v>
      </c>
      <c r="AH231" s="185" t="b">
        <f t="shared" si="203"/>
        <v>1</v>
      </c>
      <c r="AI231" s="185" t="b">
        <f t="shared" si="204"/>
        <v>1</v>
      </c>
      <c r="AJ231" s="185" t="b">
        <f>IFERROR(IF($D236="",TRUE,IF(MID(BA231,LEN(BA231)-2,1)*1&gt;=MID($D236,LEN($D236)-2,1)*1,TRUE,FALSE)),FALSE)</f>
        <v>1</v>
      </c>
      <c r="AK231" s="185"/>
      <c r="AL231" s="185"/>
      <c r="AM231" s="185"/>
      <c r="AN231" s="185" t="s">
        <v>215</v>
      </c>
      <c r="AO231" s="185">
        <v>1</v>
      </c>
      <c r="AP231" s="185" t="str">
        <f t="shared" ca="1" si="205"/>
        <v>1920x1080</v>
      </c>
      <c r="AQ231" s="185" t="str">
        <f t="shared" ca="1" si="205"/>
        <v>Intel Celeron</v>
      </c>
      <c r="AR231" s="185">
        <f t="shared" ca="1" si="205"/>
        <v>8</v>
      </c>
      <c r="AS231" s="185">
        <f t="shared" ca="1" si="205"/>
        <v>64</v>
      </c>
      <c r="AT231" s="185">
        <f t="shared" ca="1" si="205"/>
        <v>14</v>
      </c>
      <c r="AU231" s="185">
        <f t="shared" ca="1" si="205"/>
        <v>3</v>
      </c>
      <c r="AV231" s="185">
        <f t="shared" ca="1" si="205"/>
        <v>1</v>
      </c>
      <c r="AW231" s="185">
        <f t="shared" ca="1" si="205"/>
        <v>0</v>
      </c>
      <c r="AX231" s="185" t="str">
        <f t="shared" ca="1" si="205"/>
        <v>802.11a/b/g/n/ac/ax</v>
      </c>
      <c r="AY231" s="185">
        <f t="shared" ca="1" si="205"/>
        <v>5</v>
      </c>
      <c r="AZ231" s="185">
        <f t="shared" ca="1" si="206"/>
        <v>11</v>
      </c>
      <c r="BA231" s="185" t="str">
        <f t="shared" ca="1" si="206"/>
        <v>Version 8.0</v>
      </c>
      <c r="BB231" s="185" t="str">
        <f t="shared" ca="1" si="206"/>
        <v>Ja</v>
      </c>
      <c r="BC231" s="185" t="str">
        <f t="shared" ca="1" si="206"/>
        <v>Google Chrome OS</v>
      </c>
      <c r="BD231" s="185" t="str">
        <f t="shared" ca="1" si="206"/>
        <v>Chromebook 14 G7</v>
      </c>
      <c r="BE231" s="185">
        <f t="shared" ca="1" si="206"/>
        <v>5133</v>
      </c>
      <c r="BF231" s="192">
        <f t="shared" ca="1" si="206"/>
        <v>78</v>
      </c>
      <c r="BG231" s="192">
        <f t="shared" ca="1" si="206"/>
        <v>276</v>
      </c>
      <c r="BH231" s="192">
        <f t="shared" ca="1" si="206"/>
        <v>240</v>
      </c>
      <c r="BI231" s="192">
        <f t="shared" ca="1" si="206"/>
        <v>162</v>
      </c>
      <c r="BJ231" s="192">
        <f t="shared" ca="1" si="207"/>
        <v>185</v>
      </c>
      <c r="BK231" s="192">
        <f t="shared" ca="1" si="207"/>
        <v>60</v>
      </c>
      <c r="BL231" s="192">
        <f t="shared" ca="1" si="207"/>
        <v>50</v>
      </c>
      <c r="BM231" s="192" t="str">
        <f t="shared" ca="1" si="207"/>
        <v>V7</v>
      </c>
      <c r="BN231" s="192" t="str">
        <f t="shared" ca="1" si="207"/>
        <v>Targus</v>
      </c>
      <c r="BO231" s="192" t="str">
        <f t="shared" ca="1" si="207"/>
        <v>HP</v>
      </c>
      <c r="BP231" s="192">
        <f t="shared" ca="1" si="207"/>
        <v>0</v>
      </c>
      <c r="BQ231" s="192" t="str">
        <f t="shared" ca="1" si="207"/>
        <v>V7 Elite Sleeve 12"</v>
      </c>
      <c r="BR231" s="192" t="str">
        <f t="shared" ca="1" si="207"/>
        <v>Targus Privacy Screen 14"</v>
      </c>
      <c r="BS231" s="192" t="str">
        <f t="shared" ca="1" si="207"/>
        <v>HP 45W USB-C Power Adapter G2</v>
      </c>
      <c r="BT231" s="192">
        <f t="shared" ca="1" si="207"/>
        <v>0</v>
      </c>
      <c r="BU231" s="192"/>
      <c r="BV231" s="192"/>
      <c r="BW231" s="192" t="str">
        <f t="shared" ca="1" si="208"/>
        <v>Foxway Education AB</v>
      </c>
      <c r="BX231" s="192" t="str">
        <f t="shared" ca="1" si="208"/>
        <v>HP</v>
      </c>
      <c r="BY231" s="185"/>
      <c r="BZ231" s="185"/>
      <c r="CA231" s="185"/>
      <c r="CB231" s="185"/>
      <c r="CC231" s="185"/>
      <c r="CD231" s="185"/>
      <c r="CE231" s="185"/>
      <c r="CF231" s="185"/>
      <c r="CG231" s="185"/>
      <c r="CH231" s="185"/>
      <c r="CI231" s="185"/>
      <c r="CJ231" s="185"/>
      <c r="CK231" s="185"/>
      <c r="CL231" s="185"/>
      <c r="CM231" s="185"/>
    </row>
    <row r="232" spans="2:91" ht="22.5" customHeight="1" outlineLevel="1" x14ac:dyDescent="0.35">
      <c r="C232" s="61" t="s">
        <v>74</v>
      </c>
      <c r="D232" s="64"/>
      <c r="F232" s="78" t="str">
        <f t="shared" si="209"/>
        <v/>
      </c>
      <c r="G232" s="79">
        <f t="shared" ca="1" si="210"/>
        <v>1</v>
      </c>
      <c r="H232" s="79">
        <f t="shared" ca="1" si="210"/>
        <v>2</v>
      </c>
      <c r="I232" s="120">
        <f t="shared" ca="1" si="210"/>
        <v>1</v>
      </c>
      <c r="J232" s="62"/>
      <c r="Q232" s="185">
        <f t="shared" si="187"/>
        <v>0</v>
      </c>
      <c r="R232" s="185">
        <f t="shared" si="188"/>
        <v>0</v>
      </c>
      <c r="S232" s="185">
        <f t="shared" si="189"/>
        <v>0</v>
      </c>
      <c r="T232" s="185">
        <f t="shared" si="190"/>
        <v>0</v>
      </c>
      <c r="U232" s="185">
        <f t="shared" si="191"/>
        <v>0</v>
      </c>
      <c r="V232" s="185">
        <f t="shared" si="192"/>
        <v>0</v>
      </c>
      <c r="W232" s="185">
        <f t="shared" si="193"/>
        <v>0</v>
      </c>
      <c r="X232" s="185">
        <f t="shared" si="194"/>
        <v>0</v>
      </c>
      <c r="Y232" s="185">
        <f t="shared" ca="1" si="195"/>
        <v>2950</v>
      </c>
      <c r="Z232" s="185" t="str">
        <f t="shared" si="196"/>
        <v>Offererad produktnr. 05Qlosr Göteborg AB</v>
      </c>
      <c r="AA232" s="185" t="b">
        <f t="shared" si="197"/>
        <v>1</v>
      </c>
      <c r="AB232" s="185" t="b">
        <f t="shared" si="198"/>
        <v>1</v>
      </c>
      <c r="AC232" s="185" t="b">
        <f t="shared" si="199"/>
        <v>1</v>
      </c>
      <c r="AD232" s="185" t="b">
        <f t="shared" si="200"/>
        <v>1</v>
      </c>
      <c r="AE232" s="185" t="b">
        <f>IF($D$226="",TRUE,IF(COUNTIF(Processor!$I$2:$I$9,$D$226)&gt;0,AND(AT232&gt;INDEX(Processor!$J$2:$J$9,MATCH($D$226,Processor!$I$2:$I$9,0)),AT232&lt;INDEX(Processor!$K$2:$K$9,MATCH($D$226,Processor!$I$2:$I$9,0))),IF(AT232=$D$226,TRUE,FALSE)))</f>
        <v>1</v>
      </c>
      <c r="AF232" s="185" t="b">
        <f t="shared" si="201"/>
        <v>1</v>
      </c>
      <c r="AG232" s="185" t="b">
        <f t="shared" si="202"/>
        <v>1</v>
      </c>
      <c r="AH232" s="185" t="b">
        <f t="shared" si="203"/>
        <v>1</v>
      </c>
      <c r="AI232" s="185" t="b">
        <f t="shared" si="204"/>
        <v>1</v>
      </c>
      <c r="AJ232" s="185" t="b">
        <f>IFERROR(IF($D236="",TRUE,IF(MID(BA232,LEN(BA232)-2,1)*1&gt;=MID($D236,LEN($D236)-2,1)*1,TRUE,FALSE)),FALSE)</f>
        <v>1</v>
      </c>
      <c r="AK232" s="185"/>
      <c r="AL232" s="185"/>
      <c r="AM232" s="185"/>
      <c r="AN232" s="185" t="s">
        <v>556</v>
      </c>
      <c r="AO232" s="185">
        <v>1</v>
      </c>
      <c r="AP232" s="185" t="str">
        <f t="shared" ca="1" si="205"/>
        <v>1366x768</v>
      </c>
      <c r="AQ232" s="185" t="str">
        <f t="shared" ca="1" si="205"/>
        <v>Intel Celeron</v>
      </c>
      <c r="AR232" s="185">
        <f t="shared" ca="1" si="205"/>
        <v>4</v>
      </c>
      <c r="AS232" s="185">
        <f t="shared" ca="1" si="205"/>
        <v>32</v>
      </c>
      <c r="AT232" s="185">
        <f t="shared" ca="1" si="205"/>
        <v>11.6</v>
      </c>
      <c r="AU232" s="185">
        <f t="shared" ca="1" si="205"/>
        <v>2</v>
      </c>
      <c r="AV232" s="185">
        <f t="shared" ca="1" si="205"/>
        <v>1</v>
      </c>
      <c r="AW232" s="185">
        <f t="shared" ca="1" si="205"/>
        <v>0</v>
      </c>
      <c r="AX232" s="185" t="str">
        <f t="shared" ca="1" si="205"/>
        <v>802.11a/b/g/n/ac/ax</v>
      </c>
      <c r="AY232" s="185">
        <f t="shared" ca="1" si="205"/>
        <v>5.0999999999999996</v>
      </c>
      <c r="AZ232" s="185">
        <f t="shared" ca="1" si="206"/>
        <v>11</v>
      </c>
      <c r="BA232" s="185" t="str">
        <f t="shared" ca="1" si="206"/>
        <v>Version 8.0</v>
      </c>
      <c r="BB232" s="185" t="str">
        <f t="shared" ca="1" si="206"/>
        <v>Ja</v>
      </c>
      <c r="BC232" s="185" t="str">
        <f t="shared" ca="1" si="206"/>
        <v>Google Chrome OS</v>
      </c>
      <c r="BD232" s="185" t="str">
        <f t="shared" ca="1" si="206"/>
        <v>Chromebook 3110</v>
      </c>
      <c r="BE232" s="185">
        <f t="shared" ca="1" si="206"/>
        <v>2950</v>
      </c>
      <c r="BF232" s="192">
        <f t="shared" ca="1" si="206"/>
        <v>59</v>
      </c>
      <c r="BG232" s="192">
        <f t="shared" ca="1" si="206"/>
        <v>287</v>
      </c>
      <c r="BH232" s="192">
        <f t="shared" ca="1" si="206"/>
        <v>240</v>
      </c>
      <c r="BI232" s="192">
        <f t="shared" ca="1" si="206"/>
        <v>275</v>
      </c>
      <c r="BJ232" s="192">
        <f t="shared" ca="1" si="207"/>
        <v>70</v>
      </c>
      <c r="BK232" s="192">
        <f t="shared" ca="1" si="207"/>
        <v>25</v>
      </c>
      <c r="BL232" s="192">
        <f t="shared" ca="1" si="207"/>
        <v>25</v>
      </c>
      <c r="BM232" s="192" t="str">
        <f t="shared" ca="1" si="207"/>
        <v>HP</v>
      </c>
      <c r="BN232" s="192" t="str">
        <f t="shared" ca="1" si="207"/>
        <v>Kapsolo</v>
      </c>
      <c r="BO232" s="192" t="str">
        <f t="shared" ca="1" si="207"/>
        <v>Dell</v>
      </c>
      <c r="BP232" s="192">
        <f t="shared" ca="1" si="207"/>
        <v>0</v>
      </c>
      <c r="BQ232" s="192" t="str">
        <f t="shared" ca="1" si="207"/>
        <v>GBX77E81AA</v>
      </c>
      <c r="BR232" s="192" t="str">
        <f t="shared" ca="1" si="207"/>
        <v>GBXKAP10145</v>
      </c>
      <c r="BS232" s="192" t="str">
        <f t="shared" ca="1" si="207"/>
        <v>DELL-921CW</v>
      </c>
      <c r="BT232" s="192">
        <f t="shared" ca="1" si="207"/>
        <v>0</v>
      </c>
      <c r="BU232" s="192"/>
      <c r="BV232" s="192"/>
      <c r="BW232" s="192" t="str">
        <f t="shared" ca="1" si="208"/>
        <v>Qlosr Göteborg AB</v>
      </c>
      <c r="BX232" s="192" t="str">
        <f t="shared" ca="1" si="208"/>
        <v>Dell</v>
      </c>
      <c r="BY232" s="185"/>
      <c r="BZ232" s="185"/>
      <c r="CA232" s="185"/>
      <c r="CB232" s="185"/>
      <c r="CC232" s="185"/>
      <c r="CD232" s="185"/>
      <c r="CE232" s="185"/>
      <c r="CF232" s="185"/>
      <c r="CG232" s="185"/>
      <c r="CH232" s="185"/>
      <c r="CI232" s="185"/>
      <c r="CJ232" s="185"/>
      <c r="CK232" s="185"/>
      <c r="CL232" s="185"/>
      <c r="CM232" s="185"/>
    </row>
    <row r="233" spans="2:91" ht="22.5" customHeight="1" outlineLevel="1" x14ac:dyDescent="0.35">
      <c r="C233" s="61" t="s">
        <v>103</v>
      </c>
      <c r="D233" s="64"/>
      <c r="F233" s="78" t="str">
        <f t="shared" si="209"/>
        <v/>
      </c>
      <c r="G233" s="79" t="str">
        <f t="shared" ca="1" si="210"/>
        <v>802.11a/b/g/n/ac/ax</v>
      </c>
      <c r="H233" s="79" t="str">
        <f t="shared" ca="1" si="210"/>
        <v>802.11a/b/g/n/ac/ax</v>
      </c>
      <c r="I233" s="120" t="str">
        <f t="shared" ca="1" si="210"/>
        <v>802.11a/b/g/n/ac/ax</v>
      </c>
      <c r="J233" s="62"/>
      <c r="Q233" s="185">
        <f t="shared" si="187"/>
        <v>0</v>
      </c>
      <c r="R233" s="185">
        <f t="shared" si="188"/>
        <v>0</v>
      </c>
      <c r="S233" s="185">
        <f t="shared" si="189"/>
        <v>0</v>
      </c>
      <c r="T233" s="185">
        <f t="shared" si="190"/>
        <v>0</v>
      </c>
      <c r="U233" s="185">
        <f t="shared" si="191"/>
        <v>0</v>
      </c>
      <c r="V233" s="185">
        <f t="shared" si="192"/>
        <v>0</v>
      </c>
      <c r="W233" s="185">
        <f t="shared" si="193"/>
        <v>0</v>
      </c>
      <c r="X233" s="185">
        <f t="shared" si="194"/>
        <v>0</v>
      </c>
      <c r="Y233" s="185">
        <f t="shared" ca="1" si="195"/>
        <v>3610</v>
      </c>
      <c r="Z233" s="185" t="str">
        <f t="shared" si="196"/>
        <v>Offererad produktnr. 06Qlosr Göteborg AB</v>
      </c>
      <c r="AA233" s="185" t="b">
        <f t="shared" si="197"/>
        <v>1</v>
      </c>
      <c r="AB233" s="185" t="b">
        <f t="shared" si="198"/>
        <v>1</v>
      </c>
      <c r="AC233" s="185" t="b">
        <f t="shared" si="199"/>
        <v>1</v>
      </c>
      <c r="AD233" s="185" t="b">
        <f t="shared" si="200"/>
        <v>1</v>
      </c>
      <c r="AE233" s="185" t="b">
        <f>IF($D$226="",TRUE,IF(COUNTIF(Processor!$I$2:$I$9,$D$226)&gt;0,AND(AT233&gt;INDEX(Processor!$J$2:$J$9,MATCH($D$226,Processor!$I$2:$I$9,0)),AT233&lt;INDEX(Processor!$K$2:$K$9,MATCH($D$226,Processor!$I$2:$I$9,0))),IF(AT233=$D$226,TRUE,FALSE)))</f>
        <v>1</v>
      </c>
      <c r="AF233" s="185" t="b">
        <f t="shared" si="201"/>
        <v>1</v>
      </c>
      <c r="AG233" s="185" t="b">
        <f t="shared" si="202"/>
        <v>1</v>
      </c>
      <c r="AH233" s="185" t="b">
        <f t="shared" si="203"/>
        <v>1</v>
      </c>
      <c r="AI233" s="185" t="b">
        <f t="shared" si="204"/>
        <v>1</v>
      </c>
      <c r="AJ233" s="185" t="b">
        <f>IFERROR(IF($D236="",TRUE,IF(MID(BA233,LEN(BA233)-2,1)*1&gt;=MID($D236,LEN($D236)-2,1)*1,TRUE,FALSE)),FALSE)</f>
        <v>1</v>
      </c>
      <c r="AK233" s="185"/>
      <c r="AL233" s="185"/>
      <c r="AM233" s="185"/>
      <c r="AN233" s="185" t="s">
        <v>557</v>
      </c>
      <c r="AO233" s="185">
        <v>1</v>
      </c>
      <c r="AP233" s="185" t="str">
        <f t="shared" ca="1" si="205"/>
        <v>1920x1080</v>
      </c>
      <c r="AQ233" s="185" t="str">
        <f t="shared" ca="1" si="205"/>
        <v>Intel Celeron</v>
      </c>
      <c r="AR233" s="185">
        <f t="shared" ca="1" si="205"/>
        <v>8</v>
      </c>
      <c r="AS233" s="185">
        <f t="shared" ca="1" si="205"/>
        <v>64</v>
      </c>
      <c r="AT233" s="185">
        <f t="shared" ca="1" si="205"/>
        <v>14</v>
      </c>
      <c r="AU233" s="185">
        <f t="shared" ca="1" si="205"/>
        <v>3</v>
      </c>
      <c r="AV233" s="185">
        <f t="shared" ca="1" si="205"/>
        <v>1</v>
      </c>
      <c r="AW233" s="185">
        <f t="shared" ca="1" si="205"/>
        <v>0</v>
      </c>
      <c r="AX233" s="185" t="str">
        <f t="shared" ca="1" si="205"/>
        <v>802.11a/b/g/n/ac/ax</v>
      </c>
      <c r="AY233" s="185">
        <f t="shared" ca="1" si="205"/>
        <v>5</v>
      </c>
      <c r="AZ233" s="185">
        <f t="shared" ca="1" si="206"/>
        <v>11</v>
      </c>
      <c r="BA233" s="185" t="str">
        <f t="shared" ca="1" si="206"/>
        <v>Version 8.0</v>
      </c>
      <c r="BB233" s="185" t="str">
        <f t="shared" ca="1" si="206"/>
        <v>Ja</v>
      </c>
      <c r="BC233" s="185" t="str">
        <f t="shared" ca="1" si="206"/>
        <v>Google Chrome OS</v>
      </c>
      <c r="BD233" s="185" t="str">
        <f t="shared" ca="1" si="206"/>
        <v>Chromebook 14 G7</v>
      </c>
      <c r="BE233" s="185">
        <f t="shared" ca="1" si="206"/>
        <v>3610</v>
      </c>
      <c r="BF233" s="192">
        <f t="shared" ca="1" si="206"/>
        <v>64</v>
      </c>
      <c r="BG233" s="192">
        <f t="shared" ca="1" si="206"/>
        <v>298</v>
      </c>
      <c r="BH233" s="192">
        <f t="shared" ca="1" si="206"/>
        <v>198</v>
      </c>
      <c r="BI233" s="192">
        <f t="shared" ca="1" si="206"/>
        <v>125</v>
      </c>
      <c r="BJ233" s="192">
        <f t="shared" ca="1" si="207"/>
        <v>70</v>
      </c>
      <c r="BK233" s="192">
        <f t="shared" ca="1" si="207"/>
        <v>25</v>
      </c>
      <c r="BL233" s="192">
        <f t="shared" ca="1" si="207"/>
        <v>25</v>
      </c>
      <c r="BM233" s="192" t="str">
        <f t="shared" ca="1" si="207"/>
        <v>HP</v>
      </c>
      <c r="BN233" s="192" t="str">
        <f t="shared" ca="1" si="207"/>
        <v>Kapsolo</v>
      </c>
      <c r="BO233" s="192" t="str">
        <f t="shared" ca="1" si="207"/>
        <v>HP</v>
      </c>
      <c r="BP233" s="192">
        <f t="shared" ca="1" si="207"/>
        <v>0</v>
      </c>
      <c r="BQ233" s="192" t="str">
        <f t="shared" ca="1" si="207"/>
        <v>GBX2UW01AA</v>
      </c>
      <c r="BR233" s="192" t="str">
        <f t="shared" ca="1" si="207"/>
        <v>GBXKAP10478</v>
      </c>
      <c r="BS233" s="192" t="str">
        <f t="shared" ca="1" si="207"/>
        <v>GBX1HE07AA</v>
      </c>
      <c r="BT233" s="192">
        <f t="shared" ca="1" si="207"/>
        <v>0</v>
      </c>
      <c r="BU233" s="192"/>
      <c r="BV233" s="192"/>
      <c r="BW233" s="192" t="str">
        <f t="shared" ca="1" si="208"/>
        <v>Qlosr Göteborg AB</v>
      </c>
      <c r="BX233" s="192" t="str">
        <f t="shared" ca="1" si="208"/>
        <v>HP</v>
      </c>
      <c r="BY233" s="185"/>
      <c r="BZ233" s="185"/>
      <c r="CA233" s="185"/>
      <c r="CB233" s="185"/>
      <c r="CC233" s="185"/>
      <c r="CD233" s="185"/>
      <c r="CE233" s="185"/>
      <c r="CF233" s="185"/>
      <c r="CG233" s="185"/>
      <c r="CH233" s="185"/>
      <c r="CI233" s="185"/>
      <c r="CJ233" s="185"/>
      <c r="CK233" s="185"/>
      <c r="CL233" s="185"/>
      <c r="CM233" s="185"/>
    </row>
    <row r="234" spans="2:91" ht="33.75" customHeight="1" outlineLevel="1" x14ac:dyDescent="0.35">
      <c r="C234" s="61" t="s">
        <v>75</v>
      </c>
      <c r="D234" s="110"/>
      <c r="F234" s="78" t="str">
        <f t="shared" si="209"/>
        <v/>
      </c>
      <c r="G234" s="79">
        <f t="shared" ca="1" si="210"/>
        <v>5.0999999999999996</v>
      </c>
      <c r="H234" s="79">
        <f t="shared" ca="1" si="210"/>
        <v>5</v>
      </c>
      <c r="I234" s="120">
        <f t="shared" ca="1" si="210"/>
        <v>5</v>
      </c>
      <c r="J234" s="94"/>
      <c r="BF234" s="63"/>
      <c r="BG234" s="63"/>
      <c r="BH234" s="63"/>
      <c r="BI234" s="63"/>
      <c r="BJ234" s="63"/>
      <c r="BK234" s="63"/>
      <c r="BL234" s="63"/>
      <c r="BM234" s="63"/>
      <c r="BN234" s="63"/>
      <c r="BO234" s="63"/>
      <c r="BP234" s="63"/>
      <c r="BQ234" s="63"/>
      <c r="BR234" s="63"/>
      <c r="BS234" s="63"/>
      <c r="BT234" s="63"/>
      <c r="BU234" s="63"/>
      <c r="BV234" s="63"/>
      <c r="BW234" s="63"/>
      <c r="BX234" s="63"/>
    </row>
    <row r="235" spans="2:91" ht="33.75" customHeight="1" outlineLevel="1" x14ac:dyDescent="0.35">
      <c r="C235" s="61" t="s">
        <v>120</v>
      </c>
      <c r="D235" s="65"/>
      <c r="F235" s="80" t="str">
        <f t="shared" si="209"/>
        <v/>
      </c>
      <c r="G235" s="81">
        <f t="shared" ca="1" si="210"/>
        <v>11</v>
      </c>
      <c r="H235" s="81">
        <f t="shared" ca="1" si="210"/>
        <v>11</v>
      </c>
      <c r="I235" s="121">
        <f t="shared" ca="1" si="210"/>
        <v>11</v>
      </c>
      <c r="J235" s="62"/>
      <c r="BF235" s="63"/>
      <c r="BG235" s="63"/>
      <c r="BH235" s="63"/>
      <c r="BI235" s="63"/>
      <c r="BJ235" s="63"/>
      <c r="BK235" s="63"/>
      <c r="BL235" s="63"/>
      <c r="BM235" s="63"/>
      <c r="BN235" s="63"/>
      <c r="BO235" s="63"/>
      <c r="BP235" s="63"/>
      <c r="BQ235" s="63"/>
      <c r="BR235" s="63"/>
      <c r="BS235" s="63"/>
      <c r="BT235" s="63"/>
      <c r="BU235" s="63"/>
      <c r="BV235" s="63"/>
      <c r="BW235" s="63"/>
      <c r="BX235" s="63"/>
    </row>
    <row r="236" spans="2:91" ht="33.75" customHeight="1" outlineLevel="1" x14ac:dyDescent="0.35">
      <c r="C236" s="61" t="s">
        <v>38</v>
      </c>
      <c r="D236" s="64"/>
      <c r="F236" s="78" t="str">
        <f t="shared" si="209"/>
        <v/>
      </c>
      <c r="G236" s="81" t="str">
        <f t="shared" ca="1" si="210"/>
        <v>Version 8.0</v>
      </c>
      <c r="H236" s="81" t="str">
        <f t="shared" ca="1" si="210"/>
        <v>Version 8.0</v>
      </c>
      <c r="I236" s="121" t="str">
        <f t="shared" ca="1" si="210"/>
        <v>Version 8.0</v>
      </c>
      <c r="J236" s="62"/>
      <c r="BF236" s="63"/>
      <c r="BG236" s="63"/>
      <c r="BH236" s="63"/>
      <c r="BI236" s="63"/>
      <c r="BJ236" s="63"/>
      <c r="BK236" s="63"/>
      <c r="BL236" s="63"/>
      <c r="BM236" s="63"/>
      <c r="BN236" s="63"/>
      <c r="BO236" s="63"/>
      <c r="BP236" s="63"/>
      <c r="BQ236" s="63"/>
      <c r="BR236" s="63"/>
      <c r="BS236" s="63"/>
      <c r="BT236" s="63"/>
      <c r="BU236" s="63"/>
      <c r="BV236" s="63"/>
      <c r="BW236" s="63"/>
      <c r="BX236" s="63"/>
    </row>
    <row r="237" spans="2:91" ht="33.75" customHeight="1" outlineLevel="1" x14ac:dyDescent="0.35">
      <c r="C237" s="61" t="s">
        <v>37</v>
      </c>
      <c r="D237" s="64"/>
      <c r="F237" s="78" t="str">
        <f t="shared" si="209"/>
        <v/>
      </c>
      <c r="G237" s="79" t="str">
        <f t="shared" ca="1" si="210"/>
        <v>Ja</v>
      </c>
      <c r="H237" s="79" t="str">
        <f t="shared" ca="1" si="210"/>
        <v>Ja</v>
      </c>
      <c r="I237" s="120" t="str">
        <f t="shared" ca="1" si="210"/>
        <v>Ja</v>
      </c>
      <c r="J237" s="62"/>
      <c r="BF237" s="63"/>
      <c r="BG237" s="63"/>
      <c r="BH237" s="63"/>
      <c r="BI237" s="63"/>
      <c r="BJ237" s="63"/>
      <c r="BK237" s="63"/>
      <c r="BL237" s="63"/>
      <c r="BM237" s="63"/>
      <c r="BN237" s="63"/>
      <c r="BO237" s="63"/>
      <c r="BP237" s="63"/>
      <c r="BQ237" s="63"/>
      <c r="BR237" s="63"/>
      <c r="BS237" s="63"/>
      <c r="BT237" s="63"/>
      <c r="BU237" s="63"/>
      <c r="BV237" s="63"/>
      <c r="BW237" s="63"/>
      <c r="BX237" s="63"/>
    </row>
    <row r="238" spans="2:91" ht="23.25" customHeight="1" outlineLevel="1" x14ac:dyDescent="0.35">
      <c r="C238" s="66"/>
      <c r="D238" s="67"/>
      <c r="G238" s="62"/>
      <c r="H238" s="62"/>
      <c r="I238" s="62"/>
      <c r="J238" s="62"/>
      <c r="BF238" s="63"/>
      <c r="BG238" s="63"/>
      <c r="BH238" s="63"/>
      <c r="BI238" s="63"/>
      <c r="BJ238" s="63"/>
      <c r="BK238" s="63"/>
      <c r="BL238" s="63"/>
      <c r="BM238" s="63"/>
      <c r="BN238" s="63"/>
      <c r="BO238" s="63"/>
      <c r="BP238" s="63"/>
      <c r="BQ238" s="63"/>
      <c r="BR238" s="63"/>
      <c r="BS238" s="63"/>
      <c r="BT238" s="63"/>
      <c r="BU238" s="63"/>
      <c r="BV238" s="63"/>
      <c r="BW238" s="63"/>
      <c r="BX238" s="63"/>
    </row>
    <row r="239" spans="2:91" ht="23.25" customHeight="1" outlineLevel="1" x14ac:dyDescent="0.35">
      <c r="C239" s="212" t="s">
        <v>366</v>
      </c>
      <c r="D239" s="213"/>
      <c r="E239" s="213"/>
      <c r="F239" s="213"/>
      <c r="G239" s="213"/>
      <c r="H239" s="213"/>
      <c r="I239" s="214"/>
      <c r="J239" s="62"/>
      <c r="BF239" s="63"/>
      <c r="BG239" s="63"/>
      <c r="BH239" s="63"/>
      <c r="BI239" s="63"/>
      <c r="BJ239" s="63"/>
      <c r="BK239" s="63"/>
      <c r="BL239" s="63"/>
      <c r="BM239" s="63"/>
      <c r="BN239" s="63"/>
      <c r="BO239" s="63"/>
      <c r="BP239" s="63"/>
      <c r="BQ239" s="63"/>
      <c r="BR239" s="63"/>
      <c r="BS239" s="63"/>
      <c r="BT239" s="63"/>
      <c r="BU239" s="63"/>
      <c r="BV239" s="63"/>
      <c r="BW239" s="63"/>
      <c r="BX239" s="63"/>
    </row>
    <row r="240" spans="2:91" ht="23.25" customHeight="1" outlineLevel="1" x14ac:dyDescent="0.35">
      <c r="B240" s="69" t="s">
        <v>53</v>
      </c>
      <c r="C240" s="95" t="s">
        <v>363</v>
      </c>
      <c r="D240" s="70"/>
      <c r="F240" s="159" t="str">
        <f t="shared" ref="F240:F248" si="211">IF(F$222="Inget antal angivet","",IFERROR(INDEX($AP$223:$BX$247,MATCH(F$219,$AN$223:$AN$247,0),MATCH($B240,$AP$223:$BX$223,0)),""))</f>
        <v/>
      </c>
      <c r="G240" s="160">
        <f t="shared" ref="G240:I248" ca="1" si="212">IFERROR(INDEX($AP$223:$BX$247,MATCH(G$219,$AN$223:$AN$247,0),MATCH($B240,$AP$223:$BX$223,0)),"")</f>
        <v>59</v>
      </c>
      <c r="H240" s="160">
        <f t="shared" ca="1" si="212"/>
        <v>87</v>
      </c>
      <c r="I240" s="160">
        <f t="shared" ca="1" si="212"/>
        <v>64</v>
      </c>
      <c r="J240" s="73"/>
      <c r="BF240" s="63"/>
      <c r="BG240" s="63"/>
      <c r="BH240" s="63"/>
      <c r="BI240" s="63"/>
      <c r="BJ240" s="63"/>
      <c r="BK240" s="63"/>
      <c r="BL240" s="63"/>
      <c r="BM240" s="63"/>
      <c r="BN240" s="63"/>
      <c r="BO240" s="63"/>
      <c r="BP240" s="63"/>
      <c r="BQ240" s="63"/>
      <c r="BR240" s="63"/>
      <c r="BS240" s="63"/>
      <c r="BT240" s="63"/>
      <c r="BU240" s="63"/>
      <c r="BV240" s="63"/>
      <c r="BW240" s="63"/>
      <c r="BX240" s="63"/>
    </row>
    <row r="241" spans="2:76" ht="23.25" customHeight="1" outlineLevel="1" x14ac:dyDescent="0.35">
      <c r="B241" s="69" t="s">
        <v>340</v>
      </c>
      <c r="C241" s="96" t="s">
        <v>51</v>
      </c>
      <c r="D241" s="131" t="str">
        <f>IF("Ska Ingå"=D240,"Ska Ingå","")</f>
        <v/>
      </c>
      <c r="F241" s="84" t="str">
        <f t="shared" si="211"/>
        <v/>
      </c>
      <c r="G241" s="85" t="str">
        <f t="shared" ca="1" si="212"/>
        <v>HP</v>
      </c>
      <c r="H241" s="85" t="str">
        <f t="shared" ca="1" si="212"/>
        <v>Cirafon</v>
      </c>
      <c r="I241" s="85" t="str">
        <f t="shared" ca="1" si="212"/>
        <v>HP</v>
      </c>
      <c r="J241" s="54"/>
      <c r="BF241" s="63"/>
      <c r="BG241" s="63"/>
      <c r="BH241" s="63"/>
      <c r="BI241" s="63"/>
      <c r="BJ241" s="63"/>
      <c r="BK241" s="63"/>
      <c r="BL241" s="63"/>
      <c r="BM241" s="63"/>
      <c r="BN241" s="63"/>
      <c r="BO241" s="63"/>
      <c r="BP241" s="63"/>
      <c r="BQ241" s="63"/>
      <c r="BR241" s="63"/>
      <c r="BS241" s="63"/>
      <c r="BT241" s="63"/>
      <c r="BU241" s="63"/>
      <c r="BV241" s="63"/>
      <c r="BW241" s="63"/>
      <c r="BX241" s="63"/>
    </row>
    <row r="242" spans="2:76" ht="67.5" customHeight="1" outlineLevel="1" x14ac:dyDescent="0.35">
      <c r="B242" s="69" t="s">
        <v>345</v>
      </c>
      <c r="C242" s="97" t="s">
        <v>52</v>
      </c>
      <c r="D242" s="132" t="str">
        <f>IF("Ska Ingå"=D240,"Ska Ingå","")</f>
        <v/>
      </c>
      <c r="F242" s="86" t="str">
        <f t="shared" si="211"/>
        <v/>
      </c>
      <c r="G242" s="87" t="str">
        <f t="shared" ca="1" si="212"/>
        <v>GBX77E81AA</v>
      </c>
      <c r="H242" s="87" t="str">
        <f t="shared" ca="1" si="212"/>
        <v>LSN9117-11</v>
      </c>
      <c r="I242" s="87" t="str">
        <f t="shared" ca="1" si="212"/>
        <v>GBX2UW01AA</v>
      </c>
      <c r="J242" s="73"/>
      <c r="BF242" s="63"/>
      <c r="BG242" s="63"/>
      <c r="BH242" s="63"/>
      <c r="BI242" s="63"/>
      <c r="BJ242" s="63"/>
      <c r="BK242" s="63"/>
      <c r="BL242" s="63"/>
      <c r="BM242" s="63"/>
      <c r="BN242" s="63"/>
      <c r="BO242" s="63"/>
      <c r="BP242" s="63"/>
      <c r="BQ242" s="63"/>
      <c r="BR242" s="63"/>
      <c r="BS242" s="63"/>
      <c r="BT242" s="63"/>
      <c r="BU242" s="63"/>
      <c r="BV242" s="63"/>
      <c r="BW242" s="63"/>
      <c r="BX242" s="63"/>
    </row>
    <row r="243" spans="2:76" ht="23.25" customHeight="1" outlineLevel="1" x14ac:dyDescent="0.35">
      <c r="B243" s="69" t="s">
        <v>54</v>
      </c>
      <c r="C243" s="98" t="s">
        <v>77</v>
      </c>
      <c r="D243" s="70"/>
      <c r="F243" s="157" t="str">
        <f t="shared" si="211"/>
        <v/>
      </c>
      <c r="G243" s="158">
        <f t="shared" ca="1" si="212"/>
        <v>287</v>
      </c>
      <c r="H243" s="158">
        <f t="shared" ca="1" si="212"/>
        <v>123</v>
      </c>
      <c r="I243" s="158">
        <f t="shared" ca="1" si="212"/>
        <v>298</v>
      </c>
      <c r="J243" s="54"/>
      <c r="BF243" s="63"/>
      <c r="BG243" s="63"/>
      <c r="BH243" s="63"/>
      <c r="BI243" s="63"/>
      <c r="BJ243" s="63"/>
      <c r="BK243" s="63"/>
      <c r="BL243" s="63"/>
      <c r="BM243" s="63"/>
      <c r="BN243" s="63"/>
      <c r="BO243" s="63"/>
      <c r="BP243" s="63"/>
      <c r="BQ243" s="63"/>
      <c r="BR243" s="63"/>
      <c r="BS243" s="63"/>
      <c r="BT243" s="63"/>
      <c r="BU243" s="63"/>
      <c r="BV243" s="63"/>
      <c r="BW243" s="63"/>
      <c r="BX243" s="63"/>
    </row>
    <row r="244" spans="2:76" ht="23.25" customHeight="1" outlineLevel="1" x14ac:dyDescent="0.35">
      <c r="B244" s="69" t="s">
        <v>341</v>
      </c>
      <c r="C244" s="61" t="s">
        <v>51</v>
      </c>
      <c r="D244" s="131" t="str">
        <f>IF("Ska Ingå"=D243,"Ska Ingå","")</f>
        <v/>
      </c>
      <c r="F244" s="88" t="str">
        <f t="shared" si="211"/>
        <v/>
      </c>
      <c r="G244" s="89" t="str">
        <f t="shared" ca="1" si="212"/>
        <v>Kapsolo</v>
      </c>
      <c r="H244" s="89" t="str">
        <f t="shared" ca="1" si="212"/>
        <v>Cirafon</v>
      </c>
      <c r="I244" s="89" t="str">
        <f t="shared" ca="1" si="212"/>
        <v>Kapsolo</v>
      </c>
      <c r="J244" s="73"/>
      <c r="BF244" s="63"/>
      <c r="BG244" s="63"/>
      <c r="BH244" s="63"/>
      <c r="BI244" s="63"/>
      <c r="BJ244" s="63"/>
      <c r="BK244" s="63"/>
      <c r="BL244" s="63"/>
      <c r="BM244" s="63"/>
      <c r="BN244" s="63"/>
      <c r="BO244" s="63"/>
      <c r="BP244" s="63"/>
      <c r="BQ244" s="63"/>
      <c r="BR244" s="63"/>
      <c r="BS244" s="63"/>
      <c r="BT244" s="63"/>
      <c r="BU244" s="63"/>
      <c r="BV244" s="63"/>
      <c r="BW244" s="63"/>
      <c r="BX244" s="63"/>
    </row>
    <row r="245" spans="2:76" ht="68.25" customHeight="1" outlineLevel="1" x14ac:dyDescent="0.35">
      <c r="B245" s="69" t="s">
        <v>346</v>
      </c>
      <c r="C245" s="99" t="s">
        <v>52</v>
      </c>
      <c r="D245" s="132" t="str">
        <f>IF("Ska Ingå"=D243,"Ska Ingå","")</f>
        <v/>
      </c>
      <c r="F245" s="90" t="str">
        <f t="shared" si="211"/>
        <v/>
      </c>
      <c r="G245" s="91" t="str">
        <f t="shared" ca="1" si="212"/>
        <v>GBXKAP10145</v>
      </c>
      <c r="H245" s="91" t="str">
        <f t="shared" ca="1" si="212"/>
        <v>DPF11.6-9</v>
      </c>
      <c r="I245" s="91" t="str">
        <f t="shared" ca="1" si="212"/>
        <v>GBXKAP10478</v>
      </c>
      <c r="J245" s="54"/>
      <c r="BF245" s="63"/>
      <c r="BG245" s="63"/>
      <c r="BH245" s="63"/>
      <c r="BI245" s="63"/>
      <c r="BJ245" s="63"/>
      <c r="BK245" s="63"/>
      <c r="BL245" s="63"/>
      <c r="BM245" s="63"/>
      <c r="BN245" s="63"/>
      <c r="BO245" s="63"/>
      <c r="BP245" s="63"/>
      <c r="BQ245" s="63"/>
      <c r="BR245" s="63"/>
      <c r="BS245" s="63"/>
      <c r="BT245" s="63"/>
      <c r="BU245" s="63"/>
      <c r="BV245" s="63"/>
      <c r="BW245" s="63"/>
      <c r="BX245" s="63"/>
    </row>
    <row r="246" spans="2:76" ht="31.5" customHeight="1" outlineLevel="1" x14ac:dyDescent="0.35">
      <c r="B246" s="69" t="s">
        <v>55</v>
      </c>
      <c r="C246" s="95" t="s">
        <v>371</v>
      </c>
      <c r="D246" s="70"/>
      <c r="F246" s="159" t="str">
        <f t="shared" si="211"/>
        <v/>
      </c>
      <c r="G246" s="160">
        <f t="shared" ca="1" si="212"/>
        <v>240</v>
      </c>
      <c r="H246" s="160">
        <f t="shared" ca="1" si="212"/>
        <v>249</v>
      </c>
      <c r="I246" s="160">
        <f t="shared" ca="1" si="212"/>
        <v>198</v>
      </c>
      <c r="BF246" s="63"/>
      <c r="BG246" s="63"/>
      <c r="BH246" s="63"/>
      <c r="BI246" s="63"/>
      <c r="BJ246" s="63"/>
      <c r="BK246" s="63"/>
      <c r="BL246" s="63"/>
      <c r="BM246" s="63"/>
      <c r="BN246" s="63"/>
      <c r="BO246" s="63"/>
      <c r="BP246" s="63"/>
      <c r="BQ246" s="63"/>
      <c r="BR246" s="63"/>
      <c r="BS246" s="63"/>
      <c r="BT246" s="63"/>
      <c r="BU246" s="63"/>
      <c r="BV246" s="63"/>
      <c r="BW246" s="63"/>
      <c r="BX246" s="63"/>
    </row>
    <row r="247" spans="2:76" ht="23.25" customHeight="1" outlineLevel="1" x14ac:dyDescent="0.35">
      <c r="B247" s="69" t="s">
        <v>342</v>
      </c>
      <c r="C247" s="96" t="s">
        <v>51</v>
      </c>
      <c r="D247" s="131" t="str">
        <f>IF("Ska Ingå"=D246,"Ska Ingå","")</f>
        <v/>
      </c>
      <c r="F247" s="84" t="str">
        <f t="shared" si="211"/>
        <v/>
      </c>
      <c r="G247" s="85" t="str">
        <f t="shared" ca="1" si="212"/>
        <v>Dell</v>
      </c>
      <c r="H247" s="85" t="str">
        <f t="shared" ca="1" si="212"/>
        <v>HP</v>
      </c>
      <c r="I247" s="85" t="str">
        <f t="shared" ca="1" si="212"/>
        <v>HP</v>
      </c>
      <c r="BF247" s="63"/>
      <c r="BG247" s="63"/>
      <c r="BH247" s="63"/>
      <c r="BI247" s="63"/>
      <c r="BJ247" s="63"/>
      <c r="BK247" s="63"/>
      <c r="BL247" s="63"/>
      <c r="BM247" s="63"/>
      <c r="BN247" s="63"/>
      <c r="BO247" s="63"/>
      <c r="BP247" s="63"/>
      <c r="BQ247" s="63"/>
      <c r="BR247" s="63"/>
      <c r="BS247" s="63"/>
      <c r="BT247" s="63"/>
      <c r="BU247" s="63"/>
      <c r="BV247" s="63"/>
      <c r="BW247" s="63"/>
      <c r="BX247" s="63"/>
    </row>
    <row r="248" spans="2:76" ht="66.75" customHeight="1" outlineLevel="1" x14ac:dyDescent="0.35">
      <c r="B248" s="69" t="s">
        <v>347</v>
      </c>
      <c r="C248" s="97" t="s">
        <v>52</v>
      </c>
      <c r="D248" s="132" t="str">
        <f>IF("Ska Ingå"=D246,"Ska Ingå","")</f>
        <v/>
      </c>
      <c r="F248" s="86" t="str">
        <f t="shared" si="211"/>
        <v/>
      </c>
      <c r="G248" s="87" t="str">
        <f t="shared" ca="1" si="212"/>
        <v>DELL-921CW</v>
      </c>
      <c r="H248" s="87" t="str">
        <f t="shared" ca="1" si="212"/>
        <v>1MZ01AA</v>
      </c>
      <c r="I248" s="87" t="str">
        <f t="shared" ca="1" si="212"/>
        <v>GBX1HE07AA</v>
      </c>
    </row>
    <row r="249" spans="2:76" ht="23.25" customHeight="1" outlineLevel="1" x14ac:dyDescent="0.35">
      <c r="B249" s="69"/>
      <c r="C249" s="220" t="s">
        <v>365</v>
      </c>
      <c r="D249" s="220"/>
      <c r="E249" s="220"/>
      <c r="F249" s="220"/>
      <c r="G249" s="220"/>
      <c r="H249" s="220"/>
      <c r="I249" s="220"/>
    </row>
    <row r="250" spans="2:76" ht="23.25" customHeight="1" outlineLevel="1" x14ac:dyDescent="0.35">
      <c r="B250" s="71" t="s">
        <v>228</v>
      </c>
      <c r="C250" s="96" t="s">
        <v>367</v>
      </c>
      <c r="D250" s="70"/>
      <c r="F250" s="163" t="str">
        <f>IF(F$222="Inget antal angivet","",IFERROR(INDEX($AP$223:$BX$247,MATCH(F$219,$AN$223:$AN$247,0),MATCH($B250,$AP$223:$BX$223,0)),""))</f>
        <v/>
      </c>
      <c r="G250" s="164">
        <f t="shared" ref="G250:I253" ca="1" si="213">IFERROR(INDEX($AP$223:$BX$247,MATCH(G$219,$AN$223:$AN$247,0),MATCH($B250,$AP$223:$BX$223,0)),"")</f>
        <v>275</v>
      </c>
      <c r="H250" s="164">
        <f t="shared" ca="1" si="213"/>
        <v>131</v>
      </c>
      <c r="I250" s="164">
        <f t="shared" ca="1" si="213"/>
        <v>125</v>
      </c>
    </row>
    <row r="251" spans="2:76" ht="23.25" customHeight="1" outlineLevel="1" x14ac:dyDescent="0.35">
      <c r="B251" s="71" t="s">
        <v>229</v>
      </c>
      <c r="C251" s="61" t="s">
        <v>368</v>
      </c>
      <c r="D251" s="70"/>
      <c r="F251" s="165" t="str">
        <f>IF(F$222="Inget antal angivet","",IFERROR(INDEX($AP$223:$BX$247,MATCH(F$219,$AN$223:$AN$247,0),MATCH($B251,$AP$223:$BX$223,0)),""))</f>
        <v/>
      </c>
      <c r="G251" s="166">
        <f t="shared" ca="1" si="213"/>
        <v>70</v>
      </c>
      <c r="H251" s="166">
        <f t="shared" ca="1" si="213"/>
        <v>133</v>
      </c>
      <c r="I251" s="166">
        <f t="shared" ca="1" si="213"/>
        <v>70</v>
      </c>
    </row>
    <row r="252" spans="2:76" ht="23.25" customHeight="1" outlineLevel="1" x14ac:dyDescent="0.35">
      <c r="B252" s="71" t="s">
        <v>230</v>
      </c>
      <c r="C252" s="96" t="s">
        <v>369</v>
      </c>
      <c r="D252" s="70"/>
      <c r="F252" s="163" t="str">
        <f>IF(F$222="Inget antal angivet","",IFERROR(INDEX($AP$223:$BX$247,MATCH(F$219,$AN$223:$AN$247,0),MATCH($B252,$AP$223:$BX$223,0)),""))</f>
        <v/>
      </c>
      <c r="G252" s="164">
        <f t="shared" ca="1" si="213"/>
        <v>25</v>
      </c>
      <c r="H252" s="164">
        <f t="shared" ca="1" si="213"/>
        <v>20</v>
      </c>
      <c r="I252" s="164">
        <f t="shared" ca="1" si="213"/>
        <v>25</v>
      </c>
    </row>
    <row r="253" spans="2:76" ht="23.25" customHeight="1" outlineLevel="1" x14ac:dyDescent="0.35">
      <c r="B253" s="71" t="s">
        <v>231</v>
      </c>
      <c r="C253" s="61" t="s">
        <v>370</v>
      </c>
      <c r="D253" s="70"/>
      <c r="F253" s="165" t="str">
        <f>IF(F$222="Inget antal angivet","",IFERROR(INDEX($AP$223:$BX$247,MATCH(F$219,$AN$223:$AN$247,0),MATCH($B253,$AP$223:$BX$223,0)),""))</f>
        <v/>
      </c>
      <c r="G253" s="166">
        <f t="shared" ca="1" si="213"/>
        <v>25</v>
      </c>
      <c r="H253" s="166">
        <f t="shared" ca="1" si="213"/>
        <v>20</v>
      </c>
      <c r="I253" s="166">
        <f t="shared" ca="1" si="213"/>
        <v>25</v>
      </c>
    </row>
    <row r="254" spans="2:76" ht="23.25" customHeight="1" outlineLevel="1" x14ac:dyDescent="0.35"/>
    <row r="255" spans="2:76" ht="23.25" customHeight="1" collapsed="1" x14ac:dyDescent="0.35"/>
    <row r="256" spans="2:76" ht="23.25" customHeight="1" x14ac:dyDescent="0.35">
      <c r="D256" s="72" t="s">
        <v>233</v>
      </c>
      <c r="E256" s="1"/>
      <c r="F256" s="221" t="s">
        <v>252</v>
      </c>
      <c r="G256" s="221"/>
      <c r="H256" s="221"/>
      <c r="I256" s="222"/>
    </row>
    <row r="257" spans="2:91" ht="23.25" customHeight="1" x14ac:dyDescent="0.35">
      <c r="D257" s="74"/>
      <c r="F257" s="202" t="str">
        <f ca="1">IFERROR(INDEX($Y$224:$Y$235,MATCH(F219,$Z$224:$Z$235,0)) *D257,"")</f>
        <v/>
      </c>
      <c r="G257" s="202">
        <f ca="1">IFERROR(P224 *D257,"")</f>
        <v>0</v>
      </c>
      <c r="H257" s="202">
        <f ca="1">IFERROR(P225 *D257,"")</f>
        <v>0</v>
      </c>
      <c r="I257" s="202">
        <f ca="1">IFERROR(P226 * D257,"")</f>
        <v>0</v>
      </c>
    </row>
    <row r="259" spans="2:91" ht="15" thickBot="1" x14ac:dyDescent="0.4">
      <c r="C259" s="174"/>
      <c r="D259" s="174"/>
      <c r="E259" s="174"/>
      <c r="F259" s="174"/>
      <c r="G259" s="174"/>
      <c r="H259" s="174"/>
      <c r="I259" s="174"/>
    </row>
    <row r="260" spans="2:91" ht="15" thickTop="1" x14ac:dyDescent="0.35"/>
    <row r="261" spans="2:91" ht="68.25" hidden="1" customHeight="1" collapsed="1" x14ac:dyDescent="0.35">
      <c r="C261" s="53"/>
      <c r="D261" s="53"/>
      <c r="F261" s="50" t="e">
        <f ca="1">N265</f>
        <v>#N/A</v>
      </c>
      <c r="G261" s="50" t="str">
        <f ca="1">INDEX(Z266:Z289,MATCH(P266,Y266:Y289,0))</f>
        <v>Offererad produktnr. 05Qlosr Göteborg AB</v>
      </c>
      <c r="H261" s="50" t="str">
        <f ca="1">INDEX(Z265:Z288,MATCH(P267,Y265:Y288,0))</f>
        <v>Offererad produktnr. 05Dustin Sverige AB</v>
      </c>
      <c r="I261" s="50" t="str">
        <f ca="1">INDEX(Z265:Z288,MATCH(P268,Y265:Y288,0))</f>
        <v>Offererad produktnr. 06Qlosr Göteborg AB</v>
      </c>
      <c r="AP261" s="12" t="s">
        <v>124</v>
      </c>
      <c r="AQ261" s="12" t="s">
        <v>124</v>
      </c>
      <c r="AR261" s="12" t="s">
        <v>124</v>
      </c>
      <c r="AS261" s="12" t="s">
        <v>124</v>
      </c>
      <c r="AT261" s="12" t="s">
        <v>124</v>
      </c>
      <c r="AU261" s="12" t="s">
        <v>124</v>
      </c>
      <c r="AV261" s="12" t="s">
        <v>124</v>
      </c>
      <c r="AW261" s="12" t="s">
        <v>124</v>
      </c>
      <c r="AX261" s="12" t="s">
        <v>124</v>
      </c>
      <c r="AY261" s="12" t="s">
        <v>124</v>
      </c>
      <c r="AZ261" s="12" t="s">
        <v>124</v>
      </c>
      <c r="BA261" s="12" t="s">
        <v>124</v>
      </c>
      <c r="BB261" s="12" t="s">
        <v>124</v>
      </c>
      <c r="BC261" s="12" t="s">
        <v>124</v>
      </c>
      <c r="BD261" s="12" t="s">
        <v>124</v>
      </c>
      <c r="BE261" s="12" t="s">
        <v>124</v>
      </c>
      <c r="BF261" s="12" t="s">
        <v>124</v>
      </c>
      <c r="BG261" s="12" t="s">
        <v>124</v>
      </c>
      <c r="BH261" s="12" t="s">
        <v>124</v>
      </c>
      <c r="BI261" s="12" t="s">
        <v>124</v>
      </c>
      <c r="BJ261" s="12" t="s">
        <v>124</v>
      </c>
      <c r="BK261" s="12" t="s">
        <v>124</v>
      </c>
      <c r="BL261" s="12" t="s">
        <v>124</v>
      </c>
      <c r="BM261" s="12" t="s">
        <v>124</v>
      </c>
      <c r="BN261" s="12" t="s">
        <v>124</v>
      </c>
      <c r="BO261" s="12" t="s">
        <v>124</v>
      </c>
      <c r="BP261" s="12" t="s">
        <v>124</v>
      </c>
      <c r="BQ261" s="12" t="s">
        <v>124</v>
      </c>
      <c r="BR261" s="12" t="s">
        <v>124</v>
      </c>
      <c r="BS261" s="12" t="s">
        <v>124</v>
      </c>
      <c r="BT261" s="12" t="s">
        <v>124</v>
      </c>
      <c r="BU261" s="12"/>
      <c r="BV261" s="12"/>
      <c r="BW261" s="12" t="s">
        <v>124</v>
      </c>
      <c r="BX261" s="12" t="s">
        <v>124</v>
      </c>
      <c r="BY261" s="12"/>
      <c r="BZ261" s="12"/>
      <c r="CA261" s="12"/>
      <c r="CB261" s="12"/>
      <c r="CC261" s="12"/>
      <c r="CD261" s="12"/>
      <c r="CE261" s="12"/>
      <c r="CF261" s="12"/>
      <c r="CG261" s="12"/>
      <c r="CH261" s="12"/>
      <c r="CI261" s="12"/>
      <c r="CJ261" s="12"/>
      <c r="CK261" s="12"/>
      <c r="CL261" s="12"/>
    </row>
    <row r="262" spans="2:91" ht="26.25" customHeight="1" thickBot="1" x14ac:dyDescent="0.4">
      <c r="C262" s="53"/>
      <c r="D262" s="53"/>
      <c r="F262" s="140" t="s">
        <v>446</v>
      </c>
      <c r="G262" s="205" t="s">
        <v>447</v>
      </c>
      <c r="H262" s="205"/>
      <c r="I262" s="205"/>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row>
    <row r="263" spans="2:91" ht="22.5" customHeight="1" thickBot="1" x14ac:dyDescent="0.4">
      <c r="B263" t="str">
        <f ca="1" xml:space="preserve"> "Produkt "  &amp; B264</f>
        <v>Produkt 7</v>
      </c>
      <c r="C263" s="206" t="str">
        <f>IF(F264="Ingen produkt motsvarar","Felmeddelande",IF(COUNTIF($P$1:$P$6,TRUE)&gt;0,"","Felmeddelande"))</f>
        <v/>
      </c>
      <c r="D263" s="207"/>
      <c r="F263" s="218" t="s">
        <v>271</v>
      </c>
      <c r="G263" s="218"/>
      <c r="H263" s="218"/>
      <c r="I263" s="219"/>
      <c r="O263">
        <v>1</v>
      </c>
      <c r="AH263" t="s">
        <v>241</v>
      </c>
      <c r="AP263" s="13" t="str">
        <f t="shared" ref="AP263:BD263" si="214">AP265</f>
        <v>Upplösning</v>
      </c>
      <c r="AQ263" s="13" t="str">
        <f t="shared" si="214"/>
        <v>Processor</v>
      </c>
      <c r="AR263" s="13" t="str">
        <f t="shared" si="214"/>
        <v>Internminne (GB)</v>
      </c>
      <c r="AS263" s="13" t="str">
        <f t="shared" si="214"/>
        <v>Hårddisk</v>
      </c>
      <c r="AT263" s="13" t="str">
        <f t="shared" si="214"/>
        <v>Skärmstorlek (tum)</v>
      </c>
      <c r="AU263" s="13" t="str">
        <f t="shared" si="214"/>
        <v>Portar USB</v>
      </c>
      <c r="AV263" s="13" t="str">
        <f t="shared" si="214"/>
        <v>Portar USB C</v>
      </c>
      <c r="AW263" s="13" t="str">
        <f t="shared" si="214"/>
        <v>Portar HDMI/Display</v>
      </c>
      <c r="AX263" s="13" t="str">
        <f t="shared" si="214"/>
        <v>Kommunikation WLAN</v>
      </c>
      <c r="AY263" s="13" t="str">
        <f t="shared" si="214"/>
        <v>Kommunikation Bluetooth</v>
      </c>
      <c r="AZ263" s="13" t="str">
        <f t="shared" si="214"/>
        <v>Batteritid (tim)</v>
      </c>
      <c r="BA263" s="13" t="str">
        <f t="shared" si="214"/>
        <v>Energiprestanda</v>
      </c>
      <c r="BB263" s="13" t="str">
        <f t="shared" si="214"/>
        <v>Låsskydd</v>
      </c>
      <c r="BC263" s="13" t="str">
        <f t="shared" si="214"/>
        <v>Operativsystem</v>
      </c>
      <c r="BD263" s="13" t="str">
        <f t="shared" si="214"/>
        <v>Modellbenämning</v>
      </c>
      <c r="BE263" t="s">
        <v>224</v>
      </c>
      <c r="BF263" s="56" t="s">
        <v>53</v>
      </c>
      <c r="BG263" s="56" t="s">
        <v>54</v>
      </c>
      <c r="BH263" s="56" t="s">
        <v>55</v>
      </c>
      <c r="BI263" s="57" t="s">
        <v>228</v>
      </c>
      <c r="BJ263" s="57" t="s">
        <v>229</v>
      </c>
      <c r="BK263" s="57" t="s">
        <v>230</v>
      </c>
      <c r="BL263" s="57" t="s">
        <v>231</v>
      </c>
      <c r="BM263" s="57" t="s">
        <v>340</v>
      </c>
      <c r="BN263" s="57" t="s">
        <v>341</v>
      </c>
      <c r="BO263" s="57" t="s">
        <v>342</v>
      </c>
      <c r="BP263" s="57" t="s">
        <v>343</v>
      </c>
      <c r="BQ263" s="57" t="s">
        <v>345</v>
      </c>
      <c r="BR263" s="57" t="s">
        <v>346</v>
      </c>
      <c r="BS263" s="57" t="s">
        <v>347</v>
      </c>
      <c r="BT263" s="57" t="s">
        <v>348</v>
      </c>
      <c r="BU263" s="57"/>
      <c r="BV263" s="57"/>
      <c r="BW263" s="57" t="s">
        <v>6</v>
      </c>
      <c r="BX263" s="4" t="s">
        <v>51</v>
      </c>
      <c r="BY263" s="13"/>
      <c r="BZ263" s="13"/>
      <c r="CA263" s="13"/>
      <c r="CB263" s="13"/>
      <c r="CC263" s="13"/>
      <c r="CD263" s="13"/>
      <c r="CE263" s="13"/>
      <c r="CF263" s="13"/>
      <c r="CG263" s="13"/>
      <c r="CH263" s="13"/>
      <c r="CI263" s="13"/>
      <c r="CJ263" s="13"/>
      <c r="CK263" s="13"/>
      <c r="CL263" s="13"/>
    </row>
    <row r="264" spans="2:91" ht="22.5" customHeight="1" x14ac:dyDescent="0.35">
      <c r="B264">
        <f ca="1">COUNTIF($F$7:F267,"Produkt I varukorg*")</f>
        <v>7</v>
      </c>
      <c r="F264" s="51" t="str">
        <f>IF(D299&lt;1,"Inget antal angivet",IFERROR(INDEX($Y$266:$Y$277,MATCH(F261,$Z$266:$Z$277,0)),"Ingen produkt motsvarar"))</f>
        <v>Inget antal angivet</v>
      </c>
      <c r="G264" s="52">
        <f ca="1">IFERROR(P266,"Ingen produkt motsvarar")</f>
        <v>2950</v>
      </c>
      <c r="H264" s="52">
        <f ca="1">IFERROR(P267,"")</f>
        <v>3415</v>
      </c>
      <c r="I264" s="52">
        <f ca="1">IFERROR(P268,"")</f>
        <v>3610</v>
      </c>
      <c r="Z264" t="str">
        <f>IF(COUNTIF(AA264:AI264,FALSE)&gt;0,AN264,"")</f>
        <v/>
      </c>
      <c r="AN264" t="s">
        <v>126</v>
      </c>
      <c r="AP264" s="58" t="str">
        <f t="shared" ref="AP264:BT264" ca="1" si="215">IFERROR(INDEX(INDIRECT(AP$261&amp;"!$A$10:CC100000"),MATCH($AN264,INDIRECT(AP$261&amp;"!BH$10:BH100000"),0),MATCH(AP$263,INDIRECT(AP$261&amp;"!a10:CC10"),0)),"False")</f>
        <v>False</v>
      </c>
      <c r="AQ264" s="58" t="str">
        <f t="shared" ca="1" si="215"/>
        <v>False</v>
      </c>
      <c r="AR264" s="58" t="str">
        <f t="shared" ca="1" si="215"/>
        <v>False</v>
      </c>
      <c r="AS264" s="58" t="str">
        <f t="shared" ca="1" si="215"/>
        <v>False</v>
      </c>
      <c r="AT264" s="58" t="str">
        <f t="shared" ca="1" si="215"/>
        <v>False</v>
      </c>
      <c r="AU264" s="58" t="str">
        <f t="shared" ca="1" si="215"/>
        <v>False</v>
      </c>
      <c r="AV264" s="58" t="str">
        <f t="shared" ca="1" si="215"/>
        <v>False</v>
      </c>
      <c r="AW264" s="58" t="str">
        <f t="shared" ca="1" si="215"/>
        <v>False</v>
      </c>
      <c r="AX264" s="58" t="str">
        <f t="shared" ca="1" si="215"/>
        <v>False</v>
      </c>
      <c r="AY264" s="58" t="str">
        <f t="shared" ca="1" si="215"/>
        <v>False</v>
      </c>
      <c r="AZ264" s="58" t="str">
        <f t="shared" ca="1" si="215"/>
        <v>False</v>
      </c>
      <c r="BA264" s="58" t="str">
        <f t="shared" ca="1" si="215"/>
        <v>False</v>
      </c>
      <c r="BB264" s="58" t="str">
        <f t="shared" ca="1" si="215"/>
        <v>False</v>
      </c>
      <c r="BC264" s="58" t="str">
        <f t="shared" ca="1" si="215"/>
        <v>False</v>
      </c>
      <c r="BD264" s="58" t="str">
        <f t="shared" ca="1" si="215"/>
        <v>False</v>
      </c>
      <c r="BE264" s="58" t="str">
        <f t="shared" ca="1" si="215"/>
        <v>False</v>
      </c>
      <c r="BF264" s="58" t="str">
        <f t="shared" ca="1" si="215"/>
        <v>False</v>
      </c>
      <c r="BG264" s="58" t="str">
        <f t="shared" ca="1" si="215"/>
        <v>False</v>
      </c>
      <c r="BH264" s="58" t="str">
        <f t="shared" ca="1" si="215"/>
        <v>False</v>
      </c>
      <c r="BI264" s="58" t="str">
        <f t="shared" ca="1" si="215"/>
        <v>False</v>
      </c>
      <c r="BJ264" s="58" t="str">
        <f t="shared" ca="1" si="215"/>
        <v>False</v>
      </c>
      <c r="BK264" s="58" t="str">
        <f t="shared" ca="1" si="215"/>
        <v>False</v>
      </c>
      <c r="BL264" s="58" t="str">
        <f t="shared" ca="1" si="215"/>
        <v>False</v>
      </c>
      <c r="BM264" s="58" t="str">
        <f t="shared" ca="1" si="215"/>
        <v>False</v>
      </c>
      <c r="BN264" s="58" t="str">
        <f t="shared" ca="1" si="215"/>
        <v>False</v>
      </c>
      <c r="BO264" s="58" t="str">
        <f t="shared" ca="1" si="215"/>
        <v>False</v>
      </c>
      <c r="BP264" s="58" t="str">
        <f t="shared" ca="1" si="215"/>
        <v>False</v>
      </c>
      <c r="BQ264" s="58" t="str">
        <f t="shared" ca="1" si="215"/>
        <v>False</v>
      </c>
      <c r="BR264" s="58" t="str">
        <f t="shared" ca="1" si="215"/>
        <v>False</v>
      </c>
      <c r="BS264" s="58" t="str">
        <f t="shared" ca="1" si="215"/>
        <v>False</v>
      </c>
      <c r="BT264" s="58" t="str">
        <f t="shared" ca="1" si="215"/>
        <v>False</v>
      </c>
      <c r="BU264" s="58"/>
      <c r="BV264" s="58"/>
      <c r="BW264" s="58" t="str">
        <f ca="1">IFERROR(INDEX(INDIRECT(BW$261&amp;"!$A$10:CC100000"),MATCH($AN264,INDIRECT(BW$261&amp;"!BH$10:BH100000"),0),MATCH(BW$263,INDIRECT(BW$261&amp;"!a10:CC10"),0)),"False")</f>
        <v>False</v>
      </c>
      <c r="BX264" s="58" t="str">
        <f ca="1">IFERROR(INDEX(INDIRECT(BX$261&amp;"!$A$10:CC100000"),MATCH($AN264,INDIRECT(BX$261&amp;"!BH$10:BH100000"),0),MATCH(BX$263,INDIRECT(BX$261&amp;"!a10:CC10"),0)),"False")</f>
        <v>False</v>
      </c>
      <c r="BY264" s="58"/>
      <c r="BZ264" s="58"/>
      <c r="CA264" s="58"/>
      <c r="CB264" s="58"/>
      <c r="CC264" s="58"/>
      <c r="CD264" s="58"/>
      <c r="CE264" s="58"/>
      <c r="CF264" s="58"/>
      <c r="CG264" s="58"/>
      <c r="CH264" s="58"/>
      <c r="CI264" s="58"/>
      <c r="CJ264" s="58"/>
      <c r="CK264" s="58"/>
      <c r="CL264" s="58"/>
    </row>
    <row r="265" spans="2:91" ht="22.5" customHeight="1" x14ac:dyDescent="0.35">
      <c r="C265" s="210" t="str">
        <f ca="1" xml:space="preserve"> "Bärbar dator (B) "  &amp; RIGHT("00" &amp; B264,2)</f>
        <v>Bärbar dator (B) 07</v>
      </c>
      <c r="D265" s="211"/>
      <c r="F265" s="92" t="str">
        <f>IF(F264="Inget antal angivet","",IFERROR(INDEX($AP$265:$BX$289,MATCH(F$261,$AN$265:$AN$289,0),MATCH("Modellbenämning",$AP$265:$BX$265,0)),""))</f>
        <v/>
      </c>
      <c r="G265" s="92" t="str">
        <f ca="1">IFERROR(INDEX($AP$265:$BX$289,MATCH(G$261,$AN$265:$AN$289,0),MATCH("Modellbenämning",$AP$265:$BX$265,0)),"")</f>
        <v>Chromebook 3110</v>
      </c>
      <c r="H265" s="92" t="str">
        <f ca="1">IFERROR(INDEX($AP$265:$BX$289,MATCH(H$261,$AN$265:$AN$289,0),MATCH("Modellbenämning",$AP$265:$BX$265,0)),"")</f>
        <v>ChromeBook 11 G9 EE</v>
      </c>
      <c r="I265" s="92" t="str">
        <f ca="1">IFERROR(INDEX($AP$265:$BX$289,MATCH(I$261,$AN$265:$AN$289,0),MATCH("Modellbenämning",$AP$265:$BX$265,0)),"")</f>
        <v>Chromebook 14 G7</v>
      </c>
      <c r="J265" s="93"/>
      <c r="K265" s="92"/>
      <c r="L265" s="92"/>
      <c r="M265" s="92"/>
      <c r="N265" s="92" t="e">
        <f ca="1">INDEX($N$266:$N$271,MATCH(Överblick!$L$2,$M$266:$M$271,0))</f>
        <v>#N/A</v>
      </c>
      <c r="O265" s="92"/>
      <c r="P265" s="92"/>
      <c r="Q265" s="92"/>
      <c r="R265" s="92">
        <v>1</v>
      </c>
      <c r="S265" s="92">
        <v>2</v>
      </c>
      <c r="T265" s="92">
        <v>3</v>
      </c>
      <c r="U265" s="92">
        <v>5</v>
      </c>
      <c r="V265" s="92">
        <v>6</v>
      </c>
      <c r="W265" s="92">
        <v>7</v>
      </c>
      <c r="X265" s="92">
        <v>8</v>
      </c>
      <c r="Y265" s="92"/>
      <c r="Z265" s="92" t="s">
        <v>122</v>
      </c>
      <c r="AA265" s="92" t="s">
        <v>2</v>
      </c>
      <c r="AB265" s="92" t="s">
        <v>4</v>
      </c>
      <c r="AC265" s="92" t="s">
        <v>119</v>
      </c>
      <c r="AD265" s="92" t="s">
        <v>16</v>
      </c>
      <c r="AE265" s="92" t="s">
        <v>7</v>
      </c>
      <c r="AF265" s="92" t="s">
        <v>67</v>
      </c>
      <c r="AG265" s="92" t="s">
        <v>74</v>
      </c>
      <c r="AH265" s="92" t="s">
        <v>103</v>
      </c>
      <c r="AI265" s="92" t="s">
        <v>75</v>
      </c>
      <c r="AJ265" s="92" t="s">
        <v>38</v>
      </c>
      <c r="AK265" s="92"/>
      <c r="AL265" s="92"/>
      <c r="AM265" s="92"/>
      <c r="AN265" s="92" t="s">
        <v>222</v>
      </c>
      <c r="AO265" s="92">
        <v>1</v>
      </c>
      <c r="AP265" s="92" t="s">
        <v>2</v>
      </c>
      <c r="AQ265" s="92" t="s">
        <v>4</v>
      </c>
      <c r="AR265" s="92" t="s">
        <v>119</v>
      </c>
      <c r="AS265" s="92" t="s">
        <v>16</v>
      </c>
      <c r="AT265" s="92" t="s">
        <v>7</v>
      </c>
      <c r="AU265" s="92" t="s">
        <v>67</v>
      </c>
      <c r="AV265" s="92" t="s">
        <v>74</v>
      </c>
      <c r="AW265" s="92" t="s">
        <v>97</v>
      </c>
      <c r="AX265" s="92" t="s">
        <v>103</v>
      </c>
      <c r="AY265" s="92" t="s">
        <v>75</v>
      </c>
      <c r="AZ265" s="92" t="s">
        <v>120</v>
      </c>
      <c r="BA265" s="92" t="s">
        <v>38</v>
      </c>
      <c r="BB265" s="92" t="s">
        <v>37</v>
      </c>
      <c r="BC265" s="92" t="s">
        <v>3</v>
      </c>
      <c r="BD265" s="92" t="s">
        <v>52</v>
      </c>
      <c r="BE265" s="92" t="s">
        <v>25</v>
      </c>
      <c r="BF265" s="92" t="s">
        <v>53</v>
      </c>
      <c r="BG265" s="92" t="s">
        <v>54</v>
      </c>
      <c r="BH265" s="92" t="s">
        <v>55</v>
      </c>
      <c r="BI265" s="92" t="s">
        <v>228</v>
      </c>
      <c r="BJ265" s="92" t="s">
        <v>229</v>
      </c>
      <c r="BK265" s="92" t="s">
        <v>230</v>
      </c>
      <c r="BL265" s="92" t="s">
        <v>231</v>
      </c>
      <c r="BM265" s="92" t="s">
        <v>340</v>
      </c>
      <c r="BN265" s="92" t="s">
        <v>341</v>
      </c>
      <c r="BO265" s="92" t="s">
        <v>342</v>
      </c>
      <c r="BP265" s="92" t="s">
        <v>343</v>
      </c>
      <c r="BQ265" s="92" t="s">
        <v>345</v>
      </c>
      <c r="BR265" s="92" t="s">
        <v>346</v>
      </c>
      <c r="BS265" s="92" t="s">
        <v>347</v>
      </c>
      <c r="BT265" s="92" t="s">
        <v>348</v>
      </c>
      <c r="BU265" s="92"/>
      <c r="BV265" s="92"/>
      <c r="BW265" s="92" t="s">
        <v>6</v>
      </c>
      <c r="BX265" s="92" t="s">
        <v>51</v>
      </c>
      <c r="BY265" s="92" t="s">
        <v>2</v>
      </c>
      <c r="BZ265" s="92" t="s">
        <v>4</v>
      </c>
      <c r="CA265" s="92" t="s">
        <v>119</v>
      </c>
      <c r="CB265" s="92" t="s">
        <v>16</v>
      </c>
      <c r="CC265" s="92" t="s">
        <v>7</v>
      </c>
      <c r="CD265" s="92" t="s">
        <v>67</v>
      </c>
      <c r="CE265" s="92" t="s">
        <v>74</v>
      </c>
      <c r="CF265" s="92" t="s">
        <v>75</v>
      </c>
      <c r="CG265" s="92" t="s">
        <v>75</v>
      </c>
      <c r="CH265" s="92" t="s">
        <v>120</v>
      </c>
      <c r="CI265" s="92" t="s">
        <v>38</v>
      </c>
      <c r="CJ265" s="92" t="s">
        <v>37</v>
      </c>
      <c r="CK265" s="92" t="s">
        <v>3</v>
      </c>
      <c r="CL265" s="92"/>
      <c r="CM265" s="92"/>
    </row>
    <row r="266" spans="2:91" ht="22.5" customHeight="1" outlineLevel="1" x14ac:dyDescent="0.35">
      <c r="C266" s="210" t="s">
        <v>261</v>
      </c>
      <c r="D266" s="211"/>
      <c r="F266" s="76" t="str">
        <f>IF(F264="Inget antal angivet","",IFERROR(INDEX($AP$265:$BX$289,MATCH(F$261,$AN$265:$AN$289,0),MATCH("Varumärke",$AP$265:$BX$265,0)),""))</f>
        <v/>
      </c>
      <c r="G266" s="77" t="str">
        <f ca="1">IFERROR(INDEX($AP$265:$BX$289,MATCH(G$261,$AN$265:$AN$289,0),MATCH("Varumärke",$AP$265:$BX$265,0)),"")</f>
        <v>Dell</v>
      </c>
      <c r="H266" s="77" t="str">
        <f ca="1">IFERROR(INDEX($AP$265:$BX$289,MATCH(H$261,$AN$265:$AN$289,0),MATCH("Varumärke",$AP$265:$BX$265,0)),"")</f>
        <v>HP</v>
      </c>
      <c r="I266" s="119" t="str">
        <f ca="1">IFERROR(INDEX($AP$265:$BX$289,MATCH(I$261,$AN$265:$AN$289,0),MATCH("Varumärke",$AP$265:$BX$265,0)),"")</f>
        <v>HP</v>
      </c>
      <c r="K266" s="185">
        <f t="shared" ref="K266:K271" ca="1" si="216">O266*$D$299</f>
        <v>0</v>
      </c>
      <c r="L266" s="185" t="b">
        <f t="shared" ref="L266:L271" si="217">IF($D$299=0,TRUE,IF(K266=0,FALSE,TRUE))</f>
        <v>1</v>
      </c>
      <c r="M266" s="185" t="s">
        <v>162</v>
      </c>
      <c r="N266" s="185" t="str">
        <f t="shared" ref="N266:N271" ca="1" si="218">INDEX($Z$266:$Z$277,MATCH(O266,$Y$266:$Y$277,0))</f>
        <v>Offererad produktnr. 05Advania Sverige AB</v>
      </c>
      <c r="O266" s="185" cm="1">
        <f t="array" aca="1" ref="O266" ca="1">MIN(IF(($BW$266:$BW$287=M266)*($AO$266:$AO$287=$O$263),$Y$266:$Y$287))</f>
        <v>3996</v>
      </c>
      <c r="P266" s="197">
        <f ca="1">SMALL($Y$266:$Y$289,1)</f>
        <v>2950</v>
      </c>
      <c r="Q266" s="185">
        <f t="shared" ref="Q266:Q275" si="219">SUM(R266:X266)</f>
        <v>0</v>
      </c>
      <c r="R266" s="185">
        <f t="shared" ref="R266:R275" si="220">IF($D$282="",0,BF266)</f>
        <v>0</v>
      </c>
      <c r="S266" s="185">
        <f t="shared" ref="S266:S275" si="221">IF($D$285="",0,BG266)</f>
        <v>0</v>
      </c>
      <c r="T266" s="185">
        <f t="shared" ref="T266:T275" si="222">IF($D$288="",0,BH266)</f>
        <v>0</v>
      </c>
      <c r="U266" s="185">
        <f t="shared" ref="U266:U275" si="223">IF($D$292="",0,BI266)</f>
        <v>0</v>
      </c>
      <c r="V266" s="185">
        <f t="shared" ref="V266:V275" si="224">IF($D$293="",0,BJ266)</f>
        <v>0</v>
      </c>
      <c r="W266" s="185">
        <f t="shared" ref="W266:W275" si="225">IF($D$294="",0,BK266)</f>
        <v>0</v>
      </c>
      <c r="X266" s="185">
        <f t="shared" ref="X266:X275" si="226">IF($D$295="",0,BL266)</f>
        <v>0</v>
      </c>
      <c r="Y266" s="185">
        <f t="shared" ref="Y266:Y275" ca="1" si="227">IF(Z266="","",SUM(BE266,R266:X266))</f>
        <v>3996</v>
      </c>
      <c r="Z266" s="185" t="str">
        <f t="shared" ref="Z266:Z275" si="228">IF(COUNTIF(AA266:AM266,FALSE)&gt;0,"",AN266)</f>
        <v>Offererad produktnr. 05Advania Sverige AB</v>
      </c>
      <c r="AA266" s="185" t="b">
        <f t="shared" ref="AA266:AA275" si="229">IF(" 1366x768"=$D$269,TRUE,IF($D$269=0,TRUE,IF($D$269=AP266,TRUE,FALSE)))</f>
        <v>1</v>
      </c>
      <c r="AB266" s="185" t="b">
        <f t="shared" ref="AB266:AB275" si="230">IF($D$270="",TRUE,IF(AQ266=$D$270,TRUE,FALSE))</f>
        <v>1</v>
      </c>
      <c r="AC266" s="185" t="b">
        <f t="shared" ref="AC266:AC275" si="231">IF($D$271="",TRUE,IF(AR266&gt;=$D$271,TRUE,FALSE))</f>
        <v>1</v>
      </c>
      <c r="AD266" s="185" t="b">
        <f t="shared" ref="AD266:AD275" si="232">IF($D$272="",TRUE,IF(AS266&gt;=$D$272,TRUE,FALSE))</f>
        <v>1</v>
      </c>
      <c r="AE266" s="185" t="b">
        <f>IF($D$268="",TRUE,IF(COUNTIF(Processor!$I$2:$I$9,$D$268)&gt;0,AND(AT266&gt;INDEX(Processor!$J$2:$J$9,MATCH($D$268,Processor!$I$2:$I$9,0)),AT266&lt;INDEX(Processor!$K$2:$K$9,MATCH($D$268,Processor!$I$2:$I$9,0))),IF(AT266=$D$268,TRUE,FALSE)))</f>
        <v>1</v>
      </c>
      <c r="AF266" s="185" t="b">
        <f t="shared" ref="AF266:AF275" si="233">IF($D$273="",TRUE,IF(AU266&gt;=$D$273,TRUE,FALSE))</f>
        <v>1</v>
      </c>
      <c r="AG266" s="185" t="b">
        <f t="shared" ref="AG266:AG275" si="234">IF($D$274="",TRUE,IF(AV266&gt;=$D$274,TRUE,FALSE))</f>
        <v>1</v>
      </c>
      <c r="AH266" s="185" t="b">
        <f t="shared" ref="AH266:AH275" si="235">IF($D$275="",TRUE,IF($D$275="802.11a/b/g/n/ac",TRUE,IF(AX266&gt;=$D$275,TRUE,FALSE)))</f>
        <v>1</v>
      </c>
      <c r="AI266" s="185" t="b">
        <f t="shared" ref="AI266:AI275" si="236">IF($D$276="",TRUE,IF(AY266&gt;=$D$276,TRUE,FALSE))</f>
        <v>1</v>
      </c>
      <c r="AJ266" s="185" t="b">
        <f>IFERROR(IF($D278="",TRUE,IF(MID(BA266,LEN(BA266)-2,1)*1&gt;=MID($D278,LEN($D278)-2,1)*1,TRUE,FALSE)),FALSE)</f>
        <v>1</v>
      </c>
      <c r="AK266" s="185"/>
      <c r="AL266" s="185"/>
      <c r="AM266" s="185"/>
      <c r="AN266" s="185" t="s">
        <v>202</v>
      </c>
      <c r="AO266" s="185">
        <v>1</v>
      </c>
      <c r="AP266" s="185" t="str">
        <f t="shared" ref="AP266:AY275" ca="1" si="237">IFERROR(INDEX(INDIRECT(AP$261&amp;"!$A$10:CC100000"),MATCH($AN266,INDIRECT(AP$261&amp;"!BH$10:BH100000"),0),MATCH(AP$263,INDIRECT(AP$261&amp;"!a10:CC10"),0)),"False")</f>
        <v>1366x768</v>
      </c>
      <c r="AQ266" s="185" t="str">
        <f t="shared" ca="1" si="237"/>
        <v>Intel Celeron</v>
      </c>
      <c r="AR266" s="185">
        <f t="shared" ca="1" si="237"/>
        <v>4</v>
      </c>
      <c r="AS266" s="185">
        <f t="shared" ca="1" si="237"/>
        <v>32</v>
      </c>
      <c r="AT266" s="185">
        <f t="shared" ca="1" si="237"/>
        <v>11.6</v>
      </c>
      <c r="AU266" s="185">
        <f t="shared" ca="1" si="237"/>
        <v>3</v>
      </c>
      <c r="AV266" s="185">
        <f t="shared" ca="1" si="237"/>
        <v>1</v>
      </c>
      <c r="AW266" s="185">
        <f t="shared" ca="1" si="237"/>
        <v>0</v>
      </c>
      <c r="AX266" s="185" t="str">
        <f t="shared" ca="1" si="237"/>
        <v>802.11a/b/g/n/ac</v>
      </c>
      <c r="AY266" s="185">
        <f t="shared" ca="1" si="237"/>
        <v>5</v>
      </c>
      <c r="AZ266" s="185">
        <f t="shared" ref="AZ266:BI275" ca="1" si="238">IFERROR(INDEX(INDIRECT(AZ$261&amp;"!$A$10:CC100000"),MATCH($AN266,INDIRECT(AZ$261&amp;"!BH$10:BH100000"),0),MATCH(AZ$263,INDIRECT(AZ$261&amp;"!a10:CC10"),0)),"False")</f>
        <v>11</v>
      </c>
      <c r="BA266" s="185" t="str">
        <f t="shared" ca="1" si="238"/>
        <v>Version 8.0</v>
      </c>
      <c r="BB266" s="185" t="str">
        <f t="shared" ca="1" si="238"/>
        <v>Ja</v>
      </c>
      <c r="BC266" s="185" t="str">
        <f t="shared" ca="1" si="238"/>
        <v>Google Chrome OS</v>
      </c>
      <c r="BD266" s="185" t="str">
        <f t="shared" ca="1" si="238"/>
        <v>ChromeBook 11 G9 EE</v>
      </c>
      <c r="BE266" s="185">
        <f t="shared" ca="1" si="238"/>
        <v>3996</v>
      </c>
      <c r="BF266" s="192">
        <f t="shared" ca="1" si="238"/>
        <v>64</v>
      </c>
      <c r="BG266" s="192">
        <f t="shared" ca="1" si="238"/>
        <v>213</v>
      </c>
      <c r="BH266" s="192">
        <f t="shared" ca="1" si="238"/>
        <v>251</v>
      </c>
      <c r="BI266" s="192">
        <f t="shared" ca="1" si="238"/>
        <v>594</v>
      </c>
      <c r="BJ266" s="192">
        <f t="shared" ref="BJ266:BT275" ca="1" si="239">IFERROR(INDEX(INDIRECT(BJ$261&amp;"!$A$10:CC100000"),MATCH($AN266,INDIRECT(BJ$261&amp;"!BH$10:BH100000"),0),MATCH(BJ$263,INDIRECT(BJ$261&amp;"!a10:CC10"),0)),"False")</f>
        <v>112</v>
      </c>
      <c r="BK266" s="192">
        <f t="shared" ca="1" si="239"/>
        <v>50</v>
      </c>
      <c r="BL266" s="192">
        <f t="shared" ca="1" si="239"/>
        <v>50</v>
      </c>
      <c r="BM266" s="192" t="str">
        <f t="shared" ca="1" si="239"/>
        <v>V7</v>
      </c>
      <c r="BN266" s="192" t="str">
        <f t="shared" ca="1" si="239"/>
        <v>PORT Designs</v>
      </c>
      <c r="BO266" s="192" t="str">
        <f t="shared" ca="1" si="239"/>
        <v>CoreParts</v>
      </c>
      <c r="BP266" s="192">
        <f t="shared" ca="1" si="239"/>
        <v>0</v>
      </c>
      <c r="BQ266" s="192" t="str">
        <f t="shared" ca="1" si="239"/>
        <v xml:space="preserve"> CSE12-BLK-3E  - Fodral för bärbar dator 12" - svart</v>
      </c>
      <c r="BR266" s="192" t="str">
        <f t="shared" ca="1" si="239"/>
        <v>900265 - Sekretessfilter till bärbar dator - 11.6" - guld</v>
      </c>
      <c r="BS266" s="192" t="str">
        <f t="shared" ca="1" si="239"/>
        <v>MBXUSBC-AC0005 - USB-C - strömadapter 45 Watt</v>
      </c>
      <c r="BT266" s="192">
        <f t="shared" ca="1" si="239"/>
        <v>0</v>
      </c>
      <c r="BU266" s="192"/>
      <c r="BV266" s="192"/>
      <c r="BW266" s="192" t="str">
        <f t="shared" ref="BW266:BX275" ca="1" si="240">IFERROR(INDEX(INDIRECT(BW$261&amp;"!$A$10:CC100000"),MATCH($AN266,INDIRECT(BW$261&amp;"!BH$10:BH100000"),0),MATCH(BW$263,INDIRECT(BW$261&amp;"!a10:CC10"),0)),"False")</f>
        <v>Advania Sverige AB</v>
      </c>
      <c r="BX266" s="192" t="str">
        <f t="shared" ca="1" si="240"/>
        <v>HP</v>
      </c>
      <c r="BY266" s="185" t="s">
        <v>706</v>
      </c>
      <c r="BZ266" s="185" t="s">
        <v>81</v>
      </c>
      <c r="CA266" s="185">
        <v>4</v>
      </c>
      <c r="CB266" s="185">
        <v>32</v>
      </c>
      <c r="CC266" s="191">
        <v>11.6</v>
      </c>
      <c r="CD266" s="185">
        <v>2</v>
      </c>
      <c r="CE266" s="185">
        <v>1</v>
      </c>
      <c r="CF266" s="185" t="s">
        <v>86</v>
      </c>
      <c r="CG266" s="186">
        <v>5</v>
      </c>
      <c r="CH266" s="186">
        <v>11</v>
      </c>
      <c r="CI266" s="185" t="s">
        <v>527</v>
      </c>
      <c r="CJ266" s="185" t="s">
        <v>69</v>
      </c>
      <c r="CK266" s="185" t="s">
        <v>82</v>
      </c>
      <c r="CL266" s="185"/>
      <c r="CM266" s="185"/>
    </row>
    <row r="267" spans="2:91" ht="22.5" customHeight="1" outlineLevel="1" x14ac:dyDescent="0.35">
      <c r="C267" s="61" t="s">
        <v>3</v>
      </c>
      <c r="D267" s="64"/>
      <c r="F267" s="78" t="str">
        <f t="shared" ref="F267:F279" si="241">IF(F$264="Inget antal angivet","",IFERROR(INDEX($AP$265:$BX$289,MATCH(F$261,$AN$265:$AN$289,0),MATCH($C267,$AP$265:$BX$265,0)),""))</f>
        <v/>
      </c>
      <c r="G267" s="79" t="str">
        <f t="shared" ref="G267:I279" ca="1" si="242">IFERROR(INDEX($AP$265:$BX$289,MATCH(G$261,$AN$265:$AN$289,0),MATCH($C267,$AP$265:$BX$265,0)),"")</f>
        <v>Google Chrome OS</v>
      </c>
      <c r="H267" s="79" t="str">
        <f t="shared" ca="1" si="242"/>
        <v>Google Chrome OS</v>
      </c>
      <c r="I267" s="120" t="str">
        <f t="shared" ca="1" si="242"/>
        <v>Google Chrome OS</v>
      </c>
      <c r="J267" s="62"/>
      <c r="K267" s="185">
        <f t="shared" ca="1" si="216"/>
        <v>0</v>
      </c>
      <c r="L267" s="185" t="b">
        <f t="shared" si="217"/>
        <v>1</v>
      </c>
      <c r="M267" s="185" t="s">
        <v>150</v>
      </c>
      <c r="N267" s="185" t="str">
        <f t="shared" ca="1" si="218"/>
        <v>Offererad produktnr. 05Atea Sverige AB</v>
      </c>
      <c r="O267" s="185" cm="1">
        <f t="array" aca="1" ref="O267" ca="1">MIN(IF(($BW$266:$BW$287=M267)*($AO$266:$AO$287=$O$263),$Y$266:$Y$287))</f>
        <v>4802</v>
      </c>
      <c r="P267" s="197">
        <f ca="1">SMALL($Y$266:$Y$289,2)</f>
        <v>3415</v>
      </c>
      <c r="Q267" s="185">
        <f t="shared" si="219"/>
        <v>0</v>
      </c>
      <c r="R267" s="185">
        <f t="shared" si="220"/>
        <v>0</v>
      </c>
      <c r="S267" s="185">
        <f t="shared" si="221"/>
        <v>0</v>
      </c>
      <c r="T267" s="185">
        <f t="shared" si="222"/>
        <v>0</v>
      </c>
      <c r="U267" s="185">
        <f t="shared" si="223"/>
        <v>0</v>
      </c>
      <c r="V267" s="185">
        <f t="shared" si="224"/>
        <v>0</v>
      </c>
      <c r="W267" s="185">
        <f t="shared" si="225"/>
        <v>0</v>
      </c>
      <c r="X267" s="185">
        <f t="shared" si="226"/>
        <v>0</v>
      </c>
      <c r="Y267" s="185">
        <f t="shared" ca="1" si="227"/>
        <v>4882</v>
      </c>
      <c r="Z267" s="185" t="str">
        <f t="shared" si="228"/>
        <v>Offererad produktnr. 06Advania Sverige AB</v>
      </c>
      <c r="AA267" s="185" t="b">
        <f t="shared" si="229"/>
        <v>1</v>
      </c>
      <c r="AB267" s="185" t="b">
        <f t="shared" si="230"/>
        <v>1</v>
      </c>
      <c r="AC267" s="185" t="b">
        <f t="shared" si="231"/>
        <v>1</v>
      </c>
      <c r="AD267" s="185" t="b">
        <f t="shared" si="232"/>
        <v>1</v>
      </c>
      <c r="AE267" s="185" t="b">
        <f>IF($D$268="",TRUE,IF(COUNTIF(Processor!$I$2:$I$9,$D$268)&gt;0,AND(AT267&gt;INDEX(Processor!$J$2:$J$9,MATCH($D$268,Processor!$I$2:$I$9,0)),AT267&lt;INDEX(Processor!$K$2:$K$9,MATCH($D$268,Processor!$I$2:$I$9,0))),IF(AT267=$D$268,TRUE,FALSE)))</f>
        <v>1</v>
      </c>
      <c r="AF267" s="185" t="b">
        <f t="shared" si="233"/>
        <v>1</v>
      </c>
      <c r="AG267" s="185" t="b">
        <f t="shared" si="234"/>
        <v>1</v>
      </c>
      <c r="AH267" s="185" t="b">
        <f t="shared" si="235"/>
        <v>1</v>
      </c>
      <c r="AI267" s="185" t="b">
        <f t="shared" si="236"/>
        <v>1</v>
      </c>
      <c r="AJ267" s="185" t="b">
        <f>IFERROR(IF($D278="",TRUE,IF(MID(BA267,LEN(BA267)-2,1)*1&gt;=MID($D278,LEN($D278)-2,1)*1,TRUE,FALSE)),FALSE)</f>
        <v>1</v>
      </c>
      <c r="AK267" s="185"/>
      <c r="AL267" s="185"/>
      <c r="AM267" s="185"/>
      <c r="AN267" s="185" t="s">
        <v>203</v>
      </c>
      <c r="AO267" s="185">
        <v>1</v>
      </c>
      <c r="AP267" s="185" t="str">
        <f t="shared" ca="1" si="237"/>
        <v>1920x1080</v>
      </c>
      <c r="AQ267" s="185" t="str">
        <f t="shared" ca="1" si="237"/>
        <v>Intel Celeron</v>
      </c>
      <c r="AR267" s="185">
        <f t="shared" ca="1" si="237"/>
        <v>8</v>
      </c>
      <c r="AS267" s="185">
        <f t="shared" ca="1" si="237"/>
        <v>64</v>
      </c>
      <c r="AT267" s="185">
        <f t="shared" ca="1" si="237"/>
        <v>14</v>
      </c>
      <c r="AU267" s="185">
        <f t="shared" ca="1" si="237"/>
        <v>3</v>
      </c>
      <c r="AV267" s="185">
        <f t="shared" ca="1" si="237"/>
        <v>1</v>
      </c>
      <c r="AW267" s="185">
        <f t="shared" ca="1" si="237"/>
        <v>0</v>
      </c>
      <c r="AX267" s="185" t="str">
        <f t="shared" ca="1" si="237"/>
        <v>802.11a/b/g/n/ac/ax</v>
      </c>
      <c r="AY267" s="185">
        <f t="shared" ca="1" si="237"/>
        <v>5</v>
      </c>
      <c r="AZ267" s="185">
        <f t="shared" ca="1" si="238"/>
        <v>11</v>
      </c>
      <c r="BA267" s="185" t="str">
        <f t="shared" ca="1" si="238"/>
        <v>Version 8.0</v>
      </c>
      <c r="BB267" s="185" t="str">
        <f t="shared" ca="1" si="238"/>
        <v>Ja</v>
      </c>
      <c r="BC267" s="185" t="str">
        <f t="shared" ca="1" si="238"/>
        <v>Google Chrome OS</v>
      </c>
      <c r="BD267" s="185" t="str">
        <f t="shared" ca="1" si="238"/>
        <v>Chromebook 14 G7</v>
      </c>
      <c r="BE267" s="185">
        <f t="shared" ca="1" si="238"/>
        <v>4882</v>
      </c>
      <c r="BF267" s="192">
        <f t="shared" ca="1" si="238"/>
        <v>60</v>
      </c>
      <c r="BG267" s="192">
        <f t="shared" ca="1" si="238"/>
        <v>218</v>
      </c>
      <c r="BH267" s="192">
        <f t="shared" ca="1" si="238"/>
        <v>251</v>
      </c>
      <c r="BI267" s="192">
        <f t="shared" ca="1" si="238"/>
        <v>244</v>
      </c>
      <c r="BJ267" s="192">
        <f t="shared" ca="1" si="239"/>
        <v>112</v>
      </c>
      <c r="BK267" s="192">
        <f t="shared" ca="1" si="239"/>
        <v>50</v>
      </c>
      <c r="BL267" s="192">
        <f t="shared" ca="1" si="239"/>
        <v>50</v>
      </c>
      <c r="BM267" s="192" t="str">
        <f t="shared" ca="1" si="239"/>
        <v>V7</v>
      </c>
      <c r="BN267" s="192" t="str">
        <f t="shared" ca="1" si="239"/>
        <v>PORT Designs</v>
      </c>
      <c r="BO267" s="192" t="str">
        <f t="shared" ca="1" si="239"/>
        <v>CoreParts</v>
      </c>
      <c r="BP267" s="192">
        <f t="shared" ca="1" si="239"/>
        <v>0</v>
      </c>
      <c r="BQ267" s="192" t="str">
        <f t="shared" ca="1" si="239"/>
        <v xml:space="preserve"> CSE14-BLK-3E  -Fodral för bärbar dator - 14" - svart</v>
      </c>
      <c r="BR267" s="192" t="str">
        <f t="shared" ca="1" si="239"/>
        <v>900003 - Professional - filter för personlig integritet - 14"</v>
      </c>
      <c r="BS267" s="192" t="str">
        <f t="shared" ca="1" si="239"/>
        <v>MBXUSBC-AC0005 - USB-C - strömadapter 45 Watt</v>
      </c>
      <c r="BT267" s="192">
        <f t="shared" ca="1" si="239"/>
        <v>0</v>
      </c>
      <c r="BU267" s="192"/>
      <c r="BV267" s="192"/>
      <c r="BW267" s="192" t="str">
        <f t="shared" ca="1" si="240"/>
        <v>Advania Sverige AB</v>
      </c>
      <c r="BX267" s="192" t="str">
        <f t="shared" ca="1" si="240"/>
        <v>HP</v>
      </c>
      <c r="BY267" s="185" t="s">
        <v>71</v>
      </c>
      <c r="BZ267" s="185" t="s">
        <v>696</v>
      </c>
      <c r="CA267" s="185">
        <v>8</v>
      </c>
      <c r="CB267" s="185">
        <v>64</v>
      </c>
      <c r="CC267" s="191">
        <v>14</v>
      </c>
      <c r="CD267" s="185">
        <v>3</v>
      </c>
      <c r="CE267" s="185">
        <v>2</v>
      </c>
      <c r="CF267" s="185" t="s">
        <v>79</v>
      </c>
      <c r="CG267" s="186">
        <v>5.0999999999999996</v>
      </c>
      <c r="CH267" s="186"/>
      <c r="CI267" s="185"/>
      <c r="CJ267" s="185"/>
      <c r="CK267" s="185"/>
      <c r="CL267" s="185"/>
      <c r="CM267" s="185"/>
    </row>
    <row r="268" spans="2:91" ht="22.5" customHeight="1" outlineLevel="1" x14ac:dyDescent="0.35">
      <c r="C268" s="61" t="s">
        <v>7</v>
      </c>
      <c r="D268" s="64"/>
      <c r="F268" s="78" t="str">
        <f t="shared" si="241"/>
        <v/>
      </c>
      <c r="G268" s="79">
        <f t="shared" ca="1" si="242"/>
        <v>11.6</v>
      </c>
      <c r="H268" s="79">
        <f t="shared" ca="1" si="242"/>
        <v>11.6</v>
      </c>
      <c r="I268" s="120">
        <f t="shared" ca="1" si="242"/>
        <v>14</v>
      </c>
      <c r="J268" s="62"/>
      <c r="K268" s="185">
        <f t="shared" ca="1" si="216"/>
        <v>0</v>
      </c>
      <c r="L268" s="185" t="b">
        <f t="shared" si="217"/>
        <v>1</v>
      </c>
      <c r="M268" s="185" t="s">
        <v>128</v>
      </c>
      <c r="N268" s="185" t="str">
        <f t="shared" ca="1" si="218"/>
        <v>Offererad produktnr. 05Dustin Sverige AB</v>
      </c>
      <c r="O268" s="185" cm="1">
        <f t="array" aca="1" ref="O268" ca="1">MIN(IF(($BW$266:$BW$287=M268)*($AO$266:$AO$287=$O$263),$Y$266:$Y$287))</f>
        <v>3415</v>
      </c>
      <c r="P268" s="197">
        <f ca="1">SMALL($Y$266:$Y$289,3)</f>
        <v>3610</v>
      </c>
      <c r="Q268" s="185">
        <f t="shared" si="219"/>
        <v>0</v>
      </c>
      <c r="R268" s="185">
        <f t="shared" si="220"/>
        <v>0</v>
      </c>
      <c r="S268" s="185">
        <f t="shared" si="221"/>
        <v>0</v>
      </c>
      <c r="T268" s="185">
        <f t="shared" si="222"/>
        <v>0</v>
      </c>
      <c r="U268" s="185">
        <f t="shared" si="223"/>
        <v>0</v>
      </c>
      <c r="V268" s="185">
        <f t="shared" si="224"/>
        <v>0</v>
      </c>
      <c r="W268" s="185">
        <f t="shared" si="225"/>
        <v>0</v>
      </c>
      <c r="X268" s="185">
        <f t="shared" si="226"/>
        <v>0</v>
      </c>
      <c r="Y268" s="185">
        <f t="shared" ca="1" si="227"/>
        <v>4802</v>
      </c>
      <c r="Z268" s="185" t="str">
        <f t="shared" si="228"/>
        <v>Offererad produktnr. 05Atea Sverige AB</v>
      </c>
      <c r="AA268" s="185" t="b">
        <f t="shared" si="229"/>
        <v>1</v>
      </c>
      <c r="AB268" s="185" t="b">
        <f t="shared" si="230"/>
        <v>1</v>
      </c>
      <c r="AC268" s="185" t="b">
        <f t="shared" si="231"/>
        <v>1</v>
      </c>
      <c r="AD268" s="185" t="b">
        <f t="shared" si="232"/>
        <v>1</v>
      </c>
      <c r="AE268" s="185" t="b">
        <f>IF($D$268="",TRUE,IF(COUNTIF(Processor!$I$2:$I$9,$D$268)&gt;0,AND(AT268&gt;INDEX(Processor!$J$2:$J$9,MATCH($D$268,Processor!$I$2:$I$9,0)),AT268&lt;INDEX(Processor!$K$2:$K$9,MATCH($D$268,Processor!$I$2:$I$9,0))),IF(AT268=$D$268,TRUE,FALSE)))</f>
        <v>1</v>
      </c>
      <c r="AF268" s="185" t="b">
        <f t="shared" si="233"/>
        <v>1</v>
      </c>
      <c r="AG268" s="185" t="b">
        <f t="shared" si="234"/>
        <v>1</v>
      </c>
      <c r="AH268" s="185" t="b">
        <f t="shared" si="235"/>
        <v>1</v>
      </c>
      <c r="AI268" s="185" t="b">
        <f t="shared" si="236"/>
        <v>1</v>
      </c>
      <c r="AJ268" s="185" t="b">
        <f>IFERROR(IF($D278="",TRUE,IF(MID(BA268,LEN(BA268)-2,1)*1&gt;=MID($D278,LEN($D278)-2,1)*1,TRUE,FALSE)),FALSE)</f>
        <v>1</v>
      </c>
      <c r="AK268" s="185"/>
      <c r="AL268" s="185"/>
      <c r="AM268" s="185"/>
      <c r="AN268" s="185" t="s">
        <v>190</v>
      </c>
      <c r="AO268" s="185">
        <v>1</v>
      </c>
      <c r="AP268" s="185" t="str">
        <f t="shared" ca="1" si="237"/>
        <v>1366x768</v>
      </c>
      <c r="AQ268" s="185" t="str">
        <f t="shared" ca="1" si="237"/>
        <v>Intel Celeron</v>
      </c>
      <c r="AR268" s="185">
        <f t="shared" ca="1" si="237"/>
        <v>4</v>
      </c>
      <c r="AS268" s="185">
        <f t="shared" ca="1" si="237"/>
        <v>32</v>
      </c>
      <c r="AT268" s="185">
        <f t="shared" ca="1" si="237"/>
        <v>11.6</v>
      </c>
      <c r="AU268" s="185">
        <f t="shared" ca="1" si="237"/>
        <v>2</v>
      </c>
      <c r="AV268" s="185">
        <f t="shared" ca="1" si="237"/>
        <v>1</v>
      </c>
      <c r="AW268" s="185">
        <f t="shared" ca="1" si="237"/>
        <v>0</v>
      </c>
      <c r="AX268" s="185" t="str">
        <f t="shared" ca="1" si="237"/>
        <v>802.11a/b/g/n/ac/ax</v>
      </c>
      <c r="AY268" s="185">
        <f t="shared" ca="1" si="237"/>
        <v>5.0999999999999996</v>
      </c>
      <c r="AZ268" s="185">
        <f t="shared" ca="1" si="238"/>
        <v>11</v>
      </c>
      <c r="BA268" s="185" t="str">
        <f t="shared" ca="1" si="238"/>
        <v>Version 8.0</v>
      </c>
      <c r="BB268" s="185" t="str">
        <f t="shared" ca="1" si="238"/>
        <v>Ja</v>
      </c>
      <c r="BC268" s="185" t="str">
        <f t="shared" ca="1" si="238"/>
        <v>Google Chrome OS</v>
      </c>
      <c r="BD268" s="185" t="str">
        <f t="shared" ca="1" si="238"/>
        <v>100e Chr Gen3</v>
      </c>
      <c r="BE268" s="185">
        <f t="shared" ca="1" si="238"/>
        <v>4802</v>
      </c>
      <c r="BF268" s="192">
        <f t="shared" ca="1" si="238"/>
        <v>145</v>
      </c>
      <c r="BG268" s="192">
        <f t="shared" ca="1" si="238"/>
        <v>431</v>
      </c>
      <c r="BH268" s="192">
        <f t="shared" ca="1" si="238"/>
        <v>361</v>
      </c>
      <c r="BI268" s="192">
        <f t="shared" ca="1" si="238"/>
        <v>728</v>
      </c>
      <c r="BJ268" s="192">
        <f t="shared" ca="1" si="239"/>
        <v>120</v>
      </c>
      <c r="BK268" s="192">
        <f t="shared" ca="1" si="239"/>
        <v>85</v>
      </c>
      <c r="BL268" s="192">
        <f t="shared" ca="1" si="239"/>
        <v>100</v>
      </c>
      <c r="BM268" s="192" t="str">
        <f t="shared" ca="1" si="239"/>
        <v xml:space="preserve">Lenovo </v>
      </c>
      <c r="BN268" s="192" t="str">
        <f t="shared" ca="1" si="239"/>
        <v>Lenovo</v>
      </c>
      <c r="BO268" s="192" t="str">
        <f t="shared" ca="1" si="239"/>
        <v>Lenovo</v>
      </c>
      <c r="BP268" s="192">
        <f t="shared" ca="1" si="239"/>
        <v>0</v>
      </c>
      <c r="BQ268" s="192" t="str">
        <f t="shared" ca="1" si="239"/>
        <v>Basic Sleeve 11"</v>
      </c>
      <c r="BR268" s="192" t="str">
        <f t="shared" ca="1" si="239"/>
        <v>Lenovo 11.6" Privacy Filter</v>
      </c>
      <c r="BS268" s="192" t="str">
        <f t="shared" ca="1" si="239"/>
        <v>Power adapter USB-C 45w</v>
      </c>
      <c r="BT268" s="192">
        <f t="shared" ca="1" si="239"/>
        <v>0</v>
      </c>
      <c r="BU268" s="192"/>
      <c r="BV268" s="192"/>
      <c r="BW268" s="192" t="str">
        <f t="shared" ca="1" si="240"/>
        <v>Atea Sverige AB</v>
      </c>
      <c r="BX268" s="192" t="str">
        <f t="shared" ca="1" si="240"/>
        <v>Lenovo</v>
      </c>
      <c r="BY268" s="185"/>
      <c r="BZ268" s="185"/>
      <c r="CA268" s="185"/>
      <c r="CB268" s="185"/>
      <c r="CC268" s="185"/>
      <c r="CD268" s="185">
        <v>4</v>
      </c>
      <c r="CE268" s="185"/>
      <c r="CF268" s="185"/>
      <c r="CG268" s="186"/>
      <c r="CH268" s="186"/>
      <c r="CI268" s="185"/>
      <c r="CJ268" s="185"/>
      <c r="CK268" s="185"/>
      <c r="CL268" s="185"/>
      <c r="CM268" s="185"/>
    </row>
    <row r="269" spans="2:91" ht="22.5" customHeight="1" outlineLevel="1" x14ac:dyDescent="0.35">
      <c r="C269" s="61" t="s">
        <v>2</v>
      </c>
      <c r="D269" s="64"/>
      <c r="F269" s="78" t="str">
        <f t="shared" si="241"/>
        <v/>
      </c>
      <c r="G269" s="79" t="str">
        <f t="shared" ca="1" si="242"/>
        <v>1366x768</v>
      </c>
      <c r="H269" s="79" t="str">
        <f t="shared" ca="1" si="242"/>
        <v>1366x768</v>
      </c>
      <c r="I269" s="120" t="str">
        <f t="shared" ca="1" si="242"/>
        <v>1920x1080</v>
      </c>
      <c r="J269" s="62"/>
      <c r="K269" s="185">
        <f t="shared" ca="1" si="216"/>
        <v>0</v>
      </c>
      <c r="L269" s="185" t="b">
        <f t="shared" si="217"/>
        <v>1</v>
      </c>
      <c r="M269" s="185" t="s">
        <v>169</v>
      </c>
      <c r="N269" s="185" t="str">
        <f t="shared" ca="1" si="218"/>
        <v>Offererad produktnr. 05Foxway Education AB</v>
      </c>
      <c r="O269" s="185" cm="1">
        <f t="array" aca="1" ref="O269" ca="1">MIN(IF(($BW$266:$BW$287=M269)*($AO$266:$AO$287=$O$263),$Y$266:$Y$287))</f>
        <v>3636</v>
      </c>
      <c r="P269" s="197"/>
      <c r="Q269" s="185">
        <f t="shared" si="219"/>
        <v>0</v>
      </c>
      <c r="R269" s="185">
        <f t="shared" si="220"/>
        <v>0</v>
      </c>
      <c r="S269" s="185">
        <f t="shared" si="221"/>
        <v>0</v>
      </c>
      <c r="T269" s="185">
        <f t="shared" si="222"/>
        <v>0</v>
      </c>
      <c r="U269" s="185">
        <f t="shared" si="223"/>
        <v>0</v>
      </c>
      <c r="V269" s="185">
        <f t="shared" si="224"/>
        <v>0</v>
      </c>
      <c r="W269" s="185">
        <f t="shared" si="225"/>
        <v>0</v>
      </c>
      <c r="X269" s="185">
        <f t="shared" si="226"/>
        <v>0</v>
      </c>
      <c r="Y269" s="185">
        <f t="shared" ca="1" si="227"/>
        <v>6392</v>
      </c>
      <c r="Z269" s="185" t="str">
        <f t="shared" si="228"/>
        <v>Offererad produktnr. 06Atea Sverige AB</v>
      </c>
      <c r="AA269" s="185" t="b">
        <f t="shared" si="229"/>
        <v>1</v>
      </c>
      <c r="AB269" s="185" t="b">
        <f t="shared" si="230"/>
        <v>1</v>
      </c>
      <c r="AC269" s="185" t="b">
        <f t="shared" si="231"/>
        <v>1</v>
      </c>
      <c r="AD269" s="185" t="b">
        <f t="shared" si="232"/>
        <v>1</v>
      </c>
      <c r="AE269" s="185" t="b">
        <f>IF($D$268="",TRUE,IF(COUNTIF(Processor!$I$2:$I$9,$D$268)&gt;0,AND(AT269&gt;INDEX(Processor!$J$2:$J$9,MATCH($D$268,Processor!$I$2:$I$9,0)),AT269&lt;INDEX(Processor!$K$2:$K$9,MATCH($D$268,Processor!$I$2:$I$9,0))),IF(AT269=$D$268,TRUE,FALSE)))</f>
        <v>1</v>
      </c>
      <c r="AF269" s="185" t="b">
        <f t="shared" si="233"/>
        <v>1</v>
      </c>
      <c r="AG269" s="185" t="b">
        <f t="shared" si="234"/>
        <v>1</v>
      </c>
      <c r="AH269" s="185" t="b">
        <f t="shared" si="235"/>
        <v>1</v>
      </c>
      <c r="AI269" s="185" t="b">
        <f t="shared" si="236"/>
        <v>1</v>
      </c>
      <c r="AJ269" s="185" t="b">
        <f>IFERROR(IF($D278="",TRUE,IF(MID(BA269,LEN(BA269)-2,1)*1&gt;=MID($D278,LEN($D278)-2,1)*1,TRUE,FALSE)),FALSE)</f>
        <v>1</v>
      </c>
      <c r="AK269" s="185"/>
      <c r="AL269" s="185"/>
      <c r="AM269" s="185"/>
      <c r="AN269" s="185" t="s">
        <v>191</v>
      </c>
      <c r="AO269" s="185">
        <v>1</v>
      </c>
      <c r="AP269" s="185" t="str">
        <f t="shared" ca="1" si="237"/>
        <v>1920x1080</v>
      </c>
      <c r="AQ269" s="185" t="str">
        <f t="shared" ca="1" si="237"/>
        <v>Intel Celeron</v>
      </c>
      <c r="AR269" s="185">
        <f t="shared" ca="1" si="237"/>
        <v>8</v>
      </c>
      <c r="AS269" s="185">
        <f t="shared" ca="1" si="237"/>
        <v>64</v>
      </c>
      <c r="AT269" s="185">
        <f t="shared" ca="1" si="237"/>
        <v>14</v>
      </c>
      <c r="AU269" s="185">
        <f t="shared" ca="1" si="237"/>
        <v>3</v>
      </c>
      <c r="AV269" s="185">
        <f t="shared" ca="1" si="237"/>
        <v>1</v>
      </c>
      <c r="AW269" s="185">
        <f t="shared" ca="1" si="237"/>
        <v>0</v>
      </c>
      <c r="AX269" s="185" t="str">
        <f t="shared" ca="1" si="237"/>
        <v>802.11a/b/g/n/ac/ax</v>
      </c>
      <c r="AY269" s="185">
        <f t="shared" ca="1" si="237"/>
        <v>5</v>
      </c>
      <c r="AZ269" s="185">
        <f t="shared" ca="1" si="238"/>
        <v>11</v>
      </c>
      <c r="BA269" s="185" t="str">
        <f t="shared" ca="1" si="238"/>
        <v>Version 8.0</v>
      </c>
      <c r="BB269" s="185" t="str">
        <f t="shared" ca="1" si="238"/>
        <v>Ja</v>
      </c>
      <c r="BC269" s="185" t="str">
        <f t="shared" ca="1" si="238"/>
        <v>Google Chrome OS</v>
      </c>
      <c r="BD269" s="185" t="str">
        <f t="shared" ca="1" si="238"/>
        <v>Chromebook 14 G7</v>
      </c>
      <c r="BE269" s="185">
        <f t="shared" ca="1" si="238"/>
        <v>6392</v>
      </c>
      <c r="BF269" s="192">
        <f t="shared" ca="1" si="238"/>
        <v>134</v>
      </c>
      <c r="BG269" s="192">
        <f t="shared" ca="1" si="238"/>
        <v>449</v>
      </c>
      <c r="BH269" s="192">
        <f t="shared" ca="1" si="238"/>
        <v>389</v>
      </c>
      <c r="BI269" s="192">
        <f t="shared" ca="1" si="238"/>
        <v>276</v>
      </c>
      <c r="BJ269" s="192">
        <f t="shared" ca="1" si="239"/>
        <v>120</v>
      </c>
      <c r="BK269" s="192">
        <f t="shared" ca="1" si="239"/>
        <v>85</v>
      </c>
      <c r="BL269" s="192">
        <f t="shared" ca="1" si="239"/>
        <v>100</v>
      </c>
      <c r="BM269" s="192" t="str">
        <f t="shared" ca="1" si="239"/>
        <v>DELTACO</v>
      </c>
      <c r="BN269" s="192" t="str">
        <f t="shared" ca="1" si="239"/>
        <v>Targus</v>
      </c>
      <c r="BO269" s="192" t="str">
        <f t="shared" ca="1" si="239"/>
        <v>HP</v>
      </c>
      <c r="BP269" s="192">
        <f t="shared" ca="1" si="239"/>
        <v>0</v>
      </c>
      <c r="BQ269" s="192" t="str">
        <f t="shared" ca="1" si="239"/>
        <v xml:space="preserve">Fodral för bärbar dator </v>
      </c>
      <c r="BR269" s="192" t="str">
        <f t="shared" ca="1" si="239"/>
        <v>Targus Privacy Screen 14"</v>
      </c>
      <c r="BS269" s="192" t="str">
        <f t="shared" ca="1" si="239"/>
        <v>HP 45W USB-C Power Adapter G2</v>
      </c>
      <c r="BT269" s="192">
        <f t="shared" ca="1" si="239"/>
        <v>0</v>
      </c>
      <c r="BU269" s="192"/>
      <c r="BV269" s="192"/>
      <c r="BW269" s="192" t="str">
        <f t="shared" ca="1" si="240"/>
        <v>Atea Sverige AB</v>
      </c>
      <c r="BX269" s="192" t="str">
        <f t="shared" ca="1" si="240"/>
        <v>HP</v>
      </c>
      <c r="BY269" s="185"/>
      <c r="BZ269" s="185"/>
      <c r="CA269" s="185"/>
      <c r="CB269" s="185"/>
      <c r="CC269" s="185"/>
      <c r="CD269" s="185"/>
      <c r="CE269" s="185"/>
      <c r="CF269" s="185"/>
      <c r="CG269" s="186"/>
      <c r="CH269" s="186"/>
      <c r="CI269" s="185"/>
      <c r="CJ269" s="185"/>
      <c r="CK269" s="185"/>
      <c r="CL269" s="185"/>
      <c r="CM269" s="185"/>
    </row>
    <row r="270" spans="2:91" ht="22.5" customHeight="1" outlineLevel="1" x14ac:dyDescent="0.35">
      <c r="C270" s="61" t="s">
        <v>4</v>
      </c>
      <c r="D270" s="64"/>
      <c r="F270" s="78" t="str">
        <f t="shared" si="241"/>
        <v/>
      </c>
      <c r="G270" s="79" t="str">
        <f t="shared" ca="1" si="242"/>
        <v>Intel Celeron</v>
      </c>
      <c r="H270" s="79" t="str">
        <f t="shared" ca="1" si="242"/>
        <v>Intel Celeron</v>
      </c>
      <c r="I270" s="120" t="str">
        <f t="shared" ca="1" si="242"/>
        <v>Intel Celeron</v>
      </c>
      <c r="J270" s="62"/>
      <c r="K270" s="185">
        <f t="shared" ca="1" si="216"/>
        <v>0</v>
      </c>
      <c r="L270" s="185" t="b">
        <f t="shared" si="217"/>
        <v>1</v>
      </c>
      <c r="M270" s="185" t="s">
        <v>167</v>
      </c>
      <c r="N270" s="185" t="e">
        <f t="shared" ca="1" si="218"/>
        <v>#N/A</v>
      </c>
      <c r="O270" s="185" cm="1">
        <f t="array" aca="1" ref="O270" ca="1">MIN(IF(($BW$266:$BW$287=M270)*($AO$266:$AO$287=$O$263),$Y$266:$Y$287))</f>
        <v>0</v>
      </c>
      <c r="P270" s="197"/>
      <c r="Q270" s="185">
        <f t="shared" si="219"/>
        <v>0</v>
      </c>
      <c r="R270" s="185">
        <f t="shared" si="220"/>
        <v>0</v>
      </c>
      <c r="S270" s="185">
        <f t="shared" si="221"/>
        <v>0</v>
      </c>
      <c r="T270" s="185">
        <f t="shared" si="222"/>
        <v>0</v>
      </c>
      <c r="U270" s="185">
        <f t="shared" si="223"/>
        <v>0</v>
      </c>
      <c r="V270" s="185">
        <f t="shared" si="224"/>
        <v>0</v>
      </c>
      <c r="W270" s="185">
        <f t="shared" si="225"/>
        <v>0</v>
      </c>
      <c r="X270" s="185">
        <f t="shared" si="226"/>
        <v>0</v>
      </c>
      <c r="Y270" s="185">
        <f t="shared" ca="1" si="227"/>
        <v>3415</v>
      </c>
      <c r="Z270" s="185" t="str">
        <f t="shared" si="228"/>
        <v>Offererad produktnr. 05Dustin Sverige AB</v>
      </c>
      <c r="AA270" s="185" t="b">
        <f t="shared" si="229"/>
        <v>1</v>
      </c>
      <c r="AB270" s="185" t="b">
        <f t="shared" si="230"/>
        <v>1</v>
      </c>
      <c r="AC270" s="185" t="b">
        <f t="shared" si="231"/>
        <v>1</v>
      </c>
      <c r="AD270" s="185" t="b">
        <f t="shared" si="232"/>
        <v>1</v>
      </c>
      <c r="AE270" s="185" t="b">
        <f>IF($D$268="",TRUE,IF(COUNTIF(Processor!$I$2:$I$9,$D$268)&gt;0,AND(AT270&gt;INDEX(Processor!$J$2:$J$9,MATCH($D$268,Processor!$I$2:$I$9,0)),AT270&lt;INDEX(Processor!$K$2:$K$9,MATCH($D$268,Processor!$I$2:$I$9,0))),IF(AT270=$D$268,TRUE,FALSE)))</f>
        <v>1</v>
      </c>
      <c r="AF270" s="185" t="b">
        <f t="shared" si="233"/>
        <v>1</v>
      </c>
      <c r="AG270" s="185" t="b">
        <f t="shared" si="234"/>
        <v>1</v>
      </c>
      <c r="AH270" s="185" t="b">
        <f t="shared" si="235"/>
        <v>1</v>
      </c>
      <c r="AI270" s="185" t="b">
        <f t="shared" si="236"/>
        <v>1</v>
      </c>
      <c r="AJ270" s="185" t="b">
        <f>IFERROR(IF($D278="",TRUE,IF(MID(BA270,LEN(BA270)-2,1)*1&gt;=MID($D278,LEN($D278)-2,1)*1,TRUE,FALSE)),FALSE)</f>
        <v>1</v>
      </c>
      <c r="AK270" s="185"/>
      <c r="AL270" s="185"/>
      <c r="AM270" s="185"/>
      <c r="AN270" s="185" t="s">
        <v>178</v>
      </c>
      <c r="AO270" s="185">
        <v>1</v>
      </c>
      <c r="AP270" s="185" t="str">
        <f t="shared" ca="1" si="237"/>
        <v>1366x768</v>
      </c>
      <c r="AQ270" s="185" t="str">
        <f t="shared" ca="1" si="237"/>
        <v>Intel Celeron</v>
      </c>
      <c r="AR270" s="185">
        <f t="shared" ca="1" si="237"/>
        <v>4</v>
      </c>
      <c r="AS270" s="185">
        <f t="shared" ca="1" si="237"/>
        <v>32</v>
      </c>
      <c r="AT270" s="185">
        <f t="shared" ca="1" si="237"/>
        <v>11.6</v>
      </c>
      <c r="AU270" s="185">
        <f t="shared" ca="1" si="237"/>
        <v>4</v>
      </c>
      <c r="AV270" s="185">
        <f t="shared" ca="1" si="237"/>
        <v>2</v>
      </c>
      <c r="AW270" s="185">
        <f t="shared" ca="1" si="237"/>
        <v>0</v>
      </c>
      <c r="AX270" s="185" t="str">
        <f t="shared" ca="1" si="237"/>
        <v>802.11a/b/g/n/ac/ax</v>
      </c>
      <c r="AY270" s="185">
        <f t="shared" ca="1" si="237"/>
        <v>5</v>
      </c>
      <c r="AZ270" s="185">
        <f t="shared" ca="1" si="238"/>
        <v>11</v>
      </c>
      <c r="BA270" s="185" t="str">
        <f t="shared" ca="1" si="238"/>
        <v>Version 8.0</v>
      </c>
      <c r="BB270" s="185" t="str">
        <f t="shared" ca="1" si="238"/>
        <v>Ja</v>
      </c>
      <c r="BC270" s="185" t="str">
        <f t="shared" ca="1" si="238"/>
        <v>Google Chrome OS</v>
      </c>
      <c r="BD270" s="185" t="str">
        <f t="shared" ca="1" si="238"/>
        <v>ChromeBook 11 G9 EE</v>
      </c>
      <c r="BE270" s="185">
        <f t="shared" ca="1" si="238"/>
        <v>3415</v>
      </c>
      <c r="BF270" s="192">
        <f t="shared" ca="1" si="238"/>
        <v>87</v>
      </c>
      <c r="BG270" s="192">
        <f t="shared" ca="1" si="238"/>
        <v>123</v>
      </c>
      <c r="BH270" s="192">
        <f t="shared" ca="1" si="238"/>
        <v>249</v>
      </c>
      <c r="BI270" s="192">
        <f t="shared" ca="1" si="238"/>
        <v>131</v>
      </c>
      <c r="BJ270" s="192">
        <f t="shared" ca="1" si="239"/>
        <v>133</v>
      </c>
      <c r="BK270" s="192">
        <f t="shared" ca="1" si="239"/>
        <v>20</v>
      </c>
      <c r="BL270" s="192">
        <f t="shared" ca="1" si="239"/>
        <v>20</v>
      </c>
      <c r="BM270" s="192" t="str">
        <f t="shared" ca="1" si="239"/>
        <v>Cirafon</v>
      </c>
      <c r="BN270" s="192" t="str">
        <f t="shared" ca="1" si="239"/>
        <v>Cirafon</v>
      </c>
      <c r="BO270" s="192" t="str">
        <f t="shared" ca="1" si="239"/>
        <v>HP</v>
      </c>
      <c r="BP270" s="192">
        <f t="shared" ca="1" si="239"/>
        <v>0</v>
      </c>
      <c r="BQ270" s="192" t="str">
        <f t="shared" ca="1" si="239"/>
        <v>LSN9117-11</v>
      </c>
      <c r="BR270" s="192" t="str">
        <f t="shared" ca="1" si="239"/>
        <v>DPF11.6-9</v>
      </c>
      <c r="BS270" s="192" t="str">
        <f t="shared" ca="1" si="239"/>
        <v>1MZ01AA</v>
      </c>
      <c r="BT270" s="192">
        <f t="shared" ca="1" si="239"/>
        <v>0</v>
      </c>
      <c r="BU270" s="192"/>
      <c r="BV270" s="192"/>
      <c r="BW270" s="192" t="str">
        <f t="shared" ca="1" si="240"/>
        <v>Dustin Sverige AB</v>
      </c>
      <c r="BX270" s="192" t="str">
        <f t="shared" ca="1" si="240"/>
        <v>HP</v>
      </c>
      <c r="BY270" s="185"/>
      <c r="BZ270" s="185"/>
      <c r="CA270" s="185"/>
      <c r="CB270" s="185"/>
      <c r="CC270" s="185">
        <v>0</v>
      </c>
      <c r="CD270" s="185"/>
      <c r="CE270" s="185"/>
      <c r="CF270" s="185"/>
      <c r="CG270" s="186">
        <v>0</v>
      </c>
      <c r="CH270" s="185"/>
      <c r="CI270" s="185"/>
      <c r="CJ270" s="185"/>
      <c r="CK270" s="185"/>
      <c r="CL270" s="185"/>
      <c r="CM270" s="185"/>
    </row>
    <row r="271" spans="2:91" ht="22.5" customHeight="1" outlineLevel="1" x14ac:dyDescent="0.35">
      <c r="C271" s="61" t="s">
        <v>119</v>
      </c>
      <c r="D271" s="64"/>
      <c r="F271" s="78" t="str">
        <f t="shared" si="241"/>
        <v/>
      </c>
      <c r="G271" s="79">
        <f t="shared" ca="1" si="242"/>
        <v>4</v>
      </c>
      <c r="H271" s="79">
        <f t="shared" ca="1" si="242"/>
        <v>4</v>
      </c>
      <c r="I271" s="120">
        <f t="shared" ca="1" si="242"/>
        <v>8</v>
      </c>
      <c r="J271" s="62"/>
      <c r="K271" s="185">
        <f t="shared" ca="1" si="216"/>
        <v>0</v>
      </c>
      <c r="L271" s="185" t="b">
        <f t="shared" si="217"/>
        <v>1</v>
      </c>
      <c r="M271" s="185" t="s">
        <v>546</v>
      </c>
      <c r="N271" s="185" t="str">
        <f t="shared" ca="1" si="218"/>
        <v>Offererad produktnr. 05Qlosr Göteborg AB</v>
      </c>
      <c r="O271" s="185" cm="1">
        <f t="array" aca="1" ref="O271" ca="1">MIN(IF(($BW$266:$BW$287=M271)*($AO$266:$AO$287=$O$263),$Y$266:$Y$287))</f>
        <v>2950</v>
      </c>
      <c r="P271" s="197"/>
      <c r="Q271" s="185">
        <f t="shared" si="219"/>
        <v>0</v>
      </c>
      <c r="R271" s="185">
        <f t="shared" si="220"/>
        <v>0</v>
      </c>
      <c r="S271" s="185">
        <f t="shared" si="221"/>
        <v>0</v>
      </c>
      <c r="T271" s="185">
        <f t="shared" si="222"/>
        <v>0</v>
      </c>
      <c r="U271" s="185">
        <f t="shared" si="223"/>
        <v>0</v>
      </c>
      <c r="V271" s="185">
        <f t="shared" si="224"/>
        <v>0</v>
      </c>
      <c r="W271" s="185">
        <f t="shared" si="225"/>
        <v>0</v>
      </c>
      <c r="X271" s="185">
        <f t="shared" si="226"/>
        <v>0</v>
      </c>
      <c r="Y271" s="185">
        <f t="shared" ca="1" si="227"/>
        <v>4088</v>
      </c>
      <c r="Z271" s="185" t="str">
        <f t="shared" si="228"/>
        <v>Offererad produktnr. 06Dustin Sverige AB</v>
      </c>
      <c r="AA271" s="185" t="b">
        <f t="shared" si="229"/>
        <v>1</v>
      </c>
      <c r="AB271" s="185" t="b">
        <f t="shared" si="230"/>
        <v>1</v>
      </c>
      <c r="AC271" s="185" t="b">
        <f t="shared" si="231"/>
        <v>1</v>
      </c>
      <c r="AD271" s="185" t="b">
        <f t="shared" si="232"/>
        <v>1</v>
      </c>
      <c r="AE271" s="185" t="b">
        <f>IF($D$268="",TRUE,IF(COUNTIF(Processor!$I$2:$I$9,$D$268)&gt;0,AND(AT271&gt;INDEX(Processor!$J$2:$J$9,MATCH($D$268,Processor!$I$2:$I$9,0)),AT271&lt;INDEX(Processor!$K$2:$K$9,MATCH($D$268,Processor!$I$2:$I$9,0))),IF(AT271=$D$268,TRUE,FALSE)))</f>
        <v>1</v>
      </c>
      <c r="AF271" s="185" t="b">
        <f t="shared" si="233"/>
        <v>1</v>
      </c>
      <c r="AG271" s="185" t="b">
        <f t="shared" si="234"/>
        <v>1</v>
      </c>
      <c r="AH271" s="185" t="b">
        <f t="shared" si="235"/>
        <v>1</v>
      </c>
      <c r="AI271" s="185" t="b">
        <f t="shared" si="236"/>
        <v>1</v>
      </c>
      <c r="AJ271" s="185" t="b">
        <f>IFERROR(IF($D278="",TRUE,IF(MID(BA271,LEN(BA271)-2,1)*1&gt;=MID($D278,LEN($D278)-2,1)*1,TRUE,FALSE)),FALSE)</f>
        <v>1</v>
      </c>
      <c r="AK271" s="185"/>
      <c r="AL271" s="185"/>
      <c r="AM271" s="185"/>
      <c r="AN271" s="185" t="s">
        <v>179</v>
      </c>
      <c r="AO271" s="185">
        <v>1</v>
      </c>
      <c r="AP271" s="185" t="str">
        <f t="shared" ca="1" si="237"/>
        <v>1920x1080</v>
      </c>
      <c r="AQ271" s="185" t="str">
        <f t="shared" ca="1" si="237"/>
        <v>Intel Celeron</v>
      </c>
      <c r="AR271" s="185">
        <f t="shared" ca="1" si="237"/>
        <v>8</v>
      </c>
      <c r="AS271" s="185">
        <f t="shared" ca="1" si="237"/>
        <v>64</v>
      </c>
      <c r="AT271" s="185">
        <f t="shared" ca="1" si="237"/>
        <v>14</v>
      </c>
      <c r="AU271" s="185">
        <f t="shared" ca="1" si="237"/>
        <v>3</v>
      </c>
      <c r="AV271" s="185">
        <f t="shared" ca="1" si="237"/>
        <v>1</v>
      </c>
      <c r="AW271" s="185">
        <f t="shared" ca="1" si="237"/>
        <v>0</v>
      </c>
      <c r="AX271" s="185" t="str">
        <f t="shared" ca="1" si="237"/>
        <v>802.11a/b/g/n/ac/ax</v>
      </c>
      <c r="AY271" s="185">
        <f t="shared" ca="1" si="237"/>
        <v>5.0999999999999996</v>
      </c>
      <c r="AZ271" s="185">
        <f t="shared" ca="1" si="238"/>
        <v>11</v>
      </c>
      <c r="BA271" s="185" t="str">
        <f t="shared" ca="1" si="238"/>
        <v>Version 8.0</v>
      </c>
      <c r="BB271" s="185" t="str">
        <f t="shared" ca="1" si="238"/>
        <v>Ja</v>
      </c>
      <c r="BC271" s="185" t="str">
        <f t="shared" ca="1" si="238"/>
        <v>Google Chrome OS</v>
      </c>
      <c r="BD271" s="185" t="str">
        <f t="shared" ca="1" si="238"/>
        <v>Chromebook 14 G7</v>
      </c>
      <c r="BE271" s="185">
        <f t="shared" ca="1" si="238"/>
        <v>4088</v>
      </c>
      <c r="BF271" s="192">
        <f t="shared" ca="1" si="238"/>
        <v>123</v>
      </c>
      <c r="BG271" s="192">
        <f t="shared" ca="1" si="238"/>
        <v>425</v>
      </c>
      <c r="BH271" s="192">
        <f t="shared" ca="1" si="238"/>
        <v>249</v>
      </c>
      <c r="BI271" s="192">
        <f t="shared" ca="1" si="238"/>
        <v>131</v>
      </c>
      <c r="BJ271" s="192">
        <f t="shared" ca="1" si="239"/>
        <v>133</v>
      </c>
      <c r="BK271" s="192">
        <f t="shared" ca="1" si="239"/>
        <v>20</v>
      </c>
      <c r="BL271" s="192">
        <f t="shared" ca="1" si="239"/>
        <v>20</v>
      </c>
      <c r="BM271" s="192" t="str">
        <f t="shared" ca="1" si="239"/>
        <v>Cirafon</v>
      </c>
      <c r="BN271" s="192" t="str">
        <f t="shared" ca="1" si="239"/>
        <v>Cirafon</v>
      </c>
      <c r="BO271" s="192" t="str">
        <f t="shared" ca="1" si="239"/>
        <v>HP</v>
      </c>
      <c r="BP271" s="192">
        <f t="shared" ca="1" si="239"/>
        <v>0</v>
      </c>
      <c r="BQ271" s="192" t="str">
        <f t="shared" ca="1" si="239"/>
        <v>LSN8696R2-14.1</v>
      </c>
      <c r="BR271" s="192" t="str">
        <f t="shared" ca="1" si="239"/>
        <v>DPF14-9</v>
      </c>
      <c r="BS271" s="192" t="str">
        <f t="shared" ca="1" si="239"/>
        <v>1MZ01AA</v>
      </c>
      <c r="BT271" s="192">
        <f t="shared" ca="1" si="239"/>
        <v>0</v>
      </c>
      <c r="BU271" s="192"/>
      <c r="BV271" s="192"/>
      <c r="BW271" s="192" t="str">
        <f t="shared" ca="1" si="240"/>
        <v>Dustin Sverige AB</v>
      </c>
      <c r="BX271" s="192" t="str">
        <f t="shared" ca="1" si="240"/>
        <v>HP</v>
      </c>
      <c r="BY271" s="185"/>
      <c r="BZ271" s="185"/>
      <c r="CA271" s="185"/>
      <c r="CB271" s="185"/>
      <c r="CC271" s="185"/>
      <c r="CD271" s="185"/>
      <c r="CE271" s="185"/>
      <c r="CF271" s="185"/>
      <c r="CG271" s="185"/>
      <c r="CH271" s="185"/>
      <c r="CI271" s="185"/>
      <c r="CJ271" s="185"/>
      <c r="CK271" s="185"/>
      <c r="CL271" s="185"/>
      <c r="CM271" s="185"/>
    </row>
    <row r="272" spans="2:91" ht="22.5" customHeight="1" outlineLevel="1" x14ac:dyDescent="0.35">
      <c r="C272" s="61" t="s">
        <v>16</v>
      </c>
      <c r="D272" s="64"/>
      <c r="F272" s="78" t="str">
        <f t="shared" si="241"/>
        <v/>
      </c>
      <c r="G272" s="79">
        <f t="shared" ca="1" si="242"/>
        <v>32</v>
      </c>
      <c r="H272" s="79">
        <f t="shared" ca="1" si="242"/>
        <v>32</v>
      </c>
      <c r="I272" s="120">
        <f t="shared" ca="1" si="242"/>
        <v>64</v>
      </c>
      <c r="J272" s="62"/>
      <c r="Q272" s="185">
        <f t="shared" si="219"/>
        <v>0</v>
      </c>
      <c r="R272" s="185">
        <f t="shared" si="220"/>
        <v>0</v>
      </c>
      <c r="S272" s="185">
        <f t="shared" si="221"/>
        <v>0</v>
      </c>
      <c r="T272" s="185">
        <f t="shared" si="222"/>
        <v>0</v>
      </c>
      <c r="U272" s="185">
        <f t="shared" si="223"/>
        <v>0</v>
      </c>
      <c r="V272" s="185">
        <f t="shared" si="224"/>
        <v>0</v>
      </c>
      <c r="W272" s="185">
        <f t="shared" si="225"/>
        <v>0</v>
      </c>
      <c r="X272" s="185">
        <f t="shared" si="226"/>
        <v>0</v>
      </c>
      <c r="Y272" s="185">
        <f t="shared" ca="1" si="227"/>
        <v>3636</v>
      </c>
      <c r="Z272" s="185" t="str">
        <f t="shared" si="228"/>
        <v>Offererad produktnr. 05Foxway Education AB</v>
      </c>
      <c r="AA272" s="185" t="b">
        <f t="shared" si="229"/>
        <v>1</v>
      </c>
      <c r="AB272" s="185" t="b">
        <f t="shared" si="230"/>
        <v>1</v>
      </c>
      <c r="AC272" s="185" t="b">
        <f t="shared" si="231"/>
        <v>1</v>
      </c>
      <c r="AD272" s="185" t="b">
        <f t="shared" si="232"/>
        <v>1</v>
      </c>
      <c r="AE272" s="185" t="b">
        <f>IF($D$268="",TRUE,IF(COUNTIF(Processor!$I$2:$I$9,$D$268)&gt;0,AND(AT272&gt;INDEX(Processor!$J$2:$J$9,MATCH($D$268,Processor!$I$2:$I$9,0)),AT272&lt;INDEX(Processor!$K$2:$K$9,MATCH($D$268,Processor!$I$2:$I$9,0))),IF(AT272=$D$268,TRUE,FALSE)))</f>
        <v>1</v>
      </c>
      <c r="AF272" s="185" t="b">
        <f t="shared" si="233"/>
        <v>1</v>
      </c>
      <c r="AG272" s="185" t="b">
        <f t="shared" si="234"/>
        <v>1</v>
      </c>
      <c r="AH272" s="185" t="b">
        <f t="shared" si="235"/>
        <v>1</v>
      </c>
      <c r="AI272" s="185" t="b">
        <f t="shared" si="236"/>
        <v>1</v>
      </c>
      <c r="AJ272" s="185" t="b">
        <f>IFERROR(IF($D278="",TRUE,IF(MID(BA272,LEN(BA272)-2,1)*1&gt;=MID($D278,LEN($D278)-2,1)*1,TRUE,FALSE)),FALSE)</f>
        <v>1</v>
      </c>
      <c r="AK272" s="185"/>
      <c r="AL272" s="185"/>
      <c r="AM272" s="185"/>
      <c r="AN272" s="185" t="s">
        <v>214</v>
      </c>
      <c r="AO272" s="185">
        <v>1</v>
      </c>
      <c r="AP272" s="185" t="str">
        <f t="shared" ca="1" si="237"/>
        <v>1366x768</v>
      </c>
      <c r="AQ272" s="185" t="str">
        <f t="shared" ca="1" si="237"/>
        <v>MT8186</v>
      </c>
      <c r="AR272" s="185">
        <f t="shared" ca="1" si="237"/>
        <v>4</v>
      </c>
      <c r="AS272" s="185">
        <f t="shared" ca="1" si="237"/>
        <v>32</v>
      </c>
      <c r="AT272" s="185">
        <f t="shared" ca="1" si="237"/>
        <v>11.6</v>
      </c>
      <c r="AU272" s="185">
        <f t="shared" ca="1" si="237"/>
        <v>3</v>
      </c>
      <c r="AV272" s="185">
        <f t="shared" ca="1" si="237"/>
        <v>1</v>
      </c>
      <c r="AW272" s="185">
        <f t="shared" ca="1" si="237"/>
        <v>0</v>
      </c>
      <c r="AX272" s="185" t="str">
        <f t="shared" ca="1" si="237"/>
        <v>802.11a/b/g/n/ac</v>
      </c>
      <c r="AY272" s="185">
        <f t="shared" ca="1" si="237"/>
        <v>5.0999999999999996</v>
      </c>
      <c r="AZ272" s="185">
        <f t="shared" ca="1" si="238"/>
        <v>11</v>
      </c>
      <c r="BA272" s="185" t="str">
        <f t="shared" ca="1" si="238"/>
        <v>Version 8.0</v>
      </c>
      <c r="BB272" s="185" t="str">
        <f t="shared" ca="1" si="238"/>
        <v>Ja</v>
      </c>
      <c r="BC272" s="185" t="str">
        <f t="shared" ca="1" si="238"/>
        <v>Google Chrome OS</v>
      </c>
      <c r="BD272" s="185" t="str">
        <f t="shared" ca="1" si="238"/>
        <v>100e Chr Gen4</v>
      </c>
      <c r="BE272" s="185">
        <f t="shared" ca="1" si="238"/>
        <v>3636</v>
      </c>
      <c r="BF272" s="192">
        <f t="shared" ca="1" si="238"/>
        <v>78</v>
      </c>
      <c r="BG272" s="192">
        <f t="shared" ca="1" si="238"/>
        <v>240</v>
      </c>
      <c r="BH272" s="192">
        <f t="shared" ca="1" si="238"/>
        <v>210</v>
      </c>
      <c r="BI272" s="192">
        <f t="shared" ca="1" si="238"/>
        <v>405</v>
      </c>
      <c r="BJ272" s="192">
        <f t="shared" ca="1" si="239"/>
        <v>185</v>
      </c>
      <c r="BK272" s="192">
        <f t="shared" ca="1" si="239"/>
        <v>60</v>
      </c>
      <c r="BL272" s="192">
        <f t="shared" ca="1" si="239"/>
        <v>50</v>
      </c>
      <c r="BM272" s="192" t="str">
        <f t="shared" ca="1" si="239"/>
        <v>V7</v>
      </c>
      <c r="BN272" s="192" t="str">
        <f t="shared" ca="1" si="239"/>
        <v>Lenovo</v>
      </c>
      <c r="BO272" s="192" t="str">
        <f t="shared" ca="1" si="239"/>
        <v>Lenovo</v>
      </c>
      <c r="BP272" s="192">
        <f t="shared" ca="1" si="239"/>
        <v>0</v>
      </c>
      <c r="BQ272" s="192" t="str">
        <f t="shared" ca="1" si="239"/>
        <v>V7 Elite Sleeve 12"</v>
      </c>
      <c r="BR272" s="192" t="str">
        <f t="shared" ca="1" si="239"/>
        <v>Lenovo 11.6" Privacy Filter</v>
      </c>
      <c r="BS272" s="192" t="str">
        <f t="shared" ca="1" si="239"/>
        <v>Power adapter USB-C 45w</v>
      </c>
      <c r="BT272" s="192">
        <f t="shared" ca="1" si="239"/>
        <v>0</v>
      </c>
      <c r="BU272" s="192"/>
      <c r="BV272" s="192"/>
      <c r="BW272" s="192" t="str">
        <f t="shared" ca="1" si="240"/>
        <v>Foxway Education AB</v>
      </c>
      <c r="BX272" s="192" t="str">
        <f t="shared" ca="1" si="240"/>
        <v>Lenovo</v>
      </c>
      <c r="BY272" s="185"/>
      <c r="BZ272" s="185"/>
      <c r="CA272" s="185"/>
      <c r="CB272" s="185"/>
      <c r="CC272" s="185"/>
      <c r="CD272" s="185"/>
      <c r="CE272" s="185"/>
      <c r="CF272" s="185"/>
      <c r="CG272" s="185"/>
      <c r="CH272" s="185"/>
      <c r="CI272" s="185"/>
      <c r="CJ272" s="185"/>
      <c r="CK272" s="185"/>
      <c r="CL272" s="185"/>
      <c r="CM272" s="185"/>
    </row>
    <row r="273" spans="2:91" ht="22.5" customHeight="1" outlineLevel="1" x14ac:dyDescent="0.35">
      <c r="C273" s="61" t="s">
        <v>67</v>
      </c>
      <c r="D273" s="64"/>
      <c r="F273" s="78" t="str">
        <f t="shared" si="241"/>
        <v/>
      </c>
      <c r="G273" s="79">
        <f t="shared" ca="1" si="242"/>
        <v>2</v>
      </c>
      <c r="H273" s="79">
        <f t="shared" ca="1" si="242"/>
        <v>4</v>
      </c>
      <c r="I273" s="120">
        <f t="shared" ca="1" si="242"/>
        <v>3</v>
      </c>
      <c r="J273" s="62"/>
      <c r="Q273" s="185">
        <f t="shared" si="219"/>
        <v>0</v>
      </c>
      <c r="R273" s="185">
        <f t="shared" si="220"/>
        <v>0</v>
      </c>
      <c r="S273" s="185">
        <f t="shared" si="221"/>
        <v>0</v>
      </c>
      <c r="T273" s="185">
        <f t="shared" si="222"/>
        <v>0</v>
      </c>
      <c r="U273" s="185">
        <f t="shared" si="223"/>
        <v>0</v>
      </c>
      <c r="V273" s="185">
        <f t="shared" si="224"/>
        <v>0</v>
      </c>
      <c r="W273" s="185">
        <f t="shared" si="225"/>
        <v>0</v>
      </c>
      <c r="X273" s="185">
        <f t="shared" si="226"/>
        <v>0</v>
      </c>
      <c r="Y273" s="185">
        <f t="shared" ca="1" si="227"/>
        <v>5133</v>
      </c>
      <c r="Z273" s="185" t="str">
        <f t="shared" si="228"/>
        <v>Offererad produktnr. 06Foxway Education AB</v>
      </c>
      <c r="AA273" s="185" t="b">
        <f t="shared" si="229"/>
        <v>1</v>
      </c>
      <c r="AB273" s="185" t="b">
        <f t="shared" si="230"/>
        <v>1</v>
      </c>
      <c r="AC273" s="185" t="b">
        <f t="shared" si="231"/>
        <v>1</v>
      </c>
      <c r="AD273" s="185" t="b">
        <f t="shared" si="232"/>
        <v>1</v>
      </c>
      <c r="AE273" s="185" t="b">
        <f>IF($D$268="",TRUE,IF(COUNTIF(Processor!$I$2:$I$9,$D$268)&gt;0,AND(AT273&gt;INDEX(Processor!$J$2:$J$9,MATCH($D$268,Processor!$I$2:$I$9,0)),AT273&lt;INDEX(Processor!$K$2:$K$9,MATCH($D$268,Processor!$I$2:$I$9,0))),IF(AT273=$D$268,TRUE,FALSE)))</f>
        <v>1</v>
      </c>
      <c r="AF273" s="185" t="b">
        <f t="shared" si="233"/>
        <v>1</v>
      </c>
      <c r="AG273" s="185" t="b">
        <f t="shared" si="234"/>
        <v>1</v>
      </c>
      <c r="AH273" s="185" t="b">
        <f t="shared" si="235"/>
        <v>1</v>
      </c>
      <c r="AI273" s="185" t="b">
        <f t="shared" si="236"/>
        <v>1</v>
      </c>
      <c r="AJ273" s="185" t="b">
        <f>IFERROR(IF($D278="",TRUE,IF(MID(BA273,LEN(BA273)-2,1)*1&gt;=MID($D278,LEN($D278)-2,1)*1,TRUE,FALSE)),FALSE)</f>
        <v>1</v>
      </c>
      <c r="AK273" s="185"/>
      <c r="AL273" s="185"/>
      <c r="AM273" s="185"/>
      <c r="AN273" s="185" t="s">
        <v>215</v>
      </c>
      <c r="AO273" s="185">
        <v>1</v>
      </c>
      <c r="AP273" s="185" t="str">
        <f t="shared" ca="1" si="237"/>
        <v>1920x1080</v>
      </c>
      <c r="AQ273" s="185" t="str">
        <f t="shared" ca="1" si="237"/>
        <v>Intel Celeron</v>
      </c>
      <c r="AR273" s="185">
        <f t="shared" ca="1" si="237"/>
        <v>8</v>
      </c>
      <c r="AS273" s="185">
        <f t="shared" ca="1" si="237"/>
        <v>64</v>
      </c>
      <c r="AT273" s="185">
        <f t="shared" ca="1" si="237"/>
        <v>14</v>
      </c>
      <c r="AU273" s="185">
        <f t="shared" ca="1" si="237"/>
        <v>3</v>
      </c>
      <c r="AV273" s="185">
        <f t="shared" ca="1" si="237"/>
        <v>1</v>
      </c>
      <c r="AW273" s="185">
        <f t="shared" ca="1" si="237"/>
        <v>0</v>
      </c>
      <c r="AX273" s="185" t="str">
        <f t="shared" ca="1" si="237"/>
        <v>802.11a/b/g/n/ac/ax</v>
      </c>
      <c r="AY273" s="185">
        <f t="shared" ca="1" si="237"/>
        <v>5</v>
      </c>
      <c r="AZ273" s="185">
        <f t="shared" ca="1" si="238"/>
        <v>11</v>
      </c>
      <c r="BA273" s="185" t="str">
        <f t="shared" ca="1" si="238"/>
        <v>Version 8.0</v>
      </c>
      <c r="BB273" s="185" t="str">
        <f t="shared" ca="1" si="238"/>
        <v>Ja</v>
      </c>
      <c r="BC273" s="185" t="str">
        <f t="shared" ca="1" si="238"/>
        <v>Google Chrome OS</v>
      </c>
      <c r="BD273" s="185" t="str">
        <f t="shared" ca="1" si="238"/>
        <v>Chromebook 14 G7</v>
      </c>
      <c r="BE273" s="185">
        <f t="shared" ca="1" si="238"/>
        <v>5133</v>
      </c>
      <c r="BF273" s="192">
        <f t="shared" ca="1" si="238"/>
        <v>78</v>
      </c>
      <c r="BG273" s="192">
        <f t="shared" ca="1" si="238"/>
        <v>276</v>
      </c>
      <c r="BH273" s="192">
        <f t="shared" ca="1" si="238"/>
        <v>240</v>
      </c>
      <c r="BI273" s="192">
        <f t="shared" ca="1" si="238"/>
        <v>162</v>
      </c>
      <c r="BJ273" s="192">
        <f t="shared" ca="1" si="239"/>
        <v>185</v>
      </c>
      <c r="BK273" s="192">
        <f t="shared" ca="1" si="239"/>
        <v>60</v>
      </c>
      <c r="BL273" s="192">
        <f t="shared" ca="1" si="239"/>
        <v>50</v>
      </c>
      <c r="BM273" s="192" t="str">
        <f t="shared" ca="1" si="239"/>
        <v>V7</v>
      </c>
      <c r="BN273" s="192" t="str">
        <f t="shared" ca="1" si="239"/>
        <v>Targus</v>
      </c>
      <c r="BO273" s="192" t="str">
        <f t="shared" ca="1" si="239"/>
        <v>HP</v>
      </c>
      <c r="BP273" s="192">
        <f t="shared" ca="1" si="239"/>
        <v>0</v>
      </c>
      <c r="BQ273" s="192" t="str">
        <f t="shared" ca="1" si="239"/>
        <v>V7 Elite Sleeve 12"</v>
      </c>
      <c r="BR273" s="192" t="str">
        <f t="shared" ca="1" si="239"/>
        <v>Targus Privacy Screen 14"</v>
      </c>
      <c r="BS273" s="192" t="str">
        <f t="shared" ca="1" si="239"/>
        <v>HP 45W USB-C Power Adapter G2</v>
      </c>
      <c r="BT273" s="192">
        <f t="shared" ca="1" si="239"/>
        <v>0</v>
      </c>
      <c r="BU273" s="192"/>
      <c r="BV273" s="192"/>
      <c r="BW273" s="192" t="str">
        <f t="shared" ca="1" si="240"/>
        <v>Foxway Education AB</v>
      </c>
      <c r="BX273" s="192" t="str">
        <f t="shared" ca="1" si="240"/>
        <v>HP</v>
      </c>
      <c r="BY273" s="185"/>
      <c r="BZ273" s="185"/>
      <c r="CA273" s="185"/>
      <c r="CB273" s="185"/>
      <c r="CC273" s="185"/>
      <c r="CD273" s="185"/>
      <c r="CE273" s="185"/>
      <c r="CF273" s="185"/>
      <c r="CG273" s="185"/>
      <c r="CH273" s="185"/>
      <c r="CI273" s="185"/>
      <c r="CJ273" s="185"/>
      <c r="CK273" s="185"/>
      <c r="CL273" s="185"/>
      <c r="CM273" s="185"/>
    </row>
    <row r="274" spans="2:91" ht="22.5" customHeight="1" outlineLevel="1" x14ac:dyDescent="0.35">
      <c r="C274" s="61" t="s">
        <v>74</v>
      </c>
      <c r="D274" s="64"/>
      <c r="F274" s="78" t="str">
        <f t="shared" si="241"/>
        <v/>
      </c>
      <c r="G274" s="79">
        <f t="shared" ca="1" si="242"/>
        <v>1</v>
      </c>
      <c r="H274" s="79">
        <f t="shared" ca="1" si="242"/>
        <v>2</v>
      </c>
      <c r="I274" s="120">
        <f t="shared" ca="1" si="242"/>
        <v>1</v>
      </c>
      <c r="J274" s="62"/>
      <c r="Q274" s="185">
        <f t="shared" si="219"/>
        <v>0</v>
      </c>
      <c r="R274" s="185">
        <f t="shared" si="220"/>
        <v>0</v>
      </c>
      <c r="S274" s="185">
        <f t="shared" si="221"/>
        <v>0</v>
      </c>
      <c r="T274" s="185">
        <f t="shared" si="222"/>
        <v>0</v>
      </c>
      <c r="U274" s="185">
        <f t="shared" si="223"/>
        <v>0</v>
      </c>
      <c r="V274" s="185">
        <f t="shared" si="224"/>
        <v>0</v>
      </c>
      <c r="W274" s="185">
        <f t="shared" si="225"/>
        <v>0</v>
      </c>
      <c r="X274" s="185">
        <f t="shared" si="226"/>
        <v>0</v>
      </c>
      <c r="Y274" s="185">
        <f t="shared" ca="1" si="227"/>
        <v>2950</v>
      </c>
      <c r="Z274" s="185" t="str">
        <f t="shared" si="228"/>
        <v>Offererad produktnr. 05Qlosr Göteborg AB</v>
      </c>
      <c r="AA274" s="185" t="b">
        <f t="shared" si="229"/>
        <v>1</v>
      </c>
      <c r="AB274" s="185" t="b">
        <f t="shared" si="230"/>
        <v>1</v>
      </c>
      <c r="AC274" s="185" t="b">
        <f t="shared" si="231"/>
        <v>1</v>
      </c>
      <c r="AD274" s="185" t="b">
        <f t="shared" si="232"/>
        <v>1</v>
      </c>
      <c r="AE274" s="185" t="b">
        <f>IF($D$268="",TRUE,IF(COUNTIF(Processor!$I$2:$I$9,$D$268)&gt;0,AND(AT274&gt;INDEX(Processor!$J$2:$J$9,MATCH($D$268,Processor!$I$2:$I$9,0)),AT274&lt;INDEX(Processor!$K$2:$K$9,MATCH($D$268,Processor!$I$2:$I$9,0))),IF(AT274=$D$268,TRUE,FALSE)))</f>
        <v>1</v>
      </c>
      <c r="AF274" s="185" t="b">
        <f t="shared" si="233"/>
        <v>1</v>
      </c>
      <c r="AG274" s="185" t="b">
        <f t="shared" si="234"/>
        <v>1</v>
      </c>
      <c r="AH274" s="185" t="b">
        <f t="shared" si="235"/>
        <v>1</v>
      </c>
      <c r="AI274" s="185" t="b">
        <f t="shared" si="236"/>
        <v>1</v>
      </c>
      <c r="AJ274" s="185" t="b">
        <f>IFERROR(IF($D278="",TRUE,IF(MID(BA274,LEN(BA274)-2,1)*1&gt;=MID($D278,LEN($D278)-2,1)*1,TRUE,FALSE)),FALSE)</f>
        <v>1</v>
      </c>
      <c r="AK274" s="185"/>
      <c r="AL274" s="185"/>
      <c r="AM274" s="185"/>
      <c r="AN274" s="185" t="s">
        <v>556</v>
      </c>
      <c r="AO274" s="185">
        <v>1</v>
      </c>
      <c r="AP274" s="185" t="str">
        <f t="shared" ca="1" si="237"/>
        <v>1366x768</v>
      </c>
      <c r="AQ274" s="185" t="str">
        <f t="shared" ca="1" si="237"/>
        <v>Intel Celeron</v>
      </c>
      <c r="AR274" s="185">
        <f t="shared" ca="1" si="237"/>
        <v>4</v>
      </c>
      <c r="AS274" s="185">
        <f t="shared" ca="1" si="237"/>
        <v>32</v>
      </c>
      <c r="AT274" s="185">
        <f t="shared" ca="1" si="237"/>
        <v>11.6</v>
      </c>
      <c r="AU274" s="185">
        <f t="shared" ca="1" si="237"/>
        <v>2</v>
      </c>
      <c r="AV274" s="185">
        <f t="shared" ca="1" si="237"/>
        <v>1</v>
      </c>
      <c r="AW274" s="185">
        <f t="shared" ca="1" si="237"/>
        <v>0</v>
      </c>
      <c r="AX274" s="185" t="str">
        <f t="shared" ca="1" si="237"/>
        <v>802.11a/b/g/n/ac/ax</v>
      </c>
      <c r="AY274" s="185">
        <f t="shared" ca="1" si="237"/>
        <v>5.0999999999999996</v>
      </c>
      <c r="AZ274" s="185">
        <f t="shared" ca="1" si="238"/>
        <v>11</v>
      </c>
      <c r="BA274" s="185" t="str">
        <f t="shared" ca="1" si="238"/>
        <v>Version 8.0</v>
      </c>
      <c r="BB274" s="185" t="str">
        <f t="shared" ca="1" si="238"/>
        <v>Ja</v>
      </c>
      <c r="BC274" s="185" t="str">
        <f t="shared" ca="1" si="238"/>
        <v>Google Chrome OS</v>
      </c>
      <c r="BD274" s="185" t="str">
        <f t="shared" ca="1" si="238"/>
        <v>Chromebook 3110</v>
      </c>
      <c r="BE274" s="185">
        <f t="shared" ca="1" si="238"/>
        <v>2950</v>
      </c>
      <c r="BF274" s="192">
        <f t="shared" ca="1" si="238"/>
        <v>59</v>
      </c>
      <c r="BG274" s="192">
        <f t="shared" ca="1" si="238"/>
        <v>287</v>
      </c>
      <c r="BH274" s="192">
        <f t="shared" ca="1" si="238"/>
        <v>240</v>
      </c>
      <c r="BI274" s="192">
        <f t="shared" ca="1" si="238"/>
        <v>275</v>
      </c>
      <c r="BJ274" s="192">
        <f t="shared" ca="1" si="239"/>
        <v>70</v>
      </c>
      <c r="BK274" s="192">
        <f t="shared" ca="1" si="239"/>
        <v>25</v>
      </c>
      <c r="BL274" s="192">
        <f t="shared" ca="1" si="239"/>
        <v>25</v>
      </c>
      <c r="BM274" s="192" t="str">
        <f t="shared" ca="1" si="239"/>
        <v>HP</v>
      </c>
      <c r="BN274" s="192" t="str">
        <f t="shared" ca="1" si="239"/>
        <v>Kapsolo</v>
      </c>
      <c r="BO274" s="192" t="str">
        <f t="shared" ca="1" si="239"/>
        <v>Dell</v>
      </c>
      <c r="BP274" s="192">
        <f t="shared" ca="1" si="239"/>
        <v>0</v>
      </c>
      <c r="BQ274" s="192" t="str">
        <f t="shared" ca="1" si="239"/>
        <v>GBX77E81AA</v>
      </c>
      <c r="BR274" s="192" t="str">
        <f t="shared" ca="1" si="239"/>
        <v>GBXKAP10145</v>
      </c>
      <c r="BS274" s="192" t="str">
        <f t="shared" ca="1" si="239"/>
        <v>DELL-921CW</v>
      </c>
      <c r="BT274" s="192">
        <f t="shared" ca="1" si="239"/>
        <v>0</v>
      </c>
      <c r="BU274" s="192"/>
      <c r="BV274" s="192"/>
      <c r="BW274" s="192" t="str">
        <f t="shared" ca="1" si="240"/>
        <v>Qlosr Göteborg AB</v>
      </c>
      <c r="BX274" s="192" t="str">
        <f t="shared" ca="1" si="240"/>
        <v>Dell</v>
      </c>
      <c r="BY274" s="185"/>
      <c r="BZ274" s="185"/>
      <c r="CA274" s="185"/>
      <c r="CB274" s="185"/>
      <c r="CC274" s="185"/>
      <c r="CD274" s="185"/>
      <c r="CE274" s="185"/>
      <c r="CF274" s="185"/>
      <c r="CG274" s="185"/>
      <c r="CH274" s="185"/>
      <c r="CI274" s="185"/>
      <c r="CJ274" s="185"/>
      <c r="CK274" s="185"/>
      <c r="CL274" s="185"/>
      <c r="CM274" s="185"/>
    </row>
    <row r="275" spans="2:91" ht="22.5" customHeight="1" outlineLevel="1" x14ac:dyDescent="0.35">
      <c r="C275" s="61" t="s">
        <v>103</v>
      </c>
      <c r="D275" s="64"/>
      <c r="F275" s="78" t="str">
        <f t="shared" si="241"/>
        <v/>
      </c>
      <c r="G275" s="79" t="str">
        <f t="shared" ca="1" si="242"/>
        <v>802.11a/b/g/n/ac/ax</v>
      </c>
      <c r="H275" s="79" t="str">
        <f t="shared" ca="1" si="242"/>
        <v>802.11a/b/g/n/ac/ax</v>
      </c>
      <c r="I275" s="120" t="str">
        <f t="shared" ca="1" si="242"/>
        <v>802.11a/b/g/n/ac/ax</v>
      </c>
      <c r="J275" s="62"/>
      <c r="Q275" s="185">
        <f t="shared" si="219"/>
        <v>0</v>
      </c>
      <c r="R275" s="185">
        <f t="shared" si="220"/>
        <v>0</v>
      </c>
      <c r="S275" s="185">
        <f t="shared" si="221"/>
        <v>0</v>
      </c>
      <c r="T275" s="185">
        <f t="shared" si="222"/>
        <v>0</v>
      </c>
      <c r="U275" s="185">
        <f t="shared" si="223"/>
        <v>0</v>
      </c>
      <c r="V275" s="185">
        <f t="shared" si="224"/>
        <v>0</v>
      </c>
      <c r="W275" s="185">
        <f t="shared" si="225"/>
        <v>0</v>
      </c>
      <c r="X275" s="185">
        <f t="shared" si="226"/>
        <v>0</v>
      </c>
      <c r="Y275" s="185">
        <f t="shared" ca="1" si="227"/>
        <v>3610</v>
      </c>
      <c r="Z275" s="185" t="str">
        <f t="shared" si="228"/>
        <v>Offererad produktnr. 06Qlosr Göteborg AB</v>
      </c>
      <c r="AA275" s="185" t="b">
        <f t="shared" si="229"/>
        <v>1</v>
      </c>
      <c r="AB275" s="185" t="b">
        <f t="shared" si="230"/>
        <v>1</v>
      </c>
      <c r="AC275" s="185" t="b">
        <f t="shared" si="231"/>
        <v>1</v>
      </c>
      <c r="AD275" s="185" t="b">
        <f t="shared" si="232"/>
        <v>1</v>
      </c>
      <c r="AE275" s="185" t="b">
        <f>IF($D$268="",TRUE,IF(COUNTIF(Processor!$I$2:$I$9,$D$268)&gt;0,AND(AT275&gt;INDEX(Processor!$J$2:$J$9,MATCH($D$268,Processor!$I$2:$I$9,0)),AT275&lt;INDEX(Processor!$K$2:$K$9,MATCH($D$268,Processor!$I$2:$I$9,0))),IF(AT275=$D$268,TRUE,FALSE)))</f>
        <v>1</v>
      </c>
      <c r="AF275" s="185" t="b">
        <f t="shared" si="233"/>
        <v>1</v>
      </c>
      <c r="AG275" s="185" t="b">
        <f t="shared" si="234"/>
        <v>1</v>
      </c>
      <c r="AH275" s="185" t="b">
        <f t="shared" si="235"/>
        <v>1</v>
      </c>
      <c r="AI275" s="185" t="b">
        <f t="shared" si="236"/>
        <v>1</v>
      </c>
      <c r="AJ275" s="185" t="b">
        <f>IFERROR(IF($D278="",TRUE,IF(MID(BA275,LEN(BA275)-2,1)*1&gt;=MID($D278,LEN($D278)-2,1)*1,TRUE,FALSE)),FALSE)</f>
        <v>1</v>
      </c>
      <c r="AK275" s="185"/>
      <c r="AL275" s="185"/>
      <c r="AM275" s="185"/>
      <c r="AN275" s="185" t="s">
        <v>557</v>
      </c>
      <c r="AO275" s="185">
        <v>1</v>
      </c>
      <c r="AP275" s="185" t="str">
        <f t="shared" ca="1" si="237"/>
        <v>1920x1080</v>
      </c>
      <c r="AQ275" s="185" t="str">
        <f t="shared" ca="1" si="237"/>
        <v>Intel Celeron</v>
      </c>
      <c r="AR275" s="185">
        <f t="shared" ca="1" si="237"/>
        <v>8</v>
      </c>
      <c r="AS275" s="185">
        <f t="shared" ca="1" si="237"/>
        <v>64</v>
      </c>
      <c r="AT275" s="185">
        <f t="shared" ca="1" si="237"/>
        <v>14</v>
      </c>
      <c r="AU275" s="185">
        <f t="shared" ca="1" si="237"/>
        <v>3</v>
      </c>
      <c r="AV275" s="185">
        <f t="shared" ca="1" si="237"/>
        <v>1</v>
      </c>
      <c r="AW275" s="185">
        <f t="shared" ca="1" si="237"/>
        <v>0</v>
      </c>
      <c r="AX275" s="185" t="str">
        <f t="shared" ca="1" si="237"/>
        <v>802.11a/b/g/n/ac/ax</v>
      </c>
      <c r="AY275" s="185">
        <f t="shared" ca="1" si="237"/>
        <v>5</v>
      </c>
      <c r="AZ275" s="185">
        <f t="shared" ca="1" si="238"/>
        <v>11</v>
      </c>
      <c r="BA275" s="185" t="str">
        <f t="shared" ca="1" si="238"/>
        <v>Version 8.0</v>
      </c>
      <c r="BB275" s="185" t="str">
        <f t="shared" ca="1" si="238"/>
        <v>Ja</v>
      </c>
      <c r="BC275" s="185" t="str">
        <f t="shared" ca="1" si="238"/>
        <v>Google Chrome OS</v>
      </c>
      <c r="BD275" s="185" t="str">
        <f t="shared" ca="1" si="238"/>
        <v>Chromebook 14 G7</v>
      </c>
      <c r="BE275" s="185">
        <f t="shared" ca="1" si="238"/>
        <v>3610</v>
      </c>
      <c r="BF275" s="192">
        <f t="shared" ca="1" si="238"/>
        <v>64</v>
      </c>
      <c r="BG275" s="192">
        <f t="shared" ca="1" si="238"/>
        <v>298</v>
      </c>
      <c r="BH275" s="192">
        <f t="shared" ca="1" si="238"/>
        <v>198</v>
      </c>
      <c r="BI275" s="192">
        <f t="shared" ca="1" si="238"/>
        <v>125</v>
      </c>
      <c r="BJ275" s="192">
        <f t="shared" ca="1" si="239"/>
        <v>70</v>
      </c>
      <c r="BK275" s="192">
        <f t="shared" ca="1" si="239"/>
        <v>25</v>
      </c>
      <c r="BL275" s="192">
        <f t="shared" ca="1" si="239"/>
        <v>25</v>
      </c>
      <c r="BM275" s="192" t="str">
        <f t="shared" ca="1" si="239"/>
        <v>HP</v>
      </c>
      <c r="BN275" s="192" t="str">
        <f t="shared" ca="1" si="239"/>
        <v>Kapsolo</v>
      </c>
      <c r="BO275" s="192" t="str">
        <f t="shared" ca="1" si="239"/>
        <v>HP</v>
      </c>
      <c r="BP275" s="192">
        <f t="shared" ca="1" si="239"/>
        <v>0</v>
      </c>
      <c r="BQ275" s="192" t="str">
        <f t="shared" ca="1" si="239"/>
        <v>GBX2UW01AA</v>
      </c>
      <c r="BR275" s="192" t="str">
        <f t="shared" ca="1" si="239"/>
        <v>GBXKAP10478</v>
      </c>
      <c r="BS275" s="192" t="str">
        <f t="shared" ca="1" si="239"/>
        <v>GBX1HE07AA</v>
      </c>
      <c r="BT275" s="192">
        <f t="shared" ca="1" si="239"/>
        <v>0</v>
      </c>
      <c r="BU275" s="192"/>
      <c r="BV275" s="192"/>
      <c r="BW275" s="192" t="str">
        <f t="shared" ca="1" si="240"/>
        <v>Qlosr Göteborg AB</v>
      </c>
      <c r="BX275" s="192" t="str">
        <f t="shared" ca="1" si="240"/>
        <v>HP</v>
      </c>
      <c r="BY275" s="185"/>
      <c r="BZ275" s="185"/>
      <c r="CA275" s="185"/>
      <c r="CB275" s="185"/>
      <c r="CC275" s="185"/>
      <c r="CD275" s="185"/>
      <c r="CE275" s="185"/>
      <c r="CF275" s="185"/>
      <c r="CG275" s="185"/>
      <c r="CH275" s="185"/>
      <c r="CI275" s="185"/>
      <c r="CJ275" s="185"/>
      <c r="CK275" s="185"/>
      <c r="CL275" s="185"/>
      <c r="CM275" s="185"/>
    </row>
    <row r="276" spans="2:91" ht="33.75" customHeight="1" outlineLevel="1" x14ac:dyDescent="0.35">
      <c r="C276" s="61" t="s">
        <v>75</v>
      </c>
      <c r="D276" s="110"/>
      <c r="F276" s="78" t="str">
        <f t="shared" si="241"/>
        <v/>
      </c>
      <c r="G276" s="79">
        <f t="shared" ca="1" si="242"/>
        <v>5.0999999999999996</v>
      </c>
      <c r="H276" s="79">
        <f t="shared" ca="1" si="242"/>
        <v>5</v>
      </c>
      <c r="I276" s="120">
        <f t="shared" ca="1" si="242"/>
        <v>5</v>
      </c>
      <c r="J276" s="94"/>
      <c r="BF276" s="63"/>
      <c r="BG276" s="63"/>
      <c r="BH276" s="63"/>
      <c r="BI276" s="63"/>
      <c r="BJ276" s="63"/>
      <c r="BK276" s="63"/>
      <c r="BL276" s="63"/>
      <c r="BM276" s="63"/>
      <c r="BN276" s="63"/>
      <c r="BO276" s="63"/>
      <c r="BP276" s="63"/>
      <c r="BQ276" s="63"/>
      <c r="BR276" s="63"/>
      <c r="BS276" s="63"/>
      <c r="BT276" s="63"/>
      <c r="BU276" s="63"/>
      <c r="BV276" s="63"/>
      <c r="BW276" s="63"/>
      <c r="BX276" s="63"/>
    </row>
    <row r="277" spans="2:91" ht="33.75" customHeight="1" outlineLevel="1" x14ac:dyDescent="0.35">
      <c r="C277" s="61" t="s">
        <v>120</v>
      </c>
      <c r="D277" s="65"/>
      <c r="F277" s="80" t="str">
        <f t="shared" si="241"/>
        <v/>
      </c>
      <c r="G277" s="81">
        <f t="shared" ca="1" si="242"/>
        <v>11</v>
      </c>
      <c r="H277" s="81">
        <f t="shared" ca="1" si="242"/>
        <v>11</v>
      </c>
      <c r="I277" s="121">
        <f t="shared" ca="1" si="242"/>
        <v>11</v>
      </c>
      <c r="J277" s="62"/>
      <c r="BF277" s="63"/>
      <c r="BG277" s="63"/>
      <c r="BH277" s="63"/>
      <c r="BI277" s="63"/>
      <c r="BJ277" s="63"/>
      <c r="BK277" s="63"/>
      <c r="BL277" s="63"/>
      <c r="BM277" s="63"/>
      <c r="BN277" s="63"/>
      <c r="BO277" s="63"/>
      <c r="BP277" s="63"/>
      <c r="BQ277" s="63"/>
      <c r="BR277" s="63"/>
      <c r="BS277" s="63"/>
      <c r="BT277" s="63"/>
      <c r="BU277" s="63"/>
      <c r="BV277" s="63"/>
      <c r="BW277" s="63"/>
      <c r="BX277" s="63"/>
    </row>
    <row r="278" spans="2:91" ht="33.75" customHeight="1" outlineLevel="1" x14ac:dyDescent="0.35">
      <c r="C278" s="61" t="s">
        <v>38</v>
      </c>
      <c r="D278" s="64"/>
      <c r="F278" s="78" t="str">
        <f t="shared" si="241"/>
        <v/>
      </c>
      <c r="G278" s="81" t="str">
        <f t="shared" ca="1" si="242"/>
        <v>Version 8.0</v>
      </c>
      <c r="H278" s="81" t="str">
        <f t="shared" ca="1" si="242"/>
        <v>Version 8.0</v>
      </c>
      <c r="I278" s="121" t="str">
        <f t="shared" ca="1" si="242"/>
        <v>Version 8.0</v>
      </c>
      <c r="J278" s="62"/>
      <c r="BF278" s="63"/>
      <c r="BG278" s="63"/>
      <c r="BH278" s="63"/>
      <c r="BI278" s="63"/>
      <c r="BJ278" s="63"/>
      <c r="BK278" s="63"/>
      <c r="BL278" s="63"/>
      <c r="BM278" s="63"/>
      <c r="BN278" s="63"/>
      <c r="BO278" s="63"/>
      <c r="BP278" s="63"/>
      <c r="BQ278" s="63"/>
      <c r="BR278" s="63"/>
      <c r="BS278" s="63"/>
      <c r="BT278" s="63"/>
      <c r="BU278" s="63"/>
      <c r="BV278" s="63"/>
      <c r="BW278" s="63"/>
      <c r="BX278" s="63"/>
    </row>
    <row r="279" spans="2:91" ht="33.75" customHeight="1" outlineLevel="1" x14ac:dyDescent="0.35">
      <c r="C279" s="61" t="s">
        <v>37</v>
      </c>
      <c r="D279" s="64"/>
      <c r="F279" s="78" t="str">
        <f t="shared" si="241"/>
        <v/>
      </c>
      <c r="G279" s="79" t="str">
        <f t="shared" ca="1" si="242"/>
        <v>Ja</v>
      </c>
      <c r="H279" s="79" t="str">
        <f t="shared" ca="1" si="242"/>
        <v>Ja</v>
      </c>
      <c r="I279" s="120" t="str">
        <f t="shared" ca="1" si="242"/>
        <v>Ja</v>
      </c>
      <c r="J279" s="62"/>
      <c r="BF279" s="63"/>
      <c r="BG279" s="63"/>
      <c r="BH279" s="63"/>
      <c r="BI279" s="63"/>
      <c r="BJ279" s="63"/>
      <c r="BK279" s="63"/>
      <c r="BL279" s="63"/>
      <c r="BM279" s="63"/>
      <c r="BN279" s="63"/>
      <c r="BO279" s="63"/>
      <c r="BP279" s="63"/>
      <c r="BQ279" s="63"/>
      <c r="BR279" s="63"/>
      <c r="BS279" s="63"/>
      <c r="BT279" s="63"/>
      <c r="BU279" s="63"/>
      <c r="BV279" s="63"/>
      <c r="BW279" s="63"/>
      <c r="BX279" s="63"/>
    </row>
    <row r="280" spans="2:91" ht="23.25" customHeight="1" outlineLevel="1" x14ac:dyDescent="0.35">
      <c r="C280" s="66"/>
      <c r="D280" s="67"/>
      <c r="G280" s="62"/>
      <c r="H280" s="62"/>
      <c r="I280" s="62"/>
      <c r="J280" s="62"/>
      <c r="BF280" s="63"/>
      <c r="BG280" s="63"/>
      <c r="BH280" s="63"/>
      <c r="BI280" s="63"/>
      <c r="BJ280" s="63"/>
      <c r="BK280" s="63"/>
      <c r="BL280" s="63"/>
      <c r="BM280" s="63"/>
      <c r="BN280" s="63"/>
      <c r="BO280" s="63"/>
      <c r="BP280" s="63"/>
      <c r="BQ280" s="63"/>
      <c r="BR280" s="63"/>
      <c r="BS280" s="63"/>
      <c r="BT280" s="63"/>
      <c r="BU280" s="63"/>
      <c r="BV280" s="63"/>
      <c r="BW280" s="63"/>
      <c r="BX280" s="63"/>
    </row>
    <row r="281" spans="2:91" ht="23.25" customHeight="1" outlineLevel="1" x14ac:dyDescent="0.35">
      <c r="C281" s="212" t="s">
        <v>366</v>
      </c>
      <c r="D281" s="213"/>
      <c r="E281" s="213"/>
      <c r="F281" s="213"/>
      <c r="G281" s="213"/>
      <c r="H281" s="213"/>
      <c r="I281" s="214"/>
      <c r="J281" s="62"/>
      <c r="BF281" s="63"/>
      <c r="BG281" s="63"/>
      <c r="BH281" s="63"/>
      <c r="BI281" s="63"/>
      <c r="BJ281" s="63"/>
      <c r="BK281" s="63"/>
      <c r="BL281" s="63"/>
      <c r="BM281" s="63"/>
      <c r="BN281" s="63"/>
      <c r="BO281" s="63"/>
      <c r="BP281" s="63"/>
      <c r="BQ281" s="63"/>
      <c r="BR281" s="63"/>
      <c r="BS281" s="63"/>
      <c r="BT281" s="63"/>
      <c r="BU281" s="63"/>
      <c r="BV281" s="63"/>
      <c r="BW281" s="63"/>
      <c r="BX281" s="63"/>
    </row>
    <row r="282" spans="2:91" ht="23.25" customHeight="1" outlineLevel="1" x14ac:dyDescent="0.35">
      <c r="B282" s="69" t="s">
        <v>53</v>
      </c>
      <c r="C282" s="95" t="s">
        <v>363</v>
      </c>
      <c r="D282" s="70"/>
      <c r="F282" s="159" t="str">
        <f t="shared" ref="F282:F290" si="243">IF(F$264="Inget antal angivet","",IFERROR(INDEX($AP$265:$BX$289,MATCH(F$261,$AN$265:$AN$289,0),MATCH($B282,$AP$265:$BX$265,0)),""))</f>
        <v/>
      </c>
      <c r="G282" s="160">
        <f t="shared" ref="G282:I290" ca="1" si="244">IFERROR(INDEX($AP$265:$BX$289,MATCH(G$261,$AN$265:$AN$289,0),MATCH($B282,$AP$265:$BX$265,0)),"")</f>
        <v>59</v>
      </c>
      <c r="H282" s="160">
        <f t="shared" ca="1" si="244"/>
        <v>87</v>
      </c>
      <c r="I282" s="160">
        <f t="shared" ca="1" si="244"/>
        <v>64</v>
      </c>
      <c r="J282" s="73"/>
      <c r="BF282" s="63"/>
      <c r="BG282" s="63"/>
      <c r="BH282" s="63"/>
      <c r="BI282" s="63"/>
      <c r="BJ282" s="63"/>
      <c r="BK282" s="63"/>
      <c r="BL282" s="63"/>
      <c r="BM282" s="63"/>
      <c r="BN282" s="63"/>
      <c r="BO282" s="63"/>
      <c r="BP282" s="63"/>
      <c r="BQ282" s="63"/>
      <c r="BR282" s="63"/>
      <c r="BS282" s="63"/>
      <c r="BT282" s="63"/>
      <c r="BU282" s="63"/>
      <c r="BV282" s="63"/>
      <c r="BW282" s="63"/>
      <c r="BX282" s="63"/>
    </row>
    <row r="283" spans="2:91" ht="23.25" customHeight="1" outlineLevel="1" x14ac:dyDescent="0.35">
      <c r="B283" s="69" t="s">
        <v>340</v>
      </c>
      <c r="C283" s="96" t="s">
        <v>51</v>
      </c>
      <c r="D283" s="131" t="str">
        <f>IF("Ska Ingå"=D282,"Ska Ingå","")</f>
        <v/>
      </c>
      <c r="F283" s="84" t="str">
        <f t="shared" si="243"/>
        <v/>
      </c>
      <c r="G283" s="85" t="str">
        <f t="shared" ca="1" si="244"/>
        <v>HP</v>
      </c>
      <c r="H283" s="85" t="str">
        <f t="shared" ca="1" si="244"/>
        <v>Cirafon</v>
      </c>
      <c r="I283" s="85" t="str">
        <f t="shared" ca="1" si="244"/>
        <v>HP</v>
      </c>
      <c r="J283" s="54"/>
      <c r="BF283" s="63"/>
      <c r="BG283" s="63"/>
      <c r="BH283" s="63"/>
      <c r="BI283" s="63"/>
      <c r="BJ283" s="63"/>
      <c r="BK283" s="63"/>
      <c r="BL283" s="63"/>
      <c r="BM283" s="63"/>
      <c r="BN283" s="63"/>
      <c r="BO283" s="63"/>
      <c r="BP283" s="63"/>
      <c r="BQ283" s="63"/>
      <c r="BR283" s="63"/>
      <c r="BS283" s="63"/>
      <c r="BT283" s="63"/>
      <c r="BU283" s="63"/>
      <c r="BV283" s="63"/>
      <c r="BW283" s="63"/>
      <c r="BX283" s="63"/>
    </row>
    <row r="284" spans="2:91" ht="67.5" customHeight="1" outlineLevel="1" x14ac:dyDescent="0.35">
      <c r="B284" s="69" t="s">
        <v>345</v>
      </c>
      <c r="C284" s="97" t="s">
        <v>52</v>
      </c>
      <c r="D284" s="132" t="str">
        <f>IF("Ska Ingå"=D282,"Ska Ingå","")</f>
        <v/>
      </c>
      <c r="F284" s="86" t="str">
        <f t="shared" si="243"/>
        <v/>
      </c>
      <c r="G284" s="87" t="str">
        <f t="shared" ca="1" si="244"/>
        <v>GBX77E81AA</v>
      </c>
      <c r="H284" s="87" t="str">
        <f t="shared" ca="1" si="244"/>
        <v>LSN9117-11</v>
      </c>
      <c r="I284" s="87" t="str">
        <f t="shared" ca="1" si="244"/>
        <v>GBX2UW01AA</v>
      </c>
      <c r="J284" s="73"/>
      <c r="BF284" s="63"/>
      <c r="BG284" s="63"/>
      <c r="BH284" s="63"/>
      <c r="BI284" s="63"/>
      <c r="BJ284" s="63"/>
      <c r="BK284" s="63"/>
      <c r="BL284" s="63"/>
      <c r="BM284" s="63"/>
      <c r="BN284" s="63"/>
      <c r="BO284" s="63"/>
      <c r="BP284" s="63"/>
      <c r="BQ284" s="63"/>
      <c r="BR284" s="63"/>
      <c r="BS284" s="63"/>
      <c r="BT284" s="63"/>
      <c r="BU284" s="63"/>
      <c r="BV284" s="63"/>
      <c r="BW284" s="63"/>
      <c r="BX284" s="63"/>
    </row>
    <row r="285" spans="2:91" ht="23.25" customHeight="1" outlineLevel="1" x14ac:dyDescent="0.35">
      <c r="B285" s="69" t="s">
        <v>54</v>
      </c>
      <c r="C285" s="98" t="s">
        <v>77</v>
      </c>
      <c r="D285" s="70"/>
      <c r="F285" s="157" t="str">
        <f t="shared" si="243"/>
        <v/>
      </c>
      <c r="G285" s="158">
        <f t="shared" ca="1" si="244"/>
        <v>287</v>
      </c>
      <c r="H285" s="158">
        <f t="shared" ca="1" si="244"/>
        <v>123</v>
      </c>
      <c r="I285" s="158">
        <f t="shared" ca="1" si="244"/>
        <v>298</v>
      </c>
      <c r="J285" s="54"/>
      <c r="BF285" s="63"/>
      <c r="BG285" s="63"/>
      <c r="BH285" s="63"/>
      <c r="BI285" s="63"/>
      <c r="BJ285" s="63"/>
      <c r="BK285" s="63"/>
      <c r="BL285" s="63"/>
      <c r="BM285" s="63"/>
      <c r="BN285" s="63"/>
      <c r="BO285" s="63"/>
      <c r="BP285" s="63"/>
      <c r="BQ285" s="63"/>
      <c r="BR285" s="63"/>
      <c r="BS285" s="63"/>
      <c r="BT285" s="63"/>
      <c r="BU285" s="63"/>
      <c r="BV285" s="63"/>
      <c r="BW285" s="63"/>
      <c r="BX285" s="63"/>
    </row>
    <row r="286" spans="2:91" ht="23.25" customHeight="1" outlineLevel="1" x14ac:dyDescent="0.35">
      <c r="B286" s="69" t="s">
        <v>341</v>
      </c>
      <c r="C286" s="61" t="s">
        <v>51</v>
      </c>
      <c r="D286" s="131" t="str">
        <f>IF("Ska Ingå"=D285,"Ska Ingå","")</f>
        <v/>
      </c>
      <c r="F286" s="88" t="str">
        <f t="shared" si="243"/>
        <v/>
      </c>
      <c r="G286" s="89" t="str">
        <f t="shared" ca="1" si="244"/>
        <v>Kapsolo</v>
      </c>
      <c r="H286" s="89" t="str">
        <f t="shared" ca="1" si="244"/>
        <v>Cirafon</v>
      </c>
      <c r="I286" s="89" t="str">
        <f t="shared" ca="1" si="244"/>
        <v>Kapsolo</v>
      </c>
      <c r="J286" s="73"/>
      <c r="BF286" s="63"/>
      <c r="BG286" s="63"/>
      <c r="BH286" s="63"/>
      <c r="BI286" s="63"/>
      <c r="BJ286" s="63"/>
      <c r="BK286" s="63"/>
      <c r="BL286" s="63"/>
      <c r="BM286" s="63"/>
      <c r="BN286" s="63"/>
      <c r="BO286" s="63"/>
      <c r="BP286" s="63"/>
      <c r="BQ286" s="63"/>
      <c r="BR286" s="63"/>
      <c r="BS286" s="63"/>
      <c r="BT286" s="63"/>
      <c r="BU286" s="63"/>
      <c r="BV286" s="63"/>
      <c r="BW286" s="63"/>
      <c r="BX286" s="63"/>
    </row>
    <row r="287" spans="2:91" ht="68.25" customHeight="1" outlineLevel="1" x14ac:dyDescent="0.35">
      <c r="B287" s="69" t="s">
        <v>346</v>
      </c>
      <c r="C287" s="99" t="s">
        <v>52</v>
      </c>
      <c r="D287" s="132" t="str">
        <f>IF("Ska Ingå"=D285,"Ska Ingå","")</f>
        <v/>
      </c>
      <c r="F287" s="90" t="str">
        <f t="shared" si="243"/>
        <v/>
      </c>
      <c r="G287" s="91" t="str">
        <f t="shared" ca="1" si="244"/>
        <v>GBXKAP10145</v>
      </c>
      <c r="H287" s="91" t="str">
        <f t="shared" ca="1" si="244"/>
        <v>DPF11.6-9</v>
      </c>
      <c r="I287" s="91" t="str">
        <f t="shared" ca="1" si="244"/>
        <v>GBXKAP10478</v>
      </c>
      <c r="J287" s="54"/>
      <c r="BF287" s="63"/>
      <c r="BG287" s="63"/>
      <c r="BH287" s="63"/>
      <c r="BI287" s="63"/>
      <c r="BJ287" s="63"/>
      <c r="BK287" s="63"/>
      <c r="BL287" s="63"/>
      <c r="BM287" s="63"/>
      <c r="BN287" s="63"/>
      <c r="BO287" s="63"/>
      <c r="BP287" s="63"/>
      <c r="BQ287" s="63"/>
      <c r="BR287" s="63"/>
      <c r="BS287" s="63"/>
      <c r="BT287" s="63"/>
      <c r="BU287" s="63"/>
      <c r="BV287" s="63"/>
      <c r="BW287" s="63"/>
      <c r="BX287" s="63"/>
    </row>
    <row r="288" spans="2:91" ht="31.5" customHeight="1" outlineLevel="1" x14ac:dyDescent="0.35">
      <c r="B288" s="69" t="s">
        <v>55</v>
      </c>
      <c r="C288" s="95" t="s">
        <v>371</v>
      </c>
      <c r="D288" s="70"/>
      <c r="F288" s="159" t="str">
        <f t="shared" si="243"/>
        <v/>
      </c>
      <c r="G288" s="160">
        <f t="shared" ca="1" si="244"/>
        <v>240</v>
      </c>
      <c r="H288" s="160">
        <f t="shared" ca="1" si="244"/>
        <v>249</v>
      </c>
      <c r="I288" s="160">
        <f t="shared" ca="1" si="244"/>
        <v>198</v>
      </c>
      <c r="BF288" s="63"/>
      <c r="BG288" s="63"/>
      <c r="BH288" s="63"/>
      <c r="BI288" s="63"/>
      <c r="BJ288" s="63"/>
      <c r="BK288" s="63"/>
      <c r="BL288" s="63"/>
      <c r="BM288" s="63"/>
      <c r="BN288" s="63"/>
      <c r="BO288" s="63"/>
      <c r="BP288" s="63"/>
      <c r="BQ288" s="63"/>
      <c r="BR288" s="63"/>
      <c r="BS288" s="63"/>
      <c r="BT288" s="63"/>
      <c r="BU288" s="63"/>
      <c r="BV288" s="63"/>
      <c r="BW288" s="63"/>
      <c r="BX288" s="63"/>
    </row>
    <row r="289" spans="2:90" ht="23.25" customHeight="1" outlineLevel="1" x14ac:dyDescent="0.35">
      <c r="B289" s="69" t="s">
        <v>342</v>
      </c>
      <c r="C289" s="96" t="s">
        <v>51</v>
      </c>
      <c r="D289" s="131" t="str">
        <f>IF("Ska Ingå"=D288,"Ska Ingå","")</f>
        <v/>
      </c>
      <c r="F289" s="84" t="str">
        <f t="shared" si="243"/>
        <v/>
      </c>
      <c r="G289" s="85" t="str">
        <f t="shared" ca="1" si="244"/>
        <v>Dell</v>
      </c>
      <c r="H289" s="85" t="str">
        <f t="shared" ca="1" si="244"/>
        <v>HP</v>
      </c>
      <c r="I289" s="85" t="str">
        <f t="shared" ca="1" si="244"/>
        <v>HP</v>
      </c>
      <c r="BF289" s="63"/>
      <c r="BG289" s="63"/>
      <c r="BH289" s="63"/>
      <c r="BI289" s="63"/>
      <c r="BJ289" s="63"/>
      <c r="BK289" s="63"/>
      <c r="BL289" s="63"/>
      <c r="BM289" s="63"/>
      <c r="BN289" s="63"/>
      <c r="BO289" s="63"/>
      <c r="BP289" s="63"/>
      <c r="BQ289" s="63"/>
      <c r="BR289" s="63"/>
      <c r="BS289" s="63"/>
      <c r="BT289" s="63"/>
      <c r="BU289" s="63"/>
      <c r="BV289" s="63"/>
      <c r="BW289" s="63"/>
      <c r="BX289" s="63"/>
    </row>
    <row r="290" spans="2:90" ht="66.75" customHeight="1" outlineLevel="1" x14ac:dyDescent="0.35">
      <c r="B290" s="69" t="s">
        <v>347</v>
      </c>
      <c r="C290" s="97" t="s">
        <v>52</v>
      </c>
      <c r="D290" s="132" t="str">
        <f>IF("Ska Ingå"=D288,"Ska Ingå","")</f>
        <v/>
      </c>
      <c r="F290" s="86" t="str">
        <f t="shared" si="243"/>
        <v/>
      </c>
      <c r="G290" s="87" t="str">
        <f t="shared" ca="1" si="244"/>
        <v>DELL-921CW</v>
      </c>
      <c r="H290" s="87" t="str">
        <f t="shared" ca="1" si="244"/>
        <v>1MZ01AA</v>
      </c>
      <c r="I290" s="87" t="str">
        <f t="shared" ca="1" si="244"/>
        <v>GBX1HE07AA</v>
      </c>
    </row>
    <row r="291" spans="2:90" ht="23.25" customHeight="1" outlineLevel="1" x14ac:dyDescent="0.35">
      <c r="B291" s="69"/>
      <c r="C291" s="220" t="s">
        <v>365</v>
      </c>
      <c r="D291" s="220"/>
      <c r="E291" s="220"/>
      <c r="F291" s="220"/>
      <c r="G291" s="220"/>
      <c r="H291" s="220"/>
      <c r="I291" s="220"/>
    </row>
    <row r="292" spans="2:90" ht="23.25" customHeight="1" outlineLevel="1" x14ac:dyDescent="0.35">
      <c r="B292" s="71" t="s">
        <v>228</v>
      </c>
      <c r="C292" s="96" t="s">
        <v>367</v>
      </c>
      <c r="D292" s="70"/>
      <c r="F292" s="163" t="str">
        <f>IF(F$264="Inget antal angivet","",IFERROR(INDEX($AP$265:$BX$289,MATCH(F$261,$AN$265:$AN$289,0),MATCH($B292,$AP$265:$BX$265,0)),""))</f>
        <v/>
      </c>
      <c r="G292" s="164">
        <f t="shared" ref="G292:I295" ca="1" si="245">IFERROR(INDEX($AP$265:$BX$289,MATCH(G$261,$AN$265:$AN$289,0),MATCH($B292,$AP$265:$BX$265,0)),"")</f>
        <v>275</v>
      </c>
      <c r="H292" s="164">
        <f t="shared" ca="1" si="245"/>
        <v>131</v>
      </c>
      <c r="I292" s="164">
        <f t="shared" ca="1" si="245"/>
        <v>125</v>
      </c>
    </row>
    <row r="293" spans="2:90" ht="23.25" customHeight="1" outlineLevel="1" x14ac:dyDescent="0.35">
      <c r="B293" s="71" t="s">
        <v>229</v>
      </c>
      <c r="C293" s="61" t="s">
        <v>368</v>
      </c>
      <c r="D293" s="70"/>
      <c r="F293" s="165" t="str">
        <f>IF(F$264="Inget antal angivet","",IFERROR(INDEX($AP$265:$BX$289,MATCH(F$261,$AN$265:$AN$289,0),MATCH($B293,$AP$265:$BX$265,0)),""))</f>
        <v/>
      </c>
      <c r="G293" s="166">
        <f t="shared" ca="1" si="245"/>
        <v>70</v>
      </c>
      <c r="H293" s="166">
        <f t="shared" ca="1" si="245"/>
        <v>133</v>
      </c>
      <c r="I293" s="166">
        <f t="shared" ca="1" si="245"/>
        <v>70</v>
      </c>
    </row>
    <row r="294" spans="2:90" ht="23.25" customHeight="1" outlineLevel="1" x14ac:dyDescent="0.35">
      <c r="B294" s="71" t="s">
        <v>230</v>
      </c>
      <c r="C294" s="96" t="s">
        <v>369</v>
      </c>
      <c r="D294" s="70"/>
      <c r="F294" s="163" t="str">
        <f>IF(F$264="Inget antal angivet","",IFERROR(INDEX($AP$265:$BX$289,MATCH(F$261,$AN$265:$AN$289,0),MATCH($B294,$AP$265:$BX$265,0)),""))</f>
        <v/>
      </c>
      <c r="G294" s="164">
        <f t="shared" ca="1" si="245"/>
        <v>25</v>
      </c>
      <c r="H294" s="164">
        <f t="shared" ca="1" si="245"/>
        <v>20</v>
      </c>
      <c r="I294" s="164">
        <f t="shared" ca="1" si="245"/>
        <v>25</v>
      </c>
    </row>
    <row r="295" spans="2:90" ht="23.25" customHeight="1" outlineLevel="1" x14ac:dyDescent="0.35">
      <c r="B295" s="71" t="s">
        <v>231</v>
      </c>
      <c r="C295" s="61" t="s">
        <v>370</v>
      </c>
      <c r="D295" s="70"/>
      <c r="F295" s="165" t="str">
        <f>IF(F$264="Inget antal angivet","",IFERROR(INDEX($AP$265:$BX$289,MATCH(F$261,$AN$265:$AN$289,0),MATCH($B295,$AP$265:$BX$265,0)),""))</f>
        <v/>
      </c>
      <c r="G295" s="166">
        <f t="shared" ca="1" si="245"/>
        <v>25</v>
      </c>
      <c r="H295" s="166">
        <f t="shared" ca="1" si="245"/>
        <v>20</v>
      </c>
      <c r="I295" s="166">
        <f t="shared" ca="1" si="245"/>
        <v>25</v>
      </c>
    </row>
    <row r="296" spans="2:90" ht="23.25" customHeight="1" outlineLevel="1" x14ac:dyDescent="0.35"/>
    <row r="297" spans="2:90" ht="23.25" customHeight="1" collapsed="1" x14ac:dyDescent="0.35"/>
    <row r="298" spans="2:90" ht="23.25" customHeight="1" x14ac:dyDescent="0.35">
      <c r="D298" s="72" t="s">
        <v>233</v>
      </c>
      <c r="E298" s="1"/>
      <c r="F298" s="221" t="s">
        <v>252</v>
      </c>
      <c r="G298" s="221"/>
      <c r="H298" s="221"/>
      <c r="I298" s="222"/>
    </row>
    <row r="299" spans="2:90" ht="23.25" customHeight="1" x14ac:dyDescent="0.35">
      <c r="D299" s="74"/>
      <c r="F299" s="202" t="str">
        <f ca="1">IFERROR(INDEX($Y$266:$Y$277,MATCH(F261,$Z$266:$Z$277,0)) *D299,"")</f>
        <v/>
      </c>
      <c r="G299" s="202">
        <f ca="1">IFERROR(P266 *D299,"")</f>
        <v>0</v>
      </c>
      <c r="H299" s="202">
        <f ca="1">IFERROR(P267 *D299,"")</f>
        <v>0</v>
      </c>
      <c r="I299" s="202">
        <f ca="1">IFERROR(P268 * D299,"")</f>
        <v>0</v>
      </c>
    </row>
    <row r="301" spans="2:90" ht="15" thickBot="1" x14ac:dyDescent="0.4">
      <c r="C301" s="174"/>
      <c r="D301" s="174"/>
      <c r="E301" s="174"/>
      <c r="F301" s="174"/>
      <c r="G301" s="174"/>
      <c r="H301" s="174"/>
      <c r="I301" s="174"/>
    </row>
    <row r="302" spans="2:90" ht="15" thickTop="1" x14ac:dyDescent="0.35"/>
    <row r="304" spans="2:90" ht="68.25" hidden="1" customHeight="1" collapsed="1" x14ac:dyDescent="0.35">
      <c r="C304" s="53"/>
      <c r="D304" s="53"/>
      <c r="F304" s="50" t="e">
        <f ca="1">N308</f>
        <v>#N/A</v>
      </c>
      <c r="G304" s="50" t="str">
        <f ca="1">INDEX(Z309:Z332,MATCH(P309,Y309:Y332,0))</f>
        <v>Offererad produktnr. 05Qlosr Göteborg AB</v>
      </c>
      <c r="H304" s="50" t="str">
        <f ca="1">INDEX(Z308:Z331,MATCH(P310,Y308:Y331,0))</f>
        <v>Offererad produktnr. 05Dustin Sverige AB</v>
      </c>
      <c r="I304" s="50" t="str">
        <f ca="1">INDEX(Z308:Z331,MATCH(P311,Y308:Y331,0))</f>
        <v>Offererad produktnr. 06Qlosr Göteborg AB</v>
      </c>
      <c r="AP304" s="12" t="s">
        <v>124</v>
      </c>
      <c r="AQ304" s="12" t="s">
        <v>124</v>
      </c>
      <c r="AR304" s="12" t="s">
        <v>124</v>
      </c>
      <c r="AS304" s="12" t="s">
        <v>124</v>
      </c>
      <c r="AT304" s="12" t="s">
        <v>124</v>
      </c>
      <c r="AU304" s="12" t="s">
        <v>124</v>
      </c>
      <c r="AV304" s="12" t="s">
        <v>124</v>
      </c>
      <c r="AW304" s="12" t="s">
        <v>124</v>
      </c>
      <c r="AX304" s="12" t="s">
        <v>124</v>
      </c>
      <c r="AY304" s="12" t="s">
        <v>124</v>
      </c>
      <c r="AZ304" s="12" t="s">
        <v>124</v>
      </c>
      <c r="BA304" s="12" t="s">
        <v>124</v>
      </c>
      <c r="BB304" s="12" t="s">
        <v>124</v>
      </c>
      <c r="BC304" s="12" t="s">
        <v>124</v>
      </c>
      <c r="BD304" s="12" t="s">
        <v>124</v>
      </c>
      <c r="BE304" s="12" t="s">
        <v>124</v>
      </c>
      <c r="BF304" s="12" t="s">
        <v>124</v>
      </c>
      <c r="BG304" s="12" t="s">
        <v>124</v>
      </c>
      <c r="BH304" s="12" t="s">
        <v>124</v>
      </c>
      <c r="BI304" s="12" t="s">
        <v>124</v>
      </c>
      <c r="BJ304" s="12" t="s">
        <v>124</v>
      </c>
      <c r="BK304" s="12" t="s">
        <v>124</v>
      </c>
      <c r="BL304" s="12" t="s">
        <v>124</v>
      </c>
      <c r="BM304" s="12" t="s">
        <v>124</v>
      </c>
      <c r="BN304" s="12" t="s">
        <v>124</v>
      </c>
      <c r="BO304" s="12" t="s">
        <v>124</v>
      </c>
      <c r="BP304" s="12" t="s">
        <v>124</v>
      </c>
      <c r="BQ304" s="12" t="s">
        <v>124</v>
      </c>
      <c r="BR304" s="12" t="s">
        <v>124</v>
      </c>
      <c r="BS304" s="12" t="s">
        <v>124</v>
      </c>
      <c r="BT304" s="12" t="s">
        <v>124</v>
      </c>
      <c r="BU304" s="12"/>
      <c r="BV304" s="12"/>
      <c r="BW304" s="12" t="s">
        <v>124</v>
      </c>
      <c r="BX304" s="12" t="s">
        <v>124</v>
      </c>
      <c r="BY304" s="12"/>
      <c r="BZ304" s="12"/>
      <c r="CA304" s="12"/>
      <c r="CB304" s="12"/>
      <c r="CC304" s="12"/>
      <c r="CD304" s="12"/>
      <c r="CE304" s="12"/>
      <c r="CF304" s="12"/>
      <c r="CG304" s="12"/>
      <c r="CH304" s="12"/>
      <c r="CI304" s="12"/>
      <c r="CJ304" s="12"/>
      <c r="CK304" s="12"/>
      <c r="CL304" s="12"/>
    </row>
    <row r="305" spans="2:91" ht="26.25" customHeight="1" thickBot="1" x14ac:dyDescent="0.4">
      <c r="C305" s="53"/>
      <c r="D305" s="53"/>
      <c r="F305" s="140" t="s">
        <v>446</v>
      </c>
      <c r="G305" s="205" t="s">
        <v>447</v>
      </c>
      <c r="H305" s="205"/>
      <c r="I305" s="205"/>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row>
    <row r="306" spans="2:91" ht="22.5" customHeight="1" thickBot="1" x14ac:dyDescent="0.4">
      <c r="B306" t="str">
        <f ca="1" xml:space="preserve"> "Produkt "  &amp; B307</f>
        <v>Produkt 8</v>
      </c>
      <c r="C306" s="206" t="str">
        <f>IF(F307="Ingen produkt motsvarar","Felmeddelande",IF(COUNTIF(P$1:$P$6,TRUE)&gt;0,"","Felmeddelande"))</f>
        <v/>
      </c>
      <c r="D306" s="207"/>
      <c r="F306" s="218" t="s">
        <v>271</v>
      </c>
      <c r="G306" s="218"/>
      <c r="H306" s="218"/>
      <c r="I306" s="219"/>
      <c r="O306">
        <v>1</v>
      </c>
      <c r="AH306" t="s">
        <v>241</v>
      </c>
      <c r="AP306" s="13" t="str">
        <f t="shared" ref="AP306:BD306" si="246">AP308</f>
        <v>Upplösning</v>
      </c>
      <c r="AQ306" s="13" t="str">
        <f t="shared" si="246"/>
        <v>Processor</v>
      </c>
      <c r="AR306" s="13" t="str">
        <f t="shared" si="246"/>
        <v>Internminne (GB)</v>
      </c>
      <c r="AS306" s="13" t="str">
        <f t="shared" si="246"/>
        <v>Hårddisk</v>
      </c>
      <c r="AT306" s="13" t="str">
        <f t="shared" si="246"/>
        <v>Skärmstorlek (tum)</v>
      </c>
      <c r="AU306" s="13" t="str">
        <f t="shared" si="246"/>
        <v>Portar USB</v>
      </c>
      <c r="AV306" s="13" t="str">
        <f t="shared" si="246"/>
        <v>Portar USB C</v>
      </c>
      <c r="AW306" s="13" t="str">
        <f t="shared" si="246"/>
        <v>Portar HDMI/Display</v>
      </c>
      <c r="AX306" s="13" t="str">
        <f t="shared" si="246"/>
        <v>Kommunikation WLAN</v>
      </c>
      <c r="AY306" s="13" t="str">
        <f t="shared" si="246"/>
        <v>Kommunikation Bluetooth</v>
      </c>
      <c r="AZ306" s="13" t="str">
        <f t="shared" si="246"/>
        <v>Batteritid (tim)</v>
      </c>
      <c r="BA306" s="13" t="str">
        <f t="shared" si="246"/>
        <v>Energiprestanda</v>
      </c>
      <c r="BB306" s="13" t="str">
        <f t="shared" si="246"/>
        <v>Låsskydd</v>
      </c>
      <c r="BC306" s="13" t="str">
        <f t="shared" si="246"/>
        <v>Operativsystem</v>
      </c>
      <c r="BD306" s="13" t="str">
        <f t="shared" si="246"/>
        <v>Modellbenämning</v>
      </c>
      <c r="BE306" t="s">
        <v>224</v>
      </c>
      <c r="BF306" s="56" t="s">
        <v>53</v>
      </c>
      <c r="BG306" s="56" t="s">
        <v>54</v>
      </c>
      <c r="BH306" s="56" t="s">
        <v>55</v>
      </c>
      <c r="BI306" s="57" t="s">
        <v>228</v>
      </c>
      <c r="BJ306" s="57" t="s">
        <v>229</v>
      </c>
      <c r="BK306" s="57" t="s">
        <v>230</v>
      </c>
      <c r="BL306" s="57" t="s">
        <v>231</v>
      </c>
      <c r="BM306" s="57" t="s">
        <v>340</v>
      </c>
      <c r="BN306" s="57" t="s">
        <v>341</v>
      </c>
      <c r="BO306" s="57" t="s">
        <v>342</v>
      </c>
      <c r="BP306" s="57" t="s">
        <v>343</v>
      </c>
      <c r="BQ306" s="57" t="s">
        <v>345</v>
      </c>
      <c r="BR306" s="57" t="s">
        <v>346</v>
      </c>
      <c r="BS306" s="57" t="s">
        <v>347</v>
      </c>
      <c r="BT306" s="57" t="s">
        <v>348</v>
      </c>
      <c r="BU306" s="57"/>
      <c r="BV306" s="57"/>
      <c r="BW306" s="57" t="s">
        <v>6</v>
      </c>
      <c r="BX306" s="4" t="s">
        <v>51</v>
      </c>
      <c r="BY306" s="13"/>
      <c r="BZ306" s="13"/>
      <c r="CA306" s="13"/>
      <c r="CB306" s="13"/>
      <c r="CC306" s="13"/>
      <c r="CD306" s="13"/>
      <c r="CE306" s="13"/>
      <c r="CF306" s="13"/>
      <c r="CG306" s="13"/>
      <c r="CH306" s="13"/>
      <c r="CI306" s="13"/>
      <c r="CJ306" s="13"/>
      <c r="CK306" s="13"/>
      <c r="CL306" s="13"/>
    </row>
    <row r="307" spans="2:91" ht="22.5" customHeight="1" x14ac:dyDescent="0.35">
      <c r="B307">
        <f ca="1">COUNTIF($F$7:F310,"Produkt I varukorg*")</f>
        <v>8</v>
      </c>
      <c r="F307" s="51" t="str">
        <f>IF(D342&lt;1,"Inget antal angivet",IFERROR(INDEX($Y$309:$Y$320,MATCH(F304,$Z$309:$Z$320,0)),"Ingen produkt motsvarar"))</f>
        <v>Inget antal angivet</v>
      </c>
      <c r="G307" s="52">
        <f ca="1">IFERROR(P309,"Ingen produkt motsvarar")</f>
        <v>2950</v>
      </c>
      <c r="H307" s="52">
        <f ca="1">IFERROR(P310,"")</f>
        <v>3415</v>
      </c>
      <c r="I307" s="52">
        <f ca="1">IFERROR(P311,"")</f>
        <v>3610</v>
      </c>
      <c r="Z307" t="str">
        <f>IF(COUNTIF(AA307:AI307,FALSE)&gt;0,AN307,"")</f>
        <v/>
      </c>
      <c r="AN307" t="s">
        <v>126</v>
      </c>
      <c r="AP307" s="58" t="str">
        <f t="shared" ref="AP307:BT307" ca="1" si="247">IFERROR(INDEX(INDIRECT(AP$304&amp;"!$A$10:CC100000"),MATCH($AN307,INDIRECT(AP$304&amp;"!BH$10:BH100000"),0),MATCH(AP$306,INDIRECT(AP$304&amp;"!a10:CC10"),0)),"False")</f>
        <v>False</v>
      </c>
      <c r="AQ307" s="58" t="str">
        <f t="shared" ca="1" si="247"/>
        <v>False</v>
      </c>
      <c r="AR307" s="58" t="str">
        <f t="shared" ca="1" si="247"/>
        <v>False</v>
      </c>
      <c r="AS307" s="58" t="str">
        <f t="shared" ca="1" si="247"/>
        <v>False</v>
      </c>
      <c r="AT307" s="58" t="str">
        <f t="shared" ca="1" si="247"/>
        <v>False</v>
      </c>
      <c r="AU307" s="58" t="str">
        <f t="shared" ca="1" si="247"/>
        <v>False</v>
      </c>
      <c r="AV307" s="58" t="str">
        <f t="shared" ca="1" si="247"/>
        <v>False</v>
      </c>
      <c r="AW307" s="58" t="str">
        <f t="shared" ca="1" si="247"/>
        <v>False</v>
      </c>
      <c r="AX307" s="58" t="str">
        <f t="shared" ca="1" si="247"/>
        <v>False</v>
      </c>
      <c r="AY307" s="58" t="str">
        <f t="shared" ca="1" si="247"/>
        <v>False</v>
      </c>
      <c r="AZ307" s="58" t="str">
        <f t="shared" ca="1" si="247"/>
        <v>False</v>
      </c>
      <c r="BA307" s="58" t="str">
        <f t="shared" ca="1" si="247"/>
        <v>False</v>
      </c>
      <c r="BB307" s="58" t="str">
        <f t="shared" ca="1" si="247"/>
        <v>False</v>
      </c>
      <c r="BC307" s="58" t="str">
        <f t="shared" ca="1" si="247"/>
        <v>False</v>
      </c>
      <c r="BD307" s="58" t="str">
        <f t="shared" ca="1" si="247"/>
        <v>False</v>
      </c>
      <c r="BE307" s="58" t="str">
        <f t="shared" ca="1" si="247"/>
        <v>False</v>
      </c>
      <c r="BF307" s="58" t="str">
        <f t="shared" ca="1" si="247"/>
        <v>False</v>
      </c>
      <c r="BG307" s="58" t="str">
        <f t="shared" ca="1" si="247"/>
        <v>False</v>
      </c>
      <c r="BH307" s="58" t="str">
        <f t="shared" ca="1" si="247"/>
        <v>False</v>
      </c>
      <c r="BI307" s="58" t="str">
        <f t="shared" ca="1" si="247"/>
        <v>False</v>
      </c>
      <c r="BJ307" s="58" t="str">
        <f t="shared" ca="1" si="247"/>
        <v>False</v>
      </c>
      <c r="BK307" s="58" t="str">
        <f t="shared" ca="1" si="247"/>
        <v>False</v>
      </c>
      <c r="BL307" s="58" t="str">
        <f t="shared" ca="1" si="247"/>
        <v>False</v>
      </c>
      <c r="BM307" s="58" t="str">
        <f t="shared" ca="1" si="247"/>
        <v>False</v>
      </c>
      <c r="BN307" s="58" t="str">
        <f t="shared" ca="1" si="247"/>
        <v>False</v>
      </c>
      <c r="BO307" s="58" t="str">
        <f t="shared" ca="1" si="247"/>
        <v>False</v>
      </c>
      <c r="BP307" s="58" t="str">
        <f t="shared" ca="1" si="247"/>
        <v>False</v>
      </c>
      <c r="BQ307" s="58" t="str">
        <f t="shared" ca="1" si="247"/>
        <v>False</v>
      </c>
      <c r="BR307" s="58" t="str">
        <f t="shared" ca="1" si="247"/>
        <v>False</v>
      </c>
      <c r="BS307" s="58" t="str">
        <f t="shared" ca="1" si="247"/>
        <v>False</v>
      </c>
      <c r="BT307" s="58" t="str">
        <f t="shared" ca="1" si="247"/>
        <v>False</v>
      </c>
      <c r="BU307" s="58"/>
      <c r="BV307" s="58"/>
      <c r="BW307" s="58" t="str">
        <f ca="1">IFERROR(INDEX(INDIRECT(BW$304&amp;"!$A$10:CC100000"),MATCH($AN307,INDIRECT(BW$304&amp;"!BH$10:BH100000"),0),MATCH(BW$306,INDIRECT(BW$304&amp;"!a10:CC10"),0)),"False")</f>
        <v>False</v>
      </c>
      <c r="BX307" s="58" t="str">
        <f ca="1">IFERROR(INDEX(INDIRECT(BX$304&amp;"!$A$10:CC100000"),MATCH($AN307,INDIRECT(BX$304&amp;"!BH$10:BH100000"),0),MATCH(BX$306,INDIRECT(BX$304&amp;"!a10:CC10"),0)),"False")</f>
        <v>False</v>
      </c>
      <c r="BY307" s="58"/>
      <c r="BZ307" s="58"/>
      <c r="CA307" s="58"/>
      <c r="CB307" s="58"/>
      <c r="CC307" s="58"/>
      <c r="CD307" s="58"/>
      <c r="CE307" s="58"/>
      <c r="CF307" s="58"/>
      <c r="CG307" s="58"/>
      <c r="CH307" s="58"/>
      <c r="CI307" s="58"/>
      <c r="CJ307" s="58"/>
      <c r="CK307" s="58"/>
      <c r="CL307" s="58"/>
    </row>
    <row r="308" spans="2:91" ht="22.5" customHeight="1" x14ac:dyDescent="0.35">
      <c r="C308" s="210" t="str">
        <f ca="1" xml:space="preserve"> "Bärbar dator (B) "  &amp; RIGHT("00" &amp; B307,2)</f>
        <v>Bärbar dator (B) 08</v>
      </c>
      <c r="D308" s="211"/>
      <c r="F308" s="92" t="str">
        <f>IF(F307="Inget antal angivet","",IFERROR(INDEX($AP$308:$BX$332,MATCH(F$304,$AN$308:$AN$332,0),MATCH("Modellbenämning",$AP$308:$BX$308,0)),""))</f>
        <v/>
      </c>
      <c r="G308" s="92" t="str">
        <f ca="1">IFERROR(INDEX($AP$308:$BX$332,MATCH(G$304,$AN$308:$AN$332,0),MATCH("Modellbenämning",$AP$308:$BX$308,0)),"")</f>
        <v>Chromebook 3110</v>
      </c>
      <c r="H308" s="92" t="str">
        <f ca="1">IFERROR(INDEX($AP$308:$BX$332,MATCH(H$304,$AN$308:$AN$332,0),MATCH("Modellbenämning",$AP$308:$BX$308,0)),"")</f>
        <v>ChromeBook 11 G9 EE</v>
      </c>
      <c r="I308" s="92" t="str">
        <f ca="1">IFERROR(INDEX($AP$308:$BX$332,MATCH(I$304,$AN$308:$AN$332,0),MATCH("Modellbenämning",$AP$308:$BX$308,0)),"")</f>
        <v>Chromebook 14 G7</v>
      </c>
      <c r="J308" s="93"/>
      <c r="K308" s="92"/>
      <c r="L308" s="92"/>
      <c r="M308" s="92"/>
      <c r="N308" s="92" t="e">
        <f ca="1">INDEX($N$309:$N$314,MATCH(Överblick!$L$2,$M$309:$M$314,0))</f>
        <v>#N/A</v>
      </c>
      <c r="O308" s="92"/>
      <c r="P308" s="92"/>
      <c r="Q308" s="92"/>
      <c r="R308" s="92">
        <v>1</v>
      </c>
      <c r="S308" s="92">
        <v>2</v>
      </c>
      <c r="T308" s="92">
        <v>3</v>
      </c>
      <c r="U308" s="92">
        <v>5</v>
      </c>
      <c r="V308" s="92">
        <v>6</v>
      </c>
      <c r="W308" s="92">
        <v>7</v>
      </c>
      <c r="X308" s="92">
        <v>8</v>
      </c>
      <c r="Y308" s="92"/>
      <c r="Z308" s="92" t="s">
        <v>122</v>
      </c>
      <c r="AA308" s="92" t="s">
        <v>2</v>
      </c>
      <c r="AB308" s="92" t="s">
        <v>4</v>
      </c>
      <c r="AC308" s="92" t="s">
        <v>119</v>
      </c>
      <c r="AD308" s="92" t="s">
        <v>16</v>
      </c>
      <c r="AE308" s="92" t="s">
        <v>7</v>
      </c>
      <c r="AF308" s="92" t="s">
        <v>67</v>
      </c>
      <c r="AG308" s="92" t="s">
        <v>74</v>
      </c>
      <c r="AH308" s="92" t="s">
        <v>103</v>
      </c>
      <c r="AI308" s="92" t="s">
        <v>75</v>
      </c>
      <c r="AJ308" s="92" t="s">
        <v>38</v>
      </c>
      <c r="AK308" s="92"/>
      <c r="AL308" s="92"/>
      <c r="AM308" s="92"/>
      <c r="AN308" s="92" t="s">
        <v>222</v>
      </c>
      <c r="AO308" s="92">
        <v>1</v>
      </c>
      <c r="AP308" s="92" t="s">
        <v>2</v>
      </c>
      <c r="AQ308" s="92" t="s">
        <v>4</v>
      </c>
      <c r="AR308" s="92" t="s">
        <v>119</v>
      </c>
      <c r="AS308" s="92" t="s">
        <v>16</v>
      </c>
      <c r="AT308" s="92" t="s">
        <v>7</v>
      </c>
      <c r="AU308" s="92" t="s">
        <v>67</v>
      </c>
      <c r="AV308" s="92" t="s">
        <v>74</v>
      </c>
      <c r="AW308" s="92" t="s">
        <v>97</v>
      </c>
      <c r="AX308" s="92" t="s">
        <v>103</v>
      </c>
      <c r="AY308" s="92" t="s">
        <v>75</v>
      </c>
      <c r="AZ308" s="92" t="s">
        <v>120</v>
      </c>
      <c r="BA308" s="92" t="s">
        <v>38</v>
      </c>
      <c r="BB308" s="92" t="s">
        <v>37</v>
      </c>
      <c r="BC308" s="92" t="s">
        <v>3</v>
      </c>
      <c r="BD308" s="92" t="s">
        <v>52</v>
      </c>
      <c r="BE308" s="92" t="s">
        <v>25</v>
      </c>
      <c r="BF308" s="92" t="s">
        <v>53</v>
      </c>
      <c r="BG308" s="92" t="s">
        <v>54</v>
      </c>
      <c r="BH308" s="92" t="s">
        <v>55</v>
      </c>
      <c r="BI308" s="92" t="s">
        <v>228</v>
      </c>
      <c r="BJ308" s="92" t="s">
        <v>229</v>
      </c>
      <c r="BK308" s="92" t="s">
        <v>230</v>
      </c>
      <c r="BL308" s="92" t="s">
        <v>231</v>
      </c>
      <c r="BM308" s="92" t="s">
        <v>340</v>
      </c>
      <c r="BN308" s="92" t="s">
        <v>341</v>
      </c>
      <c r="BO308" s="92" t="s">
        <v>342</v>
      </c>
      <c r="BP308" s="92" t="s">
        <v>343</v>
      </c>
      <c r="BQ308" s="92" t="s">
        <v>345</v>
      </c>
      <c r="BR308" s="92" t="s">
        <v>346</v>
      </c>
      <c r="BS308" s="92" t="s">
        <v>347</v>
      </c>
      <c r="BT308" s="92" t="s">
        <v>348</v>
      </c>
      <c r="BU308" s="92"/>
      <c r="BV308" s="92"/>
      <c r="BW308" s="92" t="s">
        <v>6</v>
      </c>
      <c r="BX308" s="92" t="s">
        <v>51</v>
      </c>
      <c r="BY308" s="92" t="s">
        <v>2</v>
      </c>
      <c r="BZ308" s="92" t="s">
        <v>4</v>
      </c>
      <c r="CA308" s="92" t="s">
        <v>119</v>
      </c>
      <c r="CB308" s="92" t="s">
        <v>16</v>
      </c>
      <c r="CC308" s="92" t="s">
        <v>7</v>
      </c>
      <c r="CD308" s="92" t="s">
        <v>67</v>
      </c>
      <c r="CE308" s="92" t="s">
        <v>74</v>
      </c>
      <c r="CF308" s="92" t="s">
        <v>75</v>
      </c>
      <c r="CG308" s="92" t="s">
        <v>75</v>
      </c>
      <c r="CH308" s="92" t="s">
        <v>120</v>
      </c>
      <c r="CI308" s="92" t="s">
        <v>38</v>
      </c>
      <c r="CJ308" s="92" t="s">
        <v>37</v>
      </c>
      <c r="CK308" s="92" t="s">
        <v>3</v>
      </c>
      <c r="CL308" s="92"/>
      <c r="CM308" s="92"/>
    </row>
    <row r="309" spans="2:91" ht="22.5" customHeight="1" outlineLevel="1" x14ac:dyDescent="0.35">
      <c r="C309" s="210" t="s">
        <v>261</v>
      </c>
      <c r="D309" s="211"/>
      <c r="F309" s="76" t="str">
        <f>IF(F307="Inget antal angivet","",IFERROR(INDEX($AP$308:$BX$332,MATCH(F$304,$AN$308:$AN$332,0),MATCH("Varumärke",$AP$308:$BX$308,0)),""))</f>
        <v/>
      </c>
      <c r="G309" s="77" t="str">
        <f ca="1">IFERROR(INDEX($AP$308:$BX$332,MATCH(G$304,$AN$308:$AN$332,0),MATCH("Varumärke",$AP$308:$BX$308,0)),"")</f>
        <v>Dell</v>
      </c>
      <c r="H309" s="77" t="str">
        <f ca="1">IFERROR(INDEX($AP$308:$BX$332,MATCH(H$304,$AN$308:$AN$332,0),MATCH("Varumärke",$AP$308:$BX$308,0)),"")</f>
        <v>HP</v>
      </c>
      <c r="I309" s="119" t="str">
        <f ca="1">IFERROR(INDEX($AP$308:$BX$332,MATCH(I$304,$AN$308:$AN$332,0),MATCH("Varumärke",$AP$308:$BX$308,0)),"")</f>
        <v>HP</v>
      </c>
      <c r="K309" s="185">
        <f t="shared" ref="K309:K314" ca="1" si="248">O309*$D$342</f>
        <v>0</v>
      </c>
      <c r="L309" s="185" t="b">
        <f t="shared" ref="L309:L314" si="249">IF($D$342=0,TRUE,IF(K309=0,FALSE,TRUE))</f>
        <v>1</v>
      </c>
      <c r="M309" s="185" t="s">
        <v>162</v>
      </c>
      <c r="N309" s="185" t="str">
        <f t="shared" ref="N309:N314" ca="1" si="250">INDEX($Z$309:$Z$320,MATCH(O309,$Y$309:$Y$320,0))</f>
        <v>Offererad produktnr. 05Advania Sverige AB</v>
      </c>
      <c r="O309" s="185" cm="1">
        <f t="array" aca="1" ref="O309" ca="1">MIN(IF(($BW$309:$BW$330=M309)*($AO$309:$AO$330=$O$306),$Y$309:$Y$330))</f>
        <v>3996</v>
      </c>
      <c r="P309" s="197">
        <f ca="1">SMALL($Y$309:$Y$332,1)</f>
        <v>2950</v>
      </c>
      <c r="Q309" s="185">
        <f t="shared" ref="Q309:Q318" si="251">SUM(R309:X309)</f>
        <v>0</v>
      </c>
      <c r="R309" s="185">
        <f t="shared" ref="R309:R318" si="252">IF($D$325="",0,BF309)</f>
        <v>0</v>
      </c>
      <c r="S309" s="185">
        <f t="shared" ref="S309:S318" si="253">IF($D$328="",0,BG309)</f>
        <v>0</v>
      </c>
      <c r="T309" s="185">
        <f t="shared" ref="T309:T318" si="254">IF($D$331="",0,BH309)</f>
        <v>0</v>
      </c>
      <c r="U309" s="185">
        <f t="shared" ref="U309:U318" si="255">IF($D$335="",0,BI309)</f>
        <v>0</v>
      </c>
      <c r="V309" s="185">
        <f t="shared" ref="V309:V318" si="256">IF($D$336="",0,BJ309)</f>
        <v>0</v>
      </c>
      <c r="W309" s="185">
        <f t="shared" ref="W309:W318" si="257">IF($D$337="",0,BK309)</f>
        <v>0</v>
      </c>
      <c r="X309" s="185">
        <f t="shared" ref="X309:X318" si="258">IF($D$338="",0,BL309)</f>
        <v>0</v>
      </c>
      <c r="Y309" s="185">
        <f t="shared" ref="Y309:Y318" ca="1" si="259">IF(Z309="","",SUM(BE309,R309:X309))</f>
        <v>3996</v>
      </c>
      <c r="Z309" s="185" t="str">
        <f t="shared" ref="Z309:Z318" si="260">IF(COUNTIF(AA309:AM309,FALSE)&gt;0,"",AN309)</f>
        <v>Offererad produktnr. 05Advania Sverige AB</v>
      </c>
      <c r="AA309" s="185" t="b">
        <f t="shared" ref="AA309:AA318" si="261">IF(" 1366x768"=$D$312,TRUE,IF($D$312=0,TRUE,IF($D$312=AP309,TRUE,FALSE)))</f>
        <v>1</v>
      </c>
      <c r="AB309" s="185" t="b">
        <f t="shared" ref="AB309:AB318" si="262">IF($D$313="",TRUE,IF(AQ309=$D$313,TRUE,FALSE))</f>
        <v>1</v>
      </c>
      <c r="AC309" s="185" t="b">
        <f t="shared" ref="AC309:AC318" si="263">IF($D$314="",TRUE,IF(AR309&gt;=$D$314,TRUE,FALSE))</f>
        <v>1</v>
      </c>
      <c r="AD309" s="185" t="b">
        <f t="shared" ref="AD309:AD318" si="264">IF($D$315="",TRUE,IF(AS309&gt;=$D$315,TRUE,FALSE))</f>
        <v>1</v>
      </c>
      <c r="AE309" s="185" t="b">
        <f>IF($D$311="",TRUE,IF(COUNTIF(Processor!$I$2:$I$9,$D$311)&gt;0,AND(AT309&gt;INDEX(Processor!$J$2:$J$9,MATCH($D$311,Processor!$I$2:$I$9,0)),AT309&lt;INDEX(Processor!$K$2:$K$9,MATCH($D$311,Processor!$I$2:$I$9,0))),IF(AT309=$D$311,TRUE,FALSE)))</f>
        <v>1</v>
      </c>
      <c r="AF309" s="185" t="b">
        <f t="shared" ref="AF309:AF318" si="265">IF($D$316="",TRUE,IF(AU309&gt;=$D$316,TRUE,FALSE))</f>
        <v>1</v>
      </c>
      <c r="AG309" s="185" t="b">
        <f t="shared" ref="AG309:AG318" si="266">IF($D$317="",TRUE,IF(AV309&gt;=$D$317,TRUE,FALSE))</f>
        <v>1</v>
      </c>
      <c r="AH309" s="185" t="b">
        <f t="shared" ref="AH309:AH318" si="267">IF($D$318="",TRUE,IF($D$318="802.11a/b/g/n/ac",TRUE,IF(AX309&gt;=$D$318,TRUE,FALSE)))</f>
        <v>1</v>
      </c>
      <c r="AI309" s="185" t="b">
        <f t="shared" ref="AI309:AI318" si="268">IF($D$319="",TRUE,IF(AY309&gt;=$D$319,TRUE,FALSE))</f>
        <v>1</v>
      </c>
      <c r="AJ309" s="185" t="b">
        <f>IFERROR(IF($D321="",TRUE,IF(MID(BA309,LEN(BA309)-2,1)*1&gt;=MID($D321,LEN($D321)-2,1)*1,TRUE,FALSE)),FALSE)</f>
        <v>1</v>
      </c>
      <c r="AK309" s="185"/>
      <c r="AL309" s="185"/>
      <c r="AM309" s="185"/>
      <c r="AN309" s="185" t="s">
        <v>202</v>
      </c>
      <c r="AO309" s="185">
        <v>1</v>
      </c>
      <c r="AP309" s="185" t="str">
        <f t="shared" ref="AP309:AY318" ca="1" si="269">IFERROR(INDEX(INDIRECT(AP$304&amp;"!$A$10:CC100000"),MATCH($AN309,INDIRECT(AP$304&amp;"!BH$10:BH100000"),0),MATCH(AP$306,INDIRECT(AP$304&amp;"!a10:CC10"),0)),"False")</f>
        <v>1366x768</v>
      </c>
      <c r="AQ309" s="185" t="str">
        <f t="shared" ca="1" si="269"/>
        <v>Intel Celeron</v>
      </c>
      <c r="AR309" s="185">
        <f t="shared" ca="1" si="269"/>
        <v>4</v>
      </c>
      <c r="AS309" s="185">
        <f t="shared" ca="1" si="269"/>
        <v>32</v>
      </c>
      <c r="AT309" s="185">
        <f t="shared" ca="1" si="269"/>
        <v>11.6</v>
      </c>
      <c r="AU309" s="185">
        <f t="shared" ca="1" si="269"/>
        <v>3</v>
      </c>
      <c r="AV309" s="185">
        <f t="shared" ca="1" si="269"/>
        <v>1</v>
      </c>
      <c r="AW309" s="185">
        <f t="shared" ca="1" si="269"/>
        <v>0</v>
      </c>
      <c r="AX309" s="185" t="str">
        <f t="shared" ca="1" si="269"/>
        <v>802.11a/b/g/n/ac</v>
      </c>
      <c r="AY309" s="185">
        <f t="shared" ca="1" si="269"/>
        <v>5</v>
      </c>
      <c r="AZ309" s="185">
        <f t="shared" ref="AZ309:BI318" ca="1" si="270">IFERROR(INDEX(INDIRECT(AZ$304&amp;"!$A$10:CC100000"),MATCH($AN309,INDIRECT(AZ$304&amp;"!BH$10:BH100000"),0),MATCH(AZ$306,INDIRECT(AZ$304&amp;"!a10:CC10"),0)),"False")</f>
        <v>11</v>
      </c>
      <c r="BA309" s="185" t="str">
        <f t="shared" ca="1" si="270"/>
        <v>Version 8.0</v>
      </c>
      <c r="BB309" s="185" t="str">
        <f t="shared" ca="1" si="270"/>
        <v>Ja</v>
      </c>
      <c r="BC309" s="185" t="str">
        <f t="shared" ca="1" si="270"/>
        <v>Google Chrome OS</v>
      </c>
      <c r="BD309" s="185" t="str">
        <f t="shared" ca="1" si="270"/>
        <v>ChromeBook 11 G9 EE</v>
      </c>
      <c r="BE309" s="185">
        <f t="shared" ca="1" si="270"/>
        <v>3996</v>
      </c>
      <c r="BF309" s="192">
        <f t="shared" ca="1" si="270"/>
        <v>64</v>
      </c>
      <c r="BG309" s="192">
        <f t="shared" ca="1" si="270"/>
        <v>213</v>
      </c>
      <c r="BH309" s="192">
        <f t="shared" ca="1" si="270"/>
        <v>251</v>
      </c>
      <c r="BI309" s="192">
        <f t="shared" ca="1" si="270"/>
        <v>594</v>
      </c>
      <c r="BJ309" s="192">
        <f t="shared" ref="BJ309:BT318" ca="1" si="271">IFERROR(INDEX(INDIRECT(BJ$304&amp;"!$A$10:CC100000"),MATCH($AN309,INDIRECT(BJ$304&amp;"!BH$10:BH100000"),0),MATCH(BJ$306,INDIRECT(BJ$304&amp;"!a10:CC10"),0)),"False")</f>
        <v>112</v>
      </c>
      <c r="BK309" s="192">
        <f t="shared" ca="1" si="271"/>
        <v>50</v>
      </c>
      <c r="BL309" s="192">
        <f t="shared" ca="1" si="271"/>
        <v>50</v>
      </c>
      <c r="BM309" s="192" t="str">
        <f t="shared" ca="1" si="271"/>
        <v>V7</v>
      </c>
      <c r="BN309" s="192" t="str">
        <f t="shared" ca="1" si="271"/>
        <v>PORT Designs</v>
      </c>
      <c r="BO309" s="192" t="str">
        <f t="shared" ca="1" si="271"/>
        <v>CoreParts</v>
      </c>
      <c r="BP309" s="192">
        <f t="shared" ca="1" si="271"/>
        <v>0</v>
      </c>
      <c r="BQ309" s="192" t="str">
        <f t="shared" ca="1" si="271"/>
        <v xml:space="preserve"> CSE12-BLK-3E  - Fodral för bärbar dator 12" - svart</v>
      </c>
      <c r="BR309" s="192" t="str">
        <f t="shared" ca="1" si="271"/>
        <v>900265 - Sekretessfilter till bärbar dator - 11.6" - guld</v>
      </c>
      <c r="BS309" s="192" t="str">
        <f t="shared" ca="1" si="271"/>
        <v>MBXUSBC-AC0005 - USB-C - strömadapter 45 Watt</v>
      </c>
      <c r="BT309" s="192">
        <f t="shared" ca="1" si="271"/>
        <v>0</v>
      </c>
      <c r="BU309" s="192"/>
      <c r="BV309" s="192"/>
      <c r="BW309" s="192" t="str">
        <f t="shared" ref="BW309:BX318" ca="1" si="272">IFERROR(INDEX(INDIRECT(BW$304&amp;"!$A$10:CC100000"),MATCH($AN309,INDIRECT(BW$304&amp;"!BH$10:BH100000"),0),MATCH(BW$306,INDIRECT(BW$304&amp;"!a10:CC10"),0)),"False")</f>
        <v>Advania Sverige AB</v>
      </c>
      <c r="BX309" s="192" t="str">
        <f t="shared" ca="1" si="272"/>
        <v>HP</v>
      </c>
      <c r="BY309" s="185" t="s">
        <v>706</v>
      </c>
      <c r="BZ309" s="185" t="s">
        <v>81</v>
      </c>
      <c r="CA309" s="185">
        <v>4</v>
      </c>
      <c r="CB309" s="185">
        <v>32</v>
      </c>
      <c r="CC309" s="191">
        <v>11.6</v>
      </c>
      <c r="CD309" s="185">
        <v>2</v>
      </c>
      <c r="CE309" s="185">
        <v>1</v>
      </c>
      <c r="CF309" s="185" t="s">
        <v>86</v>
      </c>
      <c r="CG309" s="186">
        <v>5</v>
      </c>
      <c r="CH309" s="186">
        <v>11</v>
      </c>
      <c r="CI309" s="185" t="s">
        <v>527</v>
      </c>
      <c r="CJ309" s="185" t="s">
        <v>69</v>
      </c>
      <c r="CK309" s="185" t="s">
        <v>82</v>
      </c>
      <c r="CL309" s="185"/>
      <c r="CM309" s="185"/>
    </row>
    <row r="310" spans="2:91" ht="22.5" customHeight="1" outlineLevel="1" x14ac:dyDescent="0.35">
      <c r="C310" s="61" t="s">
        <v>3</v>
      </c>
      <c r="D310" s="64" t="s">
        <v>82</v>
      </c>
      <c r="F310" s="78" t="str">
        <f t="shared" ref="F310:F322" si="273">IF(F$307="Inget antal angivet","",IFERROR(INDEX($AP$308:$BX$332,MATCH(F$304,$AN$308:$AN$332,0),MATCH($C310,$AP$308:$BX$308,0)),""))</f>
        <v/>
      </c>
      <c r="G310" s="79" t="str">
        <f t="shared" ref="G310:I322" ca="1" si="274">IFERROR(INDEX($AP$308:$BX$332,MATCH(G$304,$AN$308:$AN$332,0),MATCH($C310,$AP$308:$BX$308,0)),"")</f>
        <v>Google Chrome OS</v>
      </c>
      <c r="H310" s="79" t="str">
        <f t="shared" ca="1" si="274"/>
        <v>Google Chrome OS</v>
      </c>
      <c r="I310" s="120" t="str">
        <f t="shared" ca="1" si="274"/>
        <v>Google Chrome OS</v>
      </c>
      <c r="J310" s="62"/>
      <c r="K310" s="185">
        <f t="shared" ca="1" si="248"/>
        <v>0</v>
      </c>
      <c r="L310" s="185" t="b">
        <f t="shared" si="249"/>
        <v>1</v>
      </c>
      <c r="M310" s="185" t="s">
        <v>150</v>
      </c>
      <c r="N310" s="185" t="str">
        <f t="shared" ca="1" si="250"/>
        <v>Offererad produktnr. 05Atea Sverige AB</v>
      </c>
      <c r="O310" s="185" cm="1">
        <f t="array" aca="1" ref="O310" ca="1">MIN(IF(($BW$309:$BW$330=M310)*($AO$309:$AO$330=$O$306),$Y$309:$Y$330))</f>
        <v>4802</v>
      </c>
      <c r="P310" s="197">
        <f ca="1">SMALL($Y$309:$Y$332,2)</f>
        <v>3415</v>
      </c>
      <c r="Q310" s="185">
        <f t="shared" si="251"/>
        <v>0</v>
      </c>
      <c r="R310" s="185">
        <f t="shared" si="252"/>
        <v>0</v>
      </c>
      <c r="S310" s="185">
        <f t="shared" si="253"/>
        <v>0</v>
      </c>
      <c r="T310" s="185">
        <f t="shared" si="254"/>
        <v>0</v>
      </c>
      <c r="U310" s="185">
        <f t="shared" si="255"/>
        <v>0</v>
      </c>
      <c r="V310" s="185">
        <f t="shared" si="256"/>
        <v>0</v>
      </c>
      <c r="W310" s="185">
        <f t="shared" si="257"/>
        <v>0</v>
      </c>
      <c r="X310" s="185">
        <f t="shared" si="258"/>
        <v>0</v>
      </c>
      <c r="Y310" s="185">
        <f t="shared" ca="1" si="259"/>
        <v>4882</v>
      </c>
      <c r="Z310" s="185" t="str">
        <f t="shared" si="260"/>
        <v>Offererad produktnr. 06Advania Sverige AB</v>
      </c>
      <c r="AA310" s="185" t="b">
        <f t="shared" si="261"/>
        <v>1</v>
      </c>
      <c r="AB310" s="185" t="b">
        <f t="shared" si="262"/>
        <v>1</v>
      </c>
      <c r="AC310" s="185" t="b">
        <f t="shared" si="263"/>
        <v>1</v>
      </c>
      <c r="AD310" s="185" t="b">
        <f t="shared" si="264"/>
        <v>1</v>
      </c>
      <c r="AE310" s="185" t="b">
        <f>IF($D$311="",TRUE,IF(COUNTIF(Processor!$I$2:$I$9,$D$311)&gt;0,AND(AT310&gt;INDEX(Processor!$J$2:$J$9,MATCH($D$311,Processor!$I$2:$I$9,0)),AT310&lt;INDEX(Processor!$K$2:$K$9,MATCH($D$311,Processor!$I$2:$I$9,0))),IF(AT310=$D$311,TRUE,FALSE)))</f>
        <v>1</v>
      </c>
      <c r="AF310" s="185" t="b">
        <f t="shared" si="265"/>
        <v>1</v>
      </c>
      <c r="AG310" s="185" t="b">
        <f t="shared" si="266"/>
        <v>1</v>
      </c>
      <c r="AH310" s="185" t="b">
        <f t="shared" si="267"/>
        <v>1</v>
      </c>
      <c r="AI310" s="185" t="b">
        <f t="shared" si="268"/>
        <v>1</v>
      </c>
      <c r="AJ310" s="185" t="b">
        <f>IFERROR(IF($D321="",TRUE,IF(MID(BA310,LEN(BA310)-2,1)*1&gt;=MID($D321,LEN($D321)-2,1)*1,TRUE,FALSE)),FALSE)</f>
        <v>1</v>
      </c>
      <c r="AK310" s="185"/>
      <c r="AL310" s="185"/>
      <c r="AM310" s="185"/>
      <c r="AN310" s="185" t="s">
        <v>203</v>
      </c>
      <c r="AO310" s="185">
        <v>1</v>
      </c>
      <c r="AP310" s="185" t="str">
        <f t="shared" ca="1" si="269"/>
        <v>1920x1080</v>
      </c>
      <c r="AQ310" s="185" t="str">
        <f t="shared" ca="1" si="269"/>
        <v>Intel Celeron</v>
      </c>
      <c r="AR310" s="185">
        <f t="shared" ca="1" si="269"/>
        <v>8</v>
      </c>
      <c r="AS310" s="185">
        <f t="shared" ca="1" si="269"/>
        <v>64</v>
      </c>
      <c r="AT310" s="185">
        <f t="shared" ca="1" si="269"/>
        <v>14</v>
      </c>
      <c r="AU310" s="185">
        <f t="shared" ca="1" si="269"/>
        <v>3</v>
      </c>
      <c r="AV310" s="185">
        <f t="shared" ca="1" si="269"/>
        <v>1</v>
      </c>
      <c r="AW310" s="185">
        <f t="shared" ca="1" si="269"/>
        <v>0</v>
      </c>
      <c r="AX310" s="185" t="str">
        <f t="shared" ca="1" si="269"/>
        <v>802.11a/b/g/n/ac/ax</v>
      </c>
      <c r="AY310" s="185">
        <f t="shared" ca="1" si="269"/>
        <v>5</v>
      </c>
      <c r="AZ310" s="185">
        <f t="shared" ca="1" si="270"/>
        <v>11</v>
      </c>
      <c r="BA310" s="185" t="str">
        <f t="shared" ca="1" si="270"/>
        <v>Version 8.0</v>
      </c>
      <c r="BB310" s="185" t="str">
        <f t="shared" ca="1" si="270"/>
        <v>Ja</v>
      </c>
      <c r="BC310" s="185" t="str">
        <f t="shared" ca="1" si="270"/>
        <v>Google Chrome OS</v>
      </c>
      <c r="BD310" s="185" t="str">
        <f t="shared" ca="1" si="270"/>
        <v>Chromebook 14 G7</v>
      </c>
      <c r="BE310" s="185">
        <f t="shared" ca="1" si="270"/>
        <v>4882</v>
      </c>
      <c r="BF310" s="192">
        <f t="shared" ca="1" si="270"/>
        <v>60</v>
      </c>
      <c r="BG310" s="192">
        <f t="shared" ca="1" si="270"/>
        <v>218</v>
      </c>
      <c r="BH310" s="192">
        <f t="shared" ca="1" si="270"/>
        <v>251</v>
      </c>
      <c r="BI310" s="192">
        <f t="shared" ca="1" si="270"/>
        <v>244</v>
      </c>
      <c r="BJ310" s="192">
        <f t="shared" ca="1" si="271"/>
        <v>112</v>
      </c>
      <c r="BK310" s="192">
        <f t="shared" ca="1" si="271"/>
        <v>50</v>
      </c>
      <c r="BL310" s="192">
        <f t="shared" ca="1" si="271"/>
        <v>50</v>
      </c>
      <c r="BM310" s="192" t="str">
        <f t="shared" ca="1" si="271"/>
        <v>V7</v>
      </c>
      <c r="BN310" s="192" t="str">
        <f t="shared" ca="1" si="271"/>
        <v>PORT Designs</v>
      </c>
      <c r="BO310" s="192" t="str">
        <f t="shared" ca="1" si="271"/>
        <v>CoreParts</v>
      </c>
      <c r="BP310" s="192">
        <f t="shared" ca="1" si="271"/>
        <v>0</v>
      </c>
      <c r="BQ310" s="192" t="str">
        <f t="shared" ca="1" si="271"/>
        <v xml:space="preserve"> CSE14-BLK-3E  -Fodral för bärbar dator - 14" - svart</v>
      </c>
      <c r="BR310" s="192" t="str">
        <f t="shared" ca="1" si="271"/>
        <v>900003 - Professional - filter för personlig integritet - 14"</v>
      </c>
      <c r="BS310" s="192" t="str">
        <f t="shared" ca="1" si="271"/>
        <v>MBXUSBC-AC0005 - USB-C - strömadapter 45 Watt</v>
      </c>
      <c r="BT310" s="192">
        <f t="shared" ca="1" si="271"/>
        <v>0</v>
      </c>
      <c r="BU310" s="192"/>
      <c r="BV310" s="192"/>
      <c r="BW310" s="192" t="str">
        <f t="shared" ca="1" si="272"/>
        <v>Advania Sverige AB</v>
      </c>
      <c r="BX310" s="192" t="str">
        <f t="shared" ca="1" si="272"/>
        <v>HP</v>
      </c>
      <c r="BY310" s="185" t="s">
        <v>71</v>
      </c>
      <c r="BZ310" s="185" t="s">
        <v>696</v>
      </c>
      <c r="CA310" s="185">
        <v>8</v>
      </c>
      <c r="CB310" s="185">
        <v>64</v>
      </c>
      <c r="CC310" s="191">
        <v>14</v>
      </c>
      <c r="CD310" s="185">
        <v>3</v>
      </c>
      <c r="CE310" s="185">
        <v>2</v>
      </c>
      <c r="CF310" s="185" t="s">
        <v>79</v>
      </c>
      <c r="CG310" s="186">
        <v>5.0999999999999996</v>
      </c>
      <c r="CH310" s="186"/>
      <c r="CI310" s="185"/>
      <c r="CJ310" s="185"/>
      <c r="CK310" s="185"/>
      <c r="CL310" s="185"/>
      <c r="CM310" s="185"/>
    </row>
    <row r="311" spans="2:91" ht="22.5" customHeight="1" outlineLevel="1" x14ac:dyDescent="0.35">
      <c r="C311" s="61" t="s">
        <v>7</v>
      </c>
      <c r="D311" s="64"/>
      <c r="F311" s="78" t="str">
        <f t="shared" si="273"/>
        <v/>
      </c>
      <c r="G311" s="79">
        <f t="shared" ca="1" si="274"/>
        <v>11.6</v>
      </c>
      <c r="H311" s="79">
        <f t="shared" ca="1" si="274"/>
        <v>11.6</v>
      </c>
      <c r="I311" s="120">
        <f t="shared" ca="1" si="274"/>
        <v>14</v>
      </c>
      <c r="J311" s="62"/>
      <c r="K311" s="185">
        <f t="shared" ca="1" si="248"/>
        <v>0</v>
      </c>
      <c r="L311" s="185" t="b">
        <f t="shared" si="249"/>
        <v>1</v>
      </c>
      <c r="M311" s="185" t="s">
        <v>128</v>
      </c>
      <c r="N311" s="185" t="str">
        <f t="shared" ca="1" si="250"/>
        <v>Offererad produktnr. 05Dustin Sverige AB</v>
      </c>
      <c r="O311" s="185" cm="1">
        <f t="array" aca="1" ref="O311" ca="1">MIN(IF(($BW$309:$BW$330=M311)*($AO$309:$AO$330=$O$306),$Y$309:$Y$330))</f>
        <v>3415</v>
      </c>
      <c r="P311" s="197">
        <f ca="1">SMALL($Y$309:$Y$332,3)</f>
        <v>3610</v>
      </c>
      <c r="Q311" s="185">
        <f t="shared" si="251"/>
        <v>0</v>
      </c>
      <c r="R311" s="185">
        <f t="shared" si="252"/>
        <v>0</v>
      </c>
      <c r="S311" s="185">
        <f t="shared" si="253"/>
        <v>0</v>
      </c>
      <c r="T311" s="185">
        <f t="shared" si="254"/>
        <v>0</v>
      </c>
      <c r="U311" s="185">
        <f t="shared" si="255"/>
        <v>0</v>
      </c>
      <c r="V311" s="185">
        <f t="shared" si="256"/>
        <v>0</v>
      </c>
      <c r="W311" s="185">
        <f t="shared" si="257"/>
        <v>0</v>
      </c>
      <c r="X311" s="185">
        <f t="shared" si="258"/>
        <v>0</v>
      </c>
      <c r="Y311" s="185">
        <f t="shared" ca="1" si="259"/>
        <v>4802</v>
      </c>
      <c r="Z311" s="185" t="str">
        <f t="shared" si="260"/>
        <v>Offererad produktnr. 05Atea Sverige AB</v>
      </c>
      <c r="AA311" s="185" t="b">
        <f t="shared" si="261"/>
        <v>1</v>
      </c>
      <c r="AB311" s="185" t="b">
        <f t="shared" si="262"/>
        <v>1</v>
      </c>
      <c r="AC311" s="185" t="b">
        <f t="shared" si="263"/>
        <v>1</v>
      </c>
      <c r="AD311" s="185" t="b">
        <f t="shared" si="264"/>
        <v>1</v>
      </c>
      <c r="AE311" s="185" t="b">
        <f>IF($D$311="",TRUE,IF(COUNTIF(Processor!$I$2:$I$9,$D$311)&gt;0,AND(AT311&gt;INDEX(Processor!$J$2:$J$9,MATCH($D$311,Processor!$I$2:$I$9,0)),AT311&lt;INDEX(Processor!$K$2:$K$9,MATCH($D$311,Processor!$I$2:$I$9,0))),IF(AT311=$D$311,TRUE,FALSE)))</f>
        <v>1</v>
      </c>
      <c r="AF311" s="185" t="b">
        <f t="shared" si="265"/>
        <v>1</v>
      </c>
      <c r="AG311" s="185" t="b">
        <f t="shared" si="266"/>
        <v>1</v>
      </c>
      <c r="AH311" s="185" t="b">
        <f t="shared" si="267"/>
        <v>1</v>
      </c>
      <c r="AI311" s="185" t="b">
        <f t="shared" si="268"/>
        <v>1</v>
      </c>
      <c r="AJ311" s="185" t="b">
        <f>IFERROR(IF($D321="",TRUE,IF(MID(BA311,LEN(BA311)-2,1)*1&gt;=MID($D321,LEN($D321)-2,1)*1,TRUE,FALSE)),FALSE)</f>
        <v>1</v>
      </c>
      <c r="AK311" s="185"/>
      <c r="AL311" s="185"/>
      <c r="AM311" s="185"/>
      <c r="AN311" s="185" t="s">
        <v>190</v>
      </c>
      <c r="AO311" s="185">
        <v>1</v>
      </c>
      <c r="AP311" s="185" t="str">
        <f t="shared" ca="1" si="269"/>
        <v>1366x768</v>
      </c>
      <c r="AQ311" s="185" t="str">
        <f t="shared" ca="1" si="269"/>
        <v>Intel Celeron</v>
      </c>
      <c r="AR311" s="185">
        <f t="shared" ca="1" si="269"/>
        <v>4</v>
      </c>
      <c r="AS311" s="185">
        <f t="shared" ca="1" si="269"/>
        <v>32</v>
      </c>
      <c r="AT311" s="185">
        <f t="shared" ca="1" si="269"/>
        <v>11.6</v>
      </c>
      <c r="AU311" s="185">
        <f t="shared" ca="1" si="269"/>
        <v>2</v>
      </c>
      <c r="AV311" s="185">
        <f t="shared" ca="1" si="269"/>
        <v>1</v>
      </c>
      <c r="AW311" s="185">
        <f t="shared" ca="1" si="269"/>
        <v>0</v>
      </c>
      <c r="AX311" s="185" t="str">
        <f t="shared" ca="1" si="269"/>
        <v>802.11a/b/g/n/ac/ax</v>
      </c>
      <c r="AY311" s="185">
        <f t="shared" ca="1" si="269"/>
        <v>5.0999999999999996</v>
      </c>
      <c r="AZ311" s="185">
        <f t="shared" ca="1" si="270"/>
        <v>11</v>
      </c>
      <c r="BA311" s="185" t="str">
        <f t="shared" ca="1" si="270"/>
        <v>Version 8.0</v>
      </c>
      <c r="BB311" s="185" t="str">
        <f t="shared" ca="1" si="270"/>
        <v>Ja</v>
      </c>
      <c r="BC311" s="185" t="str">
        <f t="shared" ca="1" si="270"/>
        <v>Google Chrome OS</v>
      </c>
      <c r="BD311" s="185" t="str">
        <f t="shared" ca="1" si="270"/>
        <v>100e Chr Gen3</v>
      </c>
      <c r="BE311" s="185">
        <f t="shared" ca="1" si="270"/>
        <v>4802</v>
      </c>
      <c r="BF311" s="192">
        <f t="shared" ca="1" si="270"/>
        <v>145</v>
      </c>
      <c r="BG311" s="192">
        <f t="shared" ca="1" si="270"/>
        <v>431</v>
      </c>
      <c r="BH311" s="192">
        <f t="shared" ca="1" si="270"/>
        <v>361</v>
      </c>
      <c r="BI311" s="192">
        <f t="shared" ca="1" si="270"/>
        <v>728</v>
      </c>
      <c r="BJ311" s="192">
        <f t="shared" ca="1" si="271"/>
        <v>120</v>
      </c>
      <c r="BK311" s="192">
        <f t="shared" ca="1" si="271"/>
        <v>85</v>
      </c>
      <c r="BL311" s="192">
        <f t="shared" ca="1" si="271"/>
        <v>100</v>
      </c>
      <c r="BM311" s="192" t="str">
        <f t="shared" ca="1" si="271"/>
        <v xml:space="preserve">Lenovo </v>
      </c>
      <c r="BN311" s="192" t="str">
        <f t="shared" ca="1" si="271"/>
        <v>Lenovo</v>
      </c>
      <c r="BO311" s="192" t="str">
        <f t="shared" ca="1" si="271"/>
        <v>Lenovo</v>
      </c>
      <c r="BP311" s="192">
        <f t="shared" ca="1" si="271"/>
        <v>0</v>
      </c>
      <c r="BQ311" s="192" t="str">
        <f t="shared" ca="1" si="271"/>
        <v>Basic Sleeve 11"</v>
      </c>
      <c r="BR311" s="192" t="str">
        <f t="shared" ca="1" si="271"/>
        <v>Lenovo 11.6" Privacy Filter</v>
      </c>
      <c r="BS311" s="192" t="str">
        <f t="shared" ca="1" si="271"/>
        <v>Power adapter USB-C 45w</v>
      </c>
      <c r="BT311" s="192">
        <f t="shared" ca="1" si="271"/>
        <v>0</v>
      </c>
      <c r="BU311" s="192"/>
      <c r="BV311" s="192"/>
      <c r="BW311" s="192" t="str">
        <f t="shared" ca="1" si="272"/>
        <v>Atea Sverige AB</v>
      </c>
      <c r="BX311" s="192" t="str">
        <f t="shared" ca="1" si="272"/>
        <v>Lenovo</v>
      </c>
      <c r="BY311" s="185"/>
      <c r="BZ311" s="185"/>
      <c r="CA311" s="185"/>
      <c r="CB311" s="185"/>
      <c r="CC311" s="185"/>
      <c r="CD311" s="185">
        <v>4</v>
      </c>
      <c r="CE311" s="185"/>
      <c r="CF311" s="185"/>
      <c r="CG311" s="186"/>
      <c r="CH311" s="186"/>
      <c r="CI311" s="185"/>
      <c r="CJ311" s="185"/>
      <c r="CK311" s="185"/>
      <c r="CL311" s="185"/>
      <c r="CM311" s="185"/>
    </row>
    <row r="312" spans="2:91" ht="22.5" customHeight="1" outlineLevel="1" x14ac:dyDescent="0.35">
      <c r="C312" s="61" t="s">
        <v>2</v>
      </c>
      <c r="D312" s="64"/>
      <c r="F312" s="78" t="str">
        <f t="shared" si="273"/>
        <v/>
      </c>
      <c r="G312" s="79" t="str">
        <f t="shared" ca="1" si="274"/>
        <v>1366x768</v>
      </c>
      <c r="H312" s="79" t="str">
        <f t="shared" ca="1" si="274"/>
        <v>1366x768</v>
      </c>
      <c r="I312" s="120" t="str">
        <f t="shared" ca="1" si="274"/>
        <v>1920x1080</v>
      </c>
      <c r="J312" s="62"/>
      <c r="K312" s="185">
        <f t="shared" ca="1" si="248"/>
        <v>0</v>
      </c>
      <c r="L312" s="185" t="b">
        <f t="shared" si="249"/>
        <v>1</v>
      </c>
      <c r="M312" s="185" t="s">
        <v>169</v>
      </c>
      <c r="N312" s="185" t="str">
        <f t="shared" ca="1" si="250"/>
        <v>Offererad produktnr. 05Foxway Education AB</v>
      </c>
      <c r="O312" s="185" cm="1">
        <f t="array" aca="1" ref="O312" ca="1">MIN(IF(($BW$309:$BW$330=M312)*($AO$309:$AO$330=$O$306),$Y$309:$Y$330))</f>
        <v>3636</v>
      </c>
      <c r="P312" s="197"/>
      <c r="Q312" s="185">
        <f t="shared" si="251"/>
        <v>0</v>
      </c>
      <c r="R312" s="185">
        <f t="shared" si="252"/>
        <v>0</v>
      </c>
      <c r="S312" s="185">
        <f t="shared" si="253"/>
        <v>0</v>
      </c>
      <c r="T312" s="185">
        <f t="shared" si="254"/>
        <v>0</v>
      </c>
      <c r="U312" s="185">
        <f t="shared" si="255"/>
        <v>0</v>
      </c>
      <c r="V312" s="185">
        <f t="shared" si="256"/>
        <v>0</v>
      </c>
      <c r="W312" s="185">
        <f t="shared" si="257"/>
        <v>0</v>
      </c>
      <c r="X312" s="185">
        <f t="shared" si="258"/>
        <v>0</v>
      </c>
      <c r="Y312" s="185">
        <f t="shared" ca="1" si="259"/>
        <v>6392</v>
      </c>
      <c r="Z312" s="185" t="str">
        <f t="shared" si="260"/>
        <v>Offererad produktnr. 06Atea Sverige AB</v>
      </c>
      <c r="AA312" s="185" t="b">
        <f t="shared" si="261"/>
        <v>1</v>
      </c>
      <c r="AB312" s="185" t="b">
        <f t="shared" si="262"/>
        <v>1</v>
      </c>
      <c r="AC312" s="185" t="b">
        <f t="shared" si="263"/>
        <v>1</v>
      </c>
      <c r="AD312" s="185" t="b">
        <f t="shared" si="264"/>
        <v>1</v>
      </c>
      <c r="AE312" s="185" t="b">
        <f>IF($D$311="",TRUE,IF(COUNTIF(Processor!$I$2:$I$9,$D$311)&gt;0,AND(AT312&gt;INDEX(Processor!$J$2:$J$9,MATCH($D$311,Processor!$I$2:$I$9,0)),AT312&lt;INDEX(Processor!$K$2:$K$9,MATCH($D$311,Processor!$I$2:$I$9,0))),IF(AT312=$D$311,TRUE,FALSE)))</f>
        <v>1</v>
      </c>
      <c r="AF312" s="185" t="b">
        <f t="shared" si="265"/>
        <v>1</v>
      </c>
      <c r="AG312" s="185" t="b">
        <f t="shared" si="266"/>
        <v>1</v>
      </c>
      <c r="AH312" s="185" t="b">
        <f t="shared" si="267"/>
        <v>1</v>
      </c>
      <c r="AI312" s="185" t="b">
        <f t="shared" si="268"/>
        <v>1</v>
      </c>
      <c r="AJ312" s="185" t="b">
        <f>IFERROR(IF($D321="",TRUE,IF(MID(BA312,LEN(BA312)-2,1)*1&gt;=MID($D321,LEN($D321)-2,1)*1,TRUE,FALSE)),FALSE)</f>
        <v>1</v>
      </c>
      <c r="AK312" s="185"/>
      <c r="AL312" s="185"/>
      <c r="AM312" s="185"/>
      <c r="AN312" s="185" t="s">
        <v>191</v>
      </c>
      <c r="AO312" s="185">
        <v>1</v>
      </c>
      <c r="AP312" s="185" t="str">
        <f t="shared" ca="1" si="269"/>
        <v>1920x1080</v>
      </c>
      <c r="AQ312" s="185" t="str">
        <f t="shared" ca="1" si="269"/>
        <v>Intel Celeron</v>
      </c>
      <c r="AR312" s="185">
        <f t="shared" ca="1" si="269"/>
        <v>8</v>
      </c>
      <c r="AS312" s="185">
        <f t="shared" ca="1" si="269"/>
        <v>64</v>
      </c>
      <c r="AT312" s="185">
        <f t="shared" ca="1" si="269"/>
        <v>14</v>
      </c>
      <c r="AU312" s="185">
        <f t="shared" ca="1" si="269"/>
        <v>3</v>
      </c>
      <c r="AV312" s="185">
        <f t="shared" ca="1" si="269"/>
        <v>1</v>
      </c>
      <c r="AW312" s="185">
        <f t="shared" ca="1" si="269"/>
        <v>0</v>
      </c>
      <c r="AX312" s="185" t="str">
        <f t="shared" ca="1" si="269"/>
        <v>802.11a/b/g/n/ac/ax</v>
      </c>
      <c r="AY312" s="185">
        <f t="shared" ca="1" si="269"/>
        <v>5</v>
      </c>
      <c r="AZ312" s="185">
        <f t="shared" ca="1" si="270"/>
        <v>11</v>
      </c>
      <c r="BA312" s="185" t="str">
        <f t="shared" ca="1" si="270"/>
        <v>Version 8.0</v>
      </c>
      <c r="BB312" s="185" t="str">
        <f t="shared" ca="1" si="270"/>
        <v>Ja</v>
      </c>
      <c r="BC312" s="185" t="str">
        <f t="shared" ca="1" si="270"/>
        <v>Google Chrome OS</v>
      </c>
      <c r="BD312" s="185" t="str">
        <f t="shared" ca="1" si="270"/>
        <v>Chromebook 14 G7</v>
      </c>
      <c r="BE312" s="185">
        <f t="shared" ca="1" si="270"/>
        <v>6392</v>
      </c>
      <c r="BF312" s="192">
        <f t="shared" ca="1" si="270"/>
        <v>134</v>
      </c>
      <c r="BG312" s="192">
        <f t="shared" ca="1" si="270"/>
        <v>449</v>
      </c>
      <c r="BH312" s="192">
        <f t="shared" ca="1" si="270"/>
        <v>389</v>
      </c>
      <c r="BI312" s="192">
        <f t="shared" ca="1" si="270"/>
        <v>276</v>
      </c>
      <c r="BJ312" s="192">
        <f t="shared" ca="1" si="271"/>
        <v>120</v>
      </c>
      <c r="BK312" s="192">
        <f t="shared" ca="1" si="271"/>
        <v>85</v>
      </c>
      <c r="BL312" s="192">
        <f t="shared" ca="1" si="271"/>
        <v>100</v>
      </c>
      <c r="BM312" s="192" t="str">
        <f t="shared" ca="1" si="271"/>
        <v>DELTACO</v>
      </c>
      <c r="BN312" s="192" t="str">
        <f t="shared" ca="1" si="271"/>
        <v>Targus</v>
      </c>
      <c r="BO312" s="192" t="str">
        <f t="shared" ca="1" si="271"/>
        <v>HP</v>
      </c>
      <c r="BP312" s="192">
        <f t="shared" ca="1" si="271"/>
        <v>0</v>
      </c>
      <c r="BQ312" s="192" t="str">
        <f t="shared" ca="1" si="271"/>
        <v xml:space="preserve">Fodral för bärbar dator </v>
      </c>
      <c r="BR312" s="192" t="str">
        <f t="shared" ca="1" si="271"/>
        <v>Targus Privacy Screen 14"</v>
      </c>
      <c r="BS312" s="192" t="str">
        <f t="shared" ca="1" si="271"/>
        <v>HP 45W USB-C Power Adapter G2</v>
      </c>
      <c r="BT312" s="192">
        <f t="shared" ca="1" si="271"/>
        <v>0</v>
      </c>
      <c r="BU312" s="192"/>
      <c r="BV312" s="192"/>
      <c r="BW312" s="192" t="str">
        <f t="shared" ca="1" si="272"/>
        <v>Atea Sverige AB</v>
      </c>
      <c r="BX312" s="192" t="str">
        <f t="shared" ca="1" si="272"/>
        <v>HP</v>
      </c>
      <c r="BY312" s="185"/>
      <c r="BZ312" s="185"/>
      <c r="CA312" s="185"/>
      <c r="CB312" s="185"/>
      <c r="CC312" s="185"/>
      <c r="CD312" s="185"/>
      <c r="CE312" s="185"/>
      <c r="CF312" s="185"/>
      <c r="CG312" s="186"/>
      <c r="CH312" s="186"/>
      <c r="CI312" s="185"/>
      <c r="CJ312" s="185"/>
      <c r="CK312" s="185"/>
      <c r="CL312" s="185"/>
      <c r="CM312" s="185"/>
    </row>
    <row r="313" spans="2:91" ht="22.5" customHeight="1" outlineLevel="1" x14ac:dyDescent="0.35">
      <c r="C313" s="61" t="s">
        <v>4</v>
      </c>
      <c r="D313" s="64"/>
      <c r="F313" s="78" t="str">
        <f t="shared" si="273"/>
        <v/>
      </c>
      <c r="G313" s="79" t="str">
        <f t="shared" ca="1" si="274"/>
        <v>Intel Celeron</v>
      </c>
      <c r="H313" s="79" t="str">
        <f t="shared" ca="1" si="274"/>
        <v>Intel Celeron</v>
      </c>
      <c r="I313" s="120" t="str">
        <f t="shared" ca="1" si="274"/>
        <v>Intel Celeron</v>
      </c>
      <c r="J313" s="62"/>
      <c r="K313" s="185">
        <f t="shared" ca="1" si="248"/>
        <v>0</v>
      </c>
      <c r="L313" s="185" t="b">
        <f t="shared" si="249"/>
        <v>1</v>
      </c>
      <c r="M313" s="185" t="s">
        <v>167</v>
      </c>
      <c r="N313" s="185" t="e">
        <f t="shared" ca="1" si="250"/>
        <v>#N/A</v>
      </c>
      <c r="O313" s="185" cm="1">
        <f t="array" aca="1" ref="O313" ca="1">MIN(IF(($BW$309:$BW$330=M313)*($AO$309:$AO$330=$O$306),$Y$309:$Y$330))</f>
        <v>0</v>
      </c>
      <c r="P313" s="197"/>
      <c r="Q313" s="185">
        <f t="shared" si="251"/>
        <v>0</v>
      </c>
      <c r="R313" s="185">
        <f t="shared" si="252"/>
        <v>0</v>
      </c>
      <c r="S313" s="185">
        <f t="shared" si="253"/>
        <v>0</v>
      </c>
      <c r="T313" s="185">
        <f t="shared" si="254"/>
        <v>0</v>
      </c>
      <c r="U313" s="185">
        <f t="shared" si="255"/>
        <v>0</v>
      </c>
      <c r="V313" s="185">
        <f t="shared" si="256"/>
        <v>0</v>
      </c>
      <c r="W313" s="185">
        <f t="shared" si="257"/>
        <v>0</v>
      </c>
      <c r="X313" s="185">
        <f t="shared" si="258"/>
        <v>0</v>
      </c>
      <c r="Y313" s="185">
        <f t="shared" ca="1" si="259"/>
        <v>3415</v>
      </c>
      <c r="Z313" s="185" t="str">
        <f t="shared" si="260"/>
        <v>Offererad produktnr. 05Dustin Sverige AB</v>
      </c>
      <c r="AA313" s="185" t="b">
        <f t="shared" si="261"/>
        <v>1</v>
      </c>
      <c r="AB313" s="185" t="b">
        <f t="shared" si="262"/>
        <v>1</v>
      </c>
      <c r="AC313" s="185" t="b">
        <f t="shared" si="263"/>
        <v>1</v>
      </c>
      <c r="AD313" s="185" t="b">
        <f t="shared" si="264"/>
        <v>1</v>
      </c>
      <c r="AE313" s="185" t="b">
        <f>IF($D$311="",TRUE,IF(COUNTIF(Processor!$I$2:$I$9,$D$311)&gt;0,AND(AT313&gt;INDEX(Processor!$J$2:$J$9,MATCH($D$311,Processor!$I$2:$I$9,0)),AT313&lt;INDEX(Processor!$K$2:$K$9,MATCH($D$311,Processor!$I$2:$I$9,0))),IF(AT313=$D$311,TRUE,FALSE)))</f>
        <v>1</v>
      </c>
      <c r="AF313" s="185" t="b">
        <f t="shared" si="265"/>
        <v>1</v>
      </c>
      <c r="AG313" s="185" t="b">
        <f t="shared" si="266"/>
        <v>1</v>
      </c>
      <c r="AH313" s="185" t="b">
        <f t="shared" si="267"/>
        <v>1</v>
      </c>
      <c r="AI313" s="185" t="b">
        <f t="shared" si="268"/>
        <v>1</v>
      </c>
      <c r="AJ313" s="185" t="b">
        <f>IFERROR(IF($D321="",TRUE,IF(MID(BA313,LEN(BA313)-2,1)*1&gt;=MID($D321,LEN($D321)-2,1)*1,TRUE,FALSE)),FALSE)</f>
        <v>1</v>
      </c>
      <c r="AK313" s="185"/>
      <c r="AL313" s="185"/>
      <c r="AM313" s="185"/>
      <c r="AN313" s="185" t="s">
        <v>178</v>
      </c>
      <c r="AO313" s="185">
        <v>1</v>
      </c>
      <c r="AP313" s="185" t="str">
        <f t="shared" ca="1" si="269"/>
        <v>1366x768</v>
      </c>
      <c r="AQ313" s="185" t="str">
        <f t="shared" ca="1" si="269"/>
        <v>Intel Celeron</v>
      </c>
      <c r="AR313" s="185">
        <f t="shared" ca="1" si="269"/>
        <v>4</v>
      </c>
      <c r="AS313" s="185">
        <f t="shared" ca="1" si="269"/>
        <v>32</v>
      </c>
      <c r="AT313" s="185">
        <f t="shared" ca="1" si="269"/>
        <v>11.6</v>
      </c>
      <c r="AU313" s="185">
        <f t="shared" ca="1" si="269"/>
        <v>4</v>
      </c>
      <c r="AV313" s="185">
        <f t="shared" ca="1" si="269"/>
        <v>2</v>
      </c>
      <c r="AW313" s="185">
        <f t="shared" ca="1" si="269"/>
        <v>0</v>
      </c>
      <c r="AX313" s="185" t="str">
        <f t="shared" ca="1" si="269"/>
        <v>802.11a/b/g/n/ac/ax</v>
      </c>
      <c r="AY313" s="185">
        <f t="shared" ca="1" si="269"/>
        <v>5</v>
      </c>
      <c r="AZ313" s="185">
        <f t="shared" ca="1" si="270"/>
        <v>11</v>
      </c>
      <c r="BA313" s="185" t="str">
        <f t="shared" ca="1" si="270"/>
        <v>Version 8.0</v>
      </c>
      <c r="BB313" s="185" t="str">
        <f t="shared" ca="1" si="270"/>
        <v>Ja</v>
      </c>
      <c r="BC313" s="185" t="str">
        <f t="shared" ca="1" si="270"/>
        <v>Google Chrome OS</v>
      </c>
      <c r="BD313" s="185" t="str">
        <f t="shared" ca="1" si="270"/>
        <v>ChromeBook 11 G9 EE</v>
      </c>
      <c r="BE313" s="185">
        <f t="shared" ca="1" si="270"/>
        <v>3415</v>
      </c>
      <c r="BF313" s="192">
        <f t="shared" ca="1" si="270"/>
        <v>87</v>
      </c>
      <c r="BG313" s="192">
        <f t="shared" ca="1" si="270"/>
        <v>123</v>
      </c>
      <c r="BH313" s="192">
        <f t="shared" ca="1" si="270"/>
        <v>249</v>
      </c>
      <c r="BI313" s="192">
        <f t="shared" ca="1" si="270"/>
        <v>131</v>
      </c>
      <c r="BJ313" s="192">
        <f t="shared" ca="1" si="271"/>
        <v>133</v>
      </c>
      <c r="BK313" s="192">
        <f t="shared" ca="1" si="271"/>
        <v>20</v>
      </c>
      <c r="BL313" s="192">
        <f t="shared" ca="1" si="271"/>
        <v>20</v>
      </c>
      <c r="BM313" s="192" t="str">
        <f t="shared" ca="1" si="271"/>
        <v>Cirafon</v>
      </c>
      <c r="BN313" s="192" t="str">
        <f t="shared" ca="1" si="271"/>
        <v>Cirafon</v>
      </c>
      <c r="BO313" s="192" t="str">
        <f t="shared" ca="1" si="271"/>
        <v>HP</v>
      </c>
      <c r="BP313" s="192">
        <f t="shared" ca="1" si="271"/>
        <v>0</v>
      </c>
      <c r="BQ313" s="192" t="str">
        <f t="shared" ca="1" si="271"/>
        <v>LSN9117-11</v>
      </c>
      <c r="BR313" s="192" t="str">
        <f t="shared" ca="1" si="271"/>
        <v>DPF11.6-9</v>
      </c>
      <c r="BS313" s="192" t="str">
        <f t="shared" ca="1" si="271"/>
        <v>1MZ01AA</v>
      </c>
      <c r="BT313" s="192">
        <f t="shared" ca="1" si="271"/>
        <v>0</v>
      </c>
      <c r="BU313" s="192"/>
      <c r="BV313" s="192"/>
      <c r="BW313" s="192" t="str">
        <f t="shared" ca="1" si="272"/>
        <v>Dustin Sverige AB</v>
      </c>
      <c r="BX313" s="192" t="str">
        <f t="shared" ca="1" si="272"/>
        <v>HP</v>
      </c>
      <c r="BY313" s="185"/>
      <c r="BZ313" s="185"/>
      <c r="CA313" s="185"/>
      <c r="CB313" s="185"/>
      <c r="CC313" s="185">
        <v>0</v>
      </c>
      <c r="CD313" s="185"/>
      <c r="CE313" s="185"/>
      <c r="CF313" s="185"/>
      <c r="CG313" s="186">
        <v>0</v>
      </c>
      <c r="CH313" s="185"/>
      <c r="CI313" s="185"/>
      <c r="CJ313" s="185"/>
      <c r="CK313" s="185"/>
      <c r="CL313" s="185"/>
      <c r="CM313" s="185"/>
    </row>
    <row r="314" spans="2:91" ht="22.5" customHeight="1" outlineLevel="1" x14ac:dyDescent="0.35">
      <c r="C314" s="61" t="s">
        <v>119</v>
      </c>
      <c r="D314" s="64"/>
      <c r="F314" s="78" t="str">
        <f t="shared" si="273"/>
        <v/>
      </c>
      <c r="G314" s="79">
        <f t="shared" ca="1" si="274"/>
        <v>4</v>
      </c>
      <c r="H314" s="79">
        <f t="shared" ca="1" si="274"/>
        <v>4</v>
      </c>
      <c r="I314" s="120">
        <f t="shared" ca="1" si="274"/>
        <v>8</v>
      </c>
      <c r="J314" s="62"/>
      <c r="K314" s="185">
        <f t="shared" ca="1" si="248"/>
        <v>0</v>
      </c>
      <c r="L314" s="185" t="b">
        <f t="shared" si="249"/>
        <v>1</v>
      </c>
      <c r="M314" s="185" t="s">
        <v>546</v>
      </c>
      <c r="N314" s="185" t="str">
        <f t="shared" ca="1" si="250"/>
        <v>Offererad produktnr. 05Qlosr Göteborg AB</v>
      </c>
      <c r="O314" s="185" cm="1">
        <f t="array" aca="1" ref="O314" ca="1">MIN(IF(($BW$309:$BW$330=M314)*($AO$309:$AO$330=$O$306),$Y$309:$Y$330))</f>
        <v>2950</v>
      </c>
      <c r="P314" s="197"/>
      <c r="Q314" s="185">
        <f t="shared" si="251"/>
        <v>0</v>
      </c>
      <c r="R314" s="185">
        <f t="shared" si="252"/>
        <v>0</v>
      </c>
      <c r="S314" s="185">
        <f t="shared" si="253"/>
        <v>0</v>
      </c>
      <c r="T314" s="185">
        <f t="shared" si="254"/>
        <v>0</v>
      </c>
      <c r="U314" s="185">
        <f t="shared" si="255"/>
        <v>0</v>
      </c>
      <c r="V314" s="185">
        <f t="shared" si="256"/>
        <v>0</v>
      </c>
      <c r="W314" s="185">
        <f t="shared" si="257"/>
        <v>0</v>
      </c>
      <c r="X314" s="185">
        <f t="shared" si="258"/>
        <v>0</v>
      </c>
      <c r="Y314" s="185">
        <f t="shared" ca="1" si="259"/>
        <v>4088</v>
      </c>
      <c r="Z314" s="185" t="str">
        <f t="shared" si="260"/>
        <v>Offererad produktnr. 06Dustin Sverige AB</v>
      </c>
      <c r="AA314" s="185" t="b">
        <f t="shared" si="261"/>
        <v>1</v>
      </c>
      <c r="AB314" s="185" t="b">
        <f t="shared" si="262"/>
        <v>1</v>
      </c>
      <c r="AC314" s="185" t="b">
        <f t="shared" si="263"/>
        <v>1</v>
      </c>
      <c r="AD314" s="185" t="b">
        <f t="shared" si="264"/>
        <v>1</v>
      </c>
      <c r="AE314" s="185" t="b">
        <f>IF($D$311="",TRUE,IF(COUNTIF(Processor!$I$2:$I$9,$D$311)&gt;0,AND(AT314&gt;INDEX(Processor!$J$2:$J$9,MATCH($D$311,Processor!$I$2:$I$9,0)),AT314&lt;INDEX(Processor!$K$2:$K$9,MATCH($D$311,Processor!$I$2:$I$9,0))),IF(AT314=$D$311,TRUE,FALSE)))</f>
        <v>1</v>
      </c>
      <c r="AF314" s="185" t="b">
        <f t="shared" si="265"/>
        <v>1</v>
      </c>
      <c r="AG314" s="185" t="b">
        <f t="shared" si="266"/>
        <v>1</v>
      </c>
      <c r="AH314" s="185" t="b">
        <f t="shared" si="267"/>
        <v>1</v>
      </c>
      <c r="AI314" s="185" t="b">
        <f t="shared" si="268"/>
        <v>1</v>
      </c>
      <c r="AJ314" s="185" t="b">
        <f>IFERROR(IF($D321="",TRUE,IF(MID(BA314,LEN(BA314)-2,1)*1&gt;=MID($D321,LEN($D321)-2,1)*1,TRUE,FALSE)),FALSE)</f>
        <v>1</v>
      </c>
      <c r="AK314" s="185"/>
      <c r="AL314" s="185"/>
      <c r="AM314" s="185"/>
      <c r="AN314" s="185" t="s">
        <v>179</v>
      </c>
      <c r="AO314" s="185">
        <v>1</v>
      </c>
      <c r="AP314" s="185" t="str">
        <f t="shared" ca="1" si="269"/>
        <v>1920x1080</v>
      </c>
      <c r="AQ314" s="185" t="str">
        <f t="shared" ca="1" si="269"/>
        <v>Intel Celeron</v>
      </c>
      <c r="AR314" s="185">
        <f t="shared" ca="1" si="269"/>
        <v>8</v>
      </c>
      <c r="AS314" s="185">
        <f t="shared" ca="1" si="269"/>
        <v>64</v>
      </c>
      <c r="AT314" s="185">
        <f t="shared" ca="1" si="269"/>
        <v>14</v>
      </c>
      <c r="AU314" s="185">
        <f t="shared" ca="1" si="269"/>
        <v>3</v>
      </c>
      <c r="AV314" s="185">
        <f t="shared" ca="1" si="269"/>
        <v>1</v>
      </c>
      <c r="AW314" s="185">
        <f t="shared" ca="1" si="269"/>
        <v>0</v>
      </c>
      <c r="AX314" s="185" t="str">
        <f t="shared" ca="1" si="269"/>
        <v>802.11a/b/g/n/ac/ax</v>
      </c>
      <c r="AY314" s="185">
        <f t="shared" ca="1" si="269"/>
        <v>5.0999999999999996</v>
      </c>
      <c r="AZ314" s="185">
        <f t="shared" ca="1" si="270"/>
        <v>11</v>
      </c>
      <c r="BA314" s="185" t="str">
        <f t="shared" ca="1" si="270"/>
        <v>Version 8.0</v>
      </c>
      <c r="BB314" s="185" t="str">
        <f t="shared" ca="1" si="270"/>
        <v>Ja</v>
      </c>
      <c r="BC314" s="185" t="str">
        <f t="shared" ca="1" si="270"/>
        <v>Google Chrome OS</v>
      </c>
      <c r="BD314" s="185" t="str">
        <f t="shared" ca="1" si="270"/>
        <v>Chromebook 14 G7</v>
      </c>
      <c r="BE314" s="185">
        <f t="shared" ca="1" si="270"/>
        <v>4088</v>
      </c>
      <c r="BF314" s="192">
        <f t="shared" ca="1" si="270"/>
        <v>123</v>
      </c>
      <c r="BG314" s="192">
        <f t="shared" ca="1" si="270"/>
        <v>425</v>
      </c>
      <c r="BH314" s="192">
        <f t="shared" ca="1" si="270"/>
        <v>249</v>
      </c>
      <c r="BI314" s="192">
        <f t="shared" ca="1" si="270"/>
        <v>131</v>
      </c>
      <c r="BJ314" s="192">
        <f t="shared" ca="1" si="271"/>
        <v>133</v>
      </c>
      <c r="BK314" s="192">
        <f t="shared" ca="1" si="271"/>
        <v>20</v>
      </c>
      <c r="BL314" s="192">
        <f t="shared" ca="1" si="271"/>
        <v>20</v>
      </c>
      <c r="BM314" s="192" t="str">
        <f t="shared" ca="1" si="271"/>
        <v>Cirafon</v>
      </c>
      <c r="BN314" s="192" t="str">
        <f t="shared" ca="1" si="271"/>
        <v>Cirafon</v>
      </c>
      <c r="BO314" s="192" t="str">
        <f t="shared" ca="1" si="271"/>
        <v>HP</v>
      </c>
      <c r="BP314" s="192">
        <f t="shared" ca="1" si="271"/>
        <v>0</v>
      </c>
      <c r="BQ314" s="192" t="str">
        <f t="shared" ca="1" si="271"/>
        <v>LSN8696R2-14.1</v>
      </c>
      <c r="BR314" s="192" t="str">
        <f t="shared" ca="1" si="271"/>
        <v>DPF14-9</v>
      </c>
      <c r="BS314" s="192" t="str">
        <f t="shared" ca="1" si="271"/>
        <v>1MZ01AA</v>
      </c>
      <c r="BT314" s="192">
        <f t="shared" ca="1" si="271"/>
        <v>0</v>
      </c>
      <c r="BU314" s="192"/>
      <c r="BV314" s="192"/>
      <c r="BW314" s="192" t="str">
        <f t="shared" ca="1" si="272"/>
        <v>Dustin Sverige AB</v>
      </c>
      <c r="BX314" s="192" t="str">
        <f t="shared" ca="1" si="272"/>
        <v>HP</v>
      </c>
      <c r="BY314" s="185"/>
      <c r="BZ314" s="185"/>
      <c r="CA314" s="185"/>
      <c r="CB314" s="185"/>
      <c r="CC314" s="185"/>
      <c r="CD314" s="185"/>
      <c r="CE314" s="185"/>
      <c r="CF314" s="185"/>
      <c r="CG314" s="185"/>
      <c r="CH314" s="185"/>
      <c r="CI314" s="185"/>
      <c r="CJ314" s="185"/>
      <c r="CK314" s="185"/>
      <c r="CL314" s="185"/>
      <c r="CM314" s="185"/>
    </row>
    <row r="315" spans="2:91" ht="22.5" customHeight="1" outlineLevel="1" x14ac:dyDescent="0.35">
      <c r="C315" s="61" t="s">
        <v>16</v>
      </c>
      <c r="D315" s="64"/>
      <c r="F315" s="78" t="str">
        <f t="shared" si="273"/>
        <v/>
      </c>
      <c r="G315" s="79">
        <f t="shared" ca="1" si="274"/>
        <v>32</v>
      </c>
      <c r="H315" s="79">
        <f t="shared" ca="1" si="274"/>
        <v>32</v>
      </c>
      <c r="I315" s="120">
        <f t="shared" ca="1" si="274"/>
        <v>64</v>
      </c>
      <c r="J315" s="62"/>
      <c r="Q315" s="185">
        <f t="shared" si="251"/>
        <v>0</v>
      </c>
      <c r="R315" s="185">
        <f t="shared" si="252"/>
        <v>0</v>
      </c>
      <c r="S315" s="185">
        <f t="shared" si="253"/>
        <v>0</v>
      </c>
      <c r="T315" s="185">
        <f t="shared" si="254"/>
        <v>0</v>
      </c>
      <c r="U315" s="185">
        <f t="shared" si="255"/>
        <v>0</v>
      </c>
      <c r="V315" s="185">
        <f t="shared" si="256"/>
        <v>0</v>
      </c>
      <c r="W315" s="185">
        <f t="shared" si="257"/>
        <v>0</v>
      </c>
      <c r="X315" s="185">
        <f t="shared" si="258"/>
        <v>0</v>
      </c>
      <c r="Y315" s="185">
        <f t="shared" ca="1" si="259"/>
        <v>3636</v>
      </c>
      <c r="Z315" s="185" t="str">
        <f t="shared" si="260"/>
        <v>Offererad produktnr. 05Foxway Education AB</v>
      </c>
      <c r="AA315" s="185" t="b">
        <f t="shared" si="261"/>
        <v>1</v>
      </c>
      <c r="AB315" s="185" t="b">
        <f t="shared" si="262"/>
        <v>1</v>
      </c>
      <c r="AC315" s="185" t="b">
        <f t="shared" si="263"/>
        <v>1</v>
      </c>
      <c r="AD315" s="185" t="b">
        <f t="shared" si="264"/>
        <v>1</v>
      </c>
      <c r="AE315" s="185" t="b">
        <f>IF($D$311="",TRUE,IF(COUNTIF(Processor!$I$2:$I$9,$D$311)&gt;0,AND(AT315&gt;INDEX(Processor!$J$2:$J$9,MATCH($D$311,Processor!$I$2:$I$9,0)),AT315&lt;INDEX(Processor!$K$2:$K$9,MATCH($D$311,Processor!$I$2:$I$9,0))),IF(AT315=$D$311,TRUE,FALSE)))</f>
        <v>1</v>
      </c>
      <c r="AF315" s="185" t="b">
        <f t="shared" si="265"/>
        <v>1</v>
      </c>
      <c r="AG315" s="185" t="b">
        <f t="shared" si="266"/>
        <v>1</v>
      </c>
      <c r="AH315" s="185" t="b">
        <f t="shared" si="267"/>
        <v>1</v>
      </c>
      <c r="AI315" s="185" t="b">
        <f t="shared" si="268"/>
        <v>1</v>
      </c>
      <c r="AJ315" s="185" t="b">
        <f>IFERROR(IF($D321="",TRUE,IF(MID(BA315,LEN(BA315)-2,1)*1&gt;=MID($D321,LEN($D321)-2,1)*1,TRUE,FALSE)),FALSE)</f>
        <v>1</v>
      </c>
      <c r="AK315" s="185"/>
      <c r="AL315" s="185"/>
      <c r="AM315" s="185"/>
      <c r="AN315" s="185" t="s">
        <v>214</v>
      </c>
      <c r="AO315" s="185">
        <v>1</v>
      </c>
      <c r="AP315" s="185" t="str">
        <f t="shared" ca="1" si="269"/>
        <v>1366x768</v>
      </c>
      <c r="AQ315" s="185" t="str">
        <f t="shared" ca="1" si="269"/>
        <v>MT8186</v>
      </c>
      <c r="AR315" s="185">
        <f t="shared" ca="1" si="269"/>
        <v>4</v>
      </c>
      <c r="AS315" s="185">
        <f t="shared" ca="1" si="269"/>
        <v>32</v>
      </c>
      <c r="AT315" s="185">
        <f t="shared" ca="1" si="269"/>
        <v>11.6</v>
      </c>
      <c r="AU315" s="185">
        <f t="shared" ca="1" si="269"/>
        <v>3</v>
      </c>
      <c r="AV315" s="185">
        <f t="shared" ca="1" si="269"/>
        <v>1</v>
      </c>
      <c r="AW315" s="185">
        <f t="shared" ca="1" si="269"/>
        <v>0</v>
      </c>
      <c r="AX315" s="185" t="str">
        <f t="shared" ca="1" si="269"/>
        <v>802.11a/b/g/n/ac</v>
      </c>
      <c r="AY315" s="185">
        <f t="shared" ca="1" si="269"/>
        <v>5.0999999999999996</v>
      </c>
      <c r="AZ315" s="185">
        <f t="shared" ca="1" si="270"/>
        <v>11</v>
      </c>
      <c r="BA315" s="185" t="str">
        <f t="shared" ca="1" si="270"/>
        <v>Version 8.0</v>
      </c>
      <c r="BB315" s="185" t="str">
        <f t="shared" ca="1" si="270"/>
        <v>Ja</v>
      </c>
      <c r="BC315" s="185" t="str">
        <f t="shared" ca="1" si="270"/>
        <v>Google Chrome OS</v>
      </c>
      <c r="BD315" s="185" t="str">
        <f t="shared" ca="1" si="270"/>
        <v>100e Chr Gen4</v>
      </c>
      <c r="BE315" s="185">
        <f t="shared" ca="1" si="270"/>
        <v>3636</v>
      </c>
      <c r="BF315" s="192">
        <f t="shared" ca="1" si="270"/>
        <v>78</v>
      </c>
      <c r="BG315" s="192">
        <f t="shared" ca="1" si="270"/>
        <v>240</v>
      </c>
      <c r="BH315" s="192">
        <f t="shared" ca="1" si="270"/>
        <v>210</v>
      </c>
      <c r="BI315" s="192">
        <f t="shared" ca="1" si="270"/>
        <v>405</v>
      </c>
      <c r="BJ315" s="192">
        <f t="shared" ca="1" si="271"/>
        <v>185</v>
      </c>
      <c r="BK315" s="192">
        <f t="shared" ca="1" si="271"/>
        <v>60</v>
      </c>
      <c r="BL315" s="192">
        <f t="shared" ca="1" si="271"/>
        <v>50</v>
      </c>
      <c r="BM315" s="192" t="str">
        <f t="shared" ca="1" si="271"/>
        <v>V7</v>
      </c>
      <c r="BN315" s="192" t="str">
        <f t="shared" ca="1" si="271"/>
        <v>Lenovo</v>
      </c>
      <c r="BO315" s="192" t="str">
        <f t="shared" ca="1" si="271"/>
        <v>Lenovo</v>
      </c>
      <c r="BP315" s="192">
        <f t="shared" ca="1" si="271"/>
        <v>0</v>
      </c>
      <c r="BQ315" s="192" t="str">
        <f t="shared" ca="1" si="271"/>
        <v>V7 Elite Sleeve 12"</v>
      </c>
      <c r="BR315" s="192" t="str">
        <f t="shared" ca="1" si="271"/>
        <v>Lenovo 11.6" Privacy Filter</v>
      </c>
      <c r="BS315" s="192" t="str">
        <f t="shared" ca="1" si="271"/>
        <v>Power adapter USB-C 45w</v>
      </c>
      <c r="BT315" s="192">
        <f t="shared" ca="1" si="271"/>
        <v>0</v>
      </c>
      <c r="BU315" s="192"/>
      <c r="BV315" s="192"/>
      <c r="BW315" s="192" t="str">
        <f t="shared" ca="1" si="272"/>
        <v>Foxway Education AB</v>
      </c>
      <c r="BX315" s="192" t="str">
        <f t="shared" ca="1" si="272"/>
        <v>Lenovo</v>
      </c>
      <c r="BY315" s="185"/>
      <c r="BZ315" s="185"/>
      <c r="CA315" s="185"/>
      <c r="CB315" s="185"/>
      <c r="CC315" s="185"/>
      <c r="CD315" s="185"/>
      <c r="CE315" s="185"/>
      <c r="CF315" s="185"/>
      <c r="CG315" s="185"/>
      <c r="CH315" s="185"/>
      <c r="CI315" s="185"/>
      <c r="CJ315" s="185"/>
      <c r="CK315" s="185"/>
      <c r="CL315" s="185"/>
      <c r="CM315" s="185"/>
    </row>
    <row r="316" spans="2:91" ht="22.5" customHeight="1" outlineLevel="1" x14ac:dyDescent="0.35">
      <c r="C316" s="61" t="s">
        <v>67</v>
      </c>
      <c r="D316" s="64"/>
      <c r="F316" s="78" t="str">
        <f t="shared" si="273"/>
        <v/>
      </c>
      <c r="G316" s="79">
        <f t="shared" ca="1" si="274"/>
        <v>2</v>
      </c>
      <c r="H316" s="79">
        <f t="shared" ca="1" si="274"/>
        <v>4</v>
      </c>
      <c r="I316" s="120">
        <f t="shared" ca="1" si="274"/>
        <v>3</v>
      </c>
      <c r="J316" s="62"/>
      <c r="Q316" s="185">
        <f t="shared" si="251"/>
        <v>0</v>
      </c>
      <c r="R316" s="185">
        <f t="shared" si="252"/>
        <v>0</v>
      </c>
      <c r="S316" s="185">
        <f t="shared" si="253"/>
        <v>0</v>
      </c>
      <c r="T316" s="185">
        <f t="shared" si="254"/>
        <v>0</v>
      </c>
      <c r="U316" s="185">
        <f t="shared" si="255"/>
        <v>0</v>
      </c>
      <c r="V316" s="185">
        <f t="shared" si="256"/>
        <v>0</v>
      </c>
      <c r="W316" s="185">
        <f t="shared" si="257"/>
        <v>0</v>
      </c>
      <c r="X316" s="185">
        <f t="shared" si="258"/>
        <v>0</v>
      </c>
      <c r="Y316" s="185">
        <f t="shared" ca="1" si="259"/>
        <v>5133</v>
      </c>
      <c r="Z316" s="185" t="str">
        <f t="shared" si="260"/>
        <v>Offererad produktnr. 06Foxway Education AB</v>
      </c>
      <c r="AA316" s="185" t="b">
        <f t="shared" si="261"/>
        <v>1</v>
      </c>
      <c r="AB316" s="185" t="b">
        <f t="shared" si="262"/>
        <v>1</v>
      </c>
      <c r="AC316" s="185" t="b">
        <f t="shared" si="263"/>
        <v>1</v>
      </c>
      <c r="AD316" s="185" t="b">
        <f t="shared" si="264"/>
        <v>1</v>
      </c>
      <c r="AE316" s="185" t="b">
        <f>IF($D$311="",TRUE,IF(COUNTIF(Processor!$I$2:$I$9,$D$311)&gt;0,AND(AT316&gt;INDEX(Processor!$J$2:$J$9,MATCH($D$311,Processor!$I$2:$I$9,0)),AT316&lt;INDEX(Processor!$K$2:$K$9,MATCH($D$311,Processor!$I$2:$I$9,0))),IF(AT316=$D$311,TRUE,FALSE)))</f>
        <v>1</v>
      </c>
      <c r="AF316" s="185" t="b">
        <f t="shared" si="265"/>
        <v>1</v>
      </c>
      <c r="AG316" s="185" t="b">
        <f t="shared" si="266"/>
        <v>1</v>
      </c>
      <c r="AH316" s="185" t="b">
        <f t="shared" si="267"/>
        <v>1</v>
      </c>
      <c r="AI316" s="185" t="b">
        <f t="shared" si="268"/>
        <v>1</v>
      </c>
      <c r="AJ316" s="185" t="b">
        <f>IFERROR(IF($D321="",TRUE,IF(MID(BA316,LEN(BA316)-2,1)*1&gt;=MID($D321,LEN($D321)-2,1)*1,TRUE,FALSE)),FALSE)</f>
        <v>1</v>
      </c>
      <c r="AK316" s="185"/>
      <c r="AL316" s="185"/>
      <c r="AM316" s="185"/>
      <c r="AN316" s="185" t="s">
        <v>215</v>
      </c>
      <c r="AO316" s="185">
        <v>1</v>
      </c>
      <c r="AP316" s="185" t="str">
        <f t="shared" ca="1" si="269"/>
        <v>1920x1080</v>
      </c>
      <c r="AQ316" s="185" t="str">
        <f t="shared" ca="1" si="269"/>
        <v>Intel Celeron</v>
      </c>
      <c r="AR316" s="185">
        <f t="shared" ca="1" si="269"/>
        <v>8</v>
      </c>
      <c r="AS316" s="185">
        <f t="shared" ca="1" si="269"/>
        <v>64</v>
      </c>
      <c r="AT316" s="185">
        <f t="shared" ca="1" si="269"/>
        <v>14</v>
      </c>
      <c r="AU316" s="185">
        <f t="shared" ca="1" si="269"/>
        <v>3</v>
      </c>
      <c r="AV316" s="185">
        <f t="shared" ca="1" si="269"/>
        <v>1</v>
      </c>
      <c r="AW316" s="185">
        <f t="shared" ca="1" si="269"/>
        <v>0</v>
      </c>
      <c r="AX316" s="185" t="str">
        <f t="shared" ca="1" si="269"/>
        <v>802.11a/b/g/n/ac/ax</v>
      </c>
      <c r="AY316" s="185">
        <f t="shared" ca="1" si="269"/>
        <v>5</v>
      </c>
      <c r="AZ316" s="185">
        <f t="shared" ca="1" si="270"/>
        <v>11</v>
      </c>
      <c r="BA316" s="185" t="str">
        <f t="shared" ca="1" si="270"/>
        <v>Version 8.0</v>
      </c>
      <c r="BB316" s="185" t="str">
        <f t="shared" ca="1" si="270"/>
        <v>Ja</v>
      </c>
      <c r="BC316" s="185" t="str">
        <f t="shared" ca="1" si="270"/>
        <v>Google Chrome OS</v>
      </c>
      <c r="BD316" s="185" t="str">
        <f t="shared" ca="1" si="270"/>
        <v>Chromebook 14 G7</v>
      </c>
      <c r="BE316" s="185">
        <f t="shared" ca="1" si="270"/>
        <v>5133</v>
      </c>
      <c r="BF316" s="192">
        <f t="shared" ca="1" si="270"/>
        <v>78</v>
      </c>
      <c r="BG316" s="192">
        <f t="shared" ca="1" si="270"/>
        <v>276</v>
      </c>
      <c r="BH316" s="192">
        <f t="shared" ca="1" si="270"/>
        <v>240</v>
      </c>
      <c r="BI316" s="192">
        <f t="shared" ca="1" si="270"/>
        <v>162</v>
      </c>
      <c r="BJ316" s="192">
        <f t="shared" ca="1" si="271"/>
        <v>185</v>
      </c>
      <c r="BK316" s="192">
        <f t="shared" ca="1" si="271"/>
        <v>60</v>
      </c>
      <c r="BL316" s="192">
        <f t="shared" ca="1" si="271"/>
        <v>50</v>
      </c>
      <c r="BM316" s="192" t="str">
        <f t="shared" ca="1" si="271"/>
        <v>V7</v>
      </c>
      <c r="BN316" s="192" t="str">
        <f t="shared" ca="1" si="271"/>
        <v>Targus</v>
      </c>
      <c r="BO316" s="192" t="str">
        <f t="shared" ca="1" si="271"/>
        <v>HP</v>
      </c>
      <c r="BP316" s="192">
        <f t="shared" ca="1" si="271"/>
        <v>0</v>
      </c>
      <c r="BQ316" s="192" t="str">
        <f t="shared" ca="1" si="271"/>
        <v>V7 Elite Sleeve 12"</v>
      </c>
      <c r="BR316" s="192" t="str">
        <f t="shared" ca="1" si="271"/>
        <v>Targus Privacy Screen 14"</v>
      </c>
      <c r="BS316" s="192" t="str">
        <f t="shared" ca="1" si="271"/>
        <v>HP 45W USB-C Power Adapter G2</v>
      </c>
      <c r="BT316" s="192">
        <f t="shared" ca="1" si="271"/>
        <v>0</v>
      </c>
      <c r="BU316" s="192"/>
      <c r="BV316" s="192"/>
      <c r="BW316" s="192" t="str">
        <f t="shared" ca="1" si="272"/>
        <v>Foxway Education AB</v>
      </c>
      <c r="BX316" s="192" t="str">
        <f t="shared" ca="1" si="272"/>
        <v>HP</v>
      </c>
      <c r="BY316" s="185"/>
      <c r="BZ316" s="185"/>
      <c r="CA316" s="185"/>
      <c r="CB316" s="185"/>
      <c r="CC316" s="185"/>
      <c r="CD316" s="185"/>
      <c r="CE316" s="185"/>
      <c r="CF316" s="185"/>
      <c r="CG316" s="185"/>
      <c r="CH316" s="185"/>
      <c r="CI316" s="185"/>
      <c r="CJ316" s="185"/>
      <c r="CK316" s="185"/>
      <c r="CL316" s="185"/>
      <c r="CM316" s="185"/>
    </row>
    <row r="317" spans="2:91" ht="22.5" customHeight="1" outlineLevel="1" x14ac:dyDescent="0.35">
      <c r="C317" s="61" t="s">
        <v>74</v>
      </c>
      <c r="D317" s="64"/>
      <c r="F317" s="78" t="str">
        <f t="shared" si="273"/>
        <v/>
      </c>
      <c r="G317" s="79">
        <f t="shared" ca="1" si="274"/>
        <v>1</v>
      </c>
      <c r="H317" s="79">
        <f t="shared" ca="1" si="274"/>
        <v>2</v>
      </c>
      <c r="I317" s="120">
        <f t="shared" ca="1" si="274"/>
        <v>1</v>
      </c>
      <c r="J317" s="62"/>
      <c r="Q317" s="185">
        <f t="shared" si="251"/>
        <v>0</v>
      </c>
      <c r="R317" s="185">
        <f t="shared" si="252"/>
        <v>0</v>
      </c>
      <c r="S317" s="185">
        <f t="shared" si="253"/>
        <v>0</v>
      </c>
      <c r="T317" s="185">
        <f t="shared" si="254"/>
        <v>0</v>
      </c>
      <c r="U317" s="185">
        <f t="shared" si="255"/>
        <v>0</v>
      </c>
      <c r="V317" s="185">
        <f t="shared" si="256"/>
        <v>0</v>
      </c>
      <c r="W317" s="185">
        <f t="shared" si="257"/>
        <v>0</v>
      </c>
      <c r="X317" s="185">
        <f t="shared" si="258"/>
        <v>0</v>
      </c>
      <c r="Y317" s="185">
        <f t="shared" ca="1" si="259"/>
        <v>2950</v>
      </c>
      <c r="Z317" s="185" t="str">
        <f t="shared" si="260"/>
        <v>Offererad produktnr. 05Qlosr Göteborg AB</v>
      </c>
      <c r="AA317" s="185" t="b">
        <f t="shared" si="261"/>
        <v>1</v>
      </c>
      <c r="AB317" s="185" t="b">
        <f t="shared" si="262"/>
        <v>1</v>
      </c>
      <c r="AC317" s="185" t="b">
        <f t="shared" si="263"/>
        <v>1</v>
      </c>
      <c r="AD317" s="185" t="b">
        <f t="shared" si="264"/>
        <v>1</v>
      </c>
      <c r="AE317" s="185" t="b">
        <f>IF($D$311="",TRUE,IF(COUNTIF(Processor!$I$2:$I$9,$D$311)&gt;0,AND(AT317&gt;INDEX(Processor!$J$2:$J$9,MATCH($D$311,Processor!$I$2:$I$9,0)),AT317&lt;INDEX(Processor!$K$2:$K$9,MATCH($D$311,Processor!$I$2:$I$9,0))),IF(AT317=$D$311,TRUE,FALSE)))</f>
        <v>1</v>
      </c>
      <c r="AF317" s="185" t="b">
        <f t="shared" si="265"/>
        <v>1</v>
      </c>
      <c r="AG317" s="185" t="b">
        <f t="shared" si="266"/>
        <v>1</v>
      </c>
      <c r="AH317" s="185" t="b">
        <f t="shared" si="267"/>
        <v>1</v>
      </c>
      <c r="AI317" s="185" t="b">
        <f t="shared" si="268"/>
        <v>1</v>
      </c>
      <c r="AJ317" s="185" t="b">
        <f>IFERROR(IF($D321="",TRUE,IF(MID(BA317,LEN(BA317)-2,1)*1&gt;=MID($D321,LEN($D321)-2,1)*1,TRUE,FALSE)),FALSE)</f>
        <v>1</v>
      </c>
      <c r="AK317" s="185"/>
      <c r="AL317" s="185"/>
      <c r="AM317" s="185"/>
      <c r="AN317" s="185" t="s">
        <v>556</v>
      </c>
      <c r="AO317" s="185">
        <v>1</v>
      </c>
      <c r="AP317" s="185" t="str">
        <f t="shared" ca="1" si="269"/>
        <v>1366x768</v>
      </c>
      <c r="AQ317" s="185" t="str">
        <f t="shared" ca="1" si="269"/>
        <v>Intel Celeron</v>
      </c>
      <c r="AR317" s="185">
        <f t="shared" ca="1" si="269"/>
        <v>4</v>
      </c>
      <c r="AS317" s="185">
        <f t="shared" ca="1" si="269"/>
        <v>32</v>
      </c>
      <c r="AT317" s="185">
        <f t="shared" ca="1" si="269"/>
        <v>11.6</v>
      </c>
      <c r="AU317" s="185">
        <f t="shared" ca="1" si="269"/>
        <v>2</v>
      </c>
      <c r="AV317" s="185">
        <f t="shared" ca="1" si="269"/>
        <v>1</v>
      </c>
      <c r="AW317" s="185">
        <f t="shared" ca="1" si="269"/>
        <v>0</v>
      </c>
      <c r="AX317" s="185" t="str">
        <f t="shared" ca="1" si="269"/>
        <v>802.11a/b/g/n/ac/ax</v>
      </c>
      <c r="AY317" s="185">
        <f t="shared" ca="1" si="269"/>
        <v>5.0999999999999996</v>
      </c>
      <c r="AZ317" s="185">
        <f t="shared" ca="1" si="270"/>
        <v>11</v>
      </c>
      <c r="BA317" s="185" t="str">
        <f t="shared" ca="1" si="270"/>
        <v>Version 8.0</v>
      </c>
      <c r="BB317" s="185" t="str">
        <f t="shared" ca="1" si="270"/>
        <v>Ja</v>
      </c>
      <c r="BC317" s="185" t="str">
        <f t="shared" ca="1" si="270"/>
        <v>Google Chrome OS</v>
      </c>
      <c r="BD317" s="185" t="str">
        <f t="shared" ca="1" si="270"/>
        <v>Chromebook 3110</v>
      </c>
      <c r="BE317" s="185">
        <f t="shared" ca="1" si="270"/>
        <v>2950</v>
      </c>
      <c r="BF317" s="192">
        <f t="shared" ca="1" si="270"/>
        <v>59</v>
      </c>
      <c r="BG317" s="192">
        <f t="shared" ca="1" si="270"/>
        <v>287</v>
      </c>
      <c r="BH317" s="192">
        <f t="shared" ca="1" si="270"/>
        <v>240</v>
      </c>
      <c r="BI317" s="192">
        <f t="shared" ca="1" si="270"/>
        <v>275</v>
      </c>
      <c r="BJ317" s="192">
        <f t="shared" ca="1" si="271"/>
        <v>70</v>
      </c>
      <c r="BK317" s="192">
        <f t="shared" ca="1" si="271"/>
        <v>25</v>
      </c>
      <c r="BL317" s="192">
        <f t="shared" ca="1" si="271"/>
        <v>25</v>
      </c>
      <c r="BM317" s="192" t="str">
        <f t="shared" ca="1" si="271"/>
        <v>HP</v>
      </c>
      <c r="BN317" s="192" t="str">
        <f t="shared" ca="1" si="271"/>
        <v>Kapsolo</v>
      </c>
      <c r="BO317" s="192" t="str">
        <f t="shared" ca="1" si="271"/>
        <v>Dell</v>
      </c>
      <c r="BP317" s="192">
        <f t="shared" ca="1" si="271"/>
        <v>0</v>
      </c>
      <c r="BQ317" s="192" t="str">
        <f t="shared" ca="1" si="271"/>
        <v>GBX77E81AA</v>
      </c>
      <c r="BR317" s="192" t="str">
        <f t="shared" ca="1" si="271"/>
        <v>GBXKAP10145</v>
      </c>
      <c r="BS317" s="192" t="str">
        <f t="shared" ca="1" si="271"/>
        <v>DELL-921CW</v>
      </c>
      <c r="BT317" s="192">
        <f t="shared" ca="1" si="271"/>
        <v>0</v>
      </c>
      <c r="BU317" s="192"/>
      <c r="BV317" s="192"/>
      <c r="BW317" s="192" t="str">
        <f t="shared" ca="1" si="272"/>
        <v>Qlosr Göteborg AB</v>
      </c>
      <c r="BX317" s="192" t="str">
        <f t="shared" ca="1" si="272"/>
        <v>Dell</v>
      </c>
      <c r="BY317" s="185"/>
      <c r="BZ317" s="185"/>
      <c r="CA317" s="185"/>
      <c r="CB317" s="185"/>
      <c r="CC317" s="185"/>
      <c r="CD317" s="185"/>
      <c r="CE317" s="185"/>
      <c r="CF317" s="185"/>
      <c r="CG317" s="185"/>
      <c r="CH317" s="185"/>
      <c r="CI317" s="185"/>
      <c r="CJ317" s="185"/>
      <c r="CK317" s="185"/>
      <c r="CL317" s="185"/>
      <c r="CM317" s="185"/>
    </row>
    <row r="318" spans="2:91" ht="22.5" customHeight="1" outlineLevel="1" x14ac:dyDescent="0.35">
      <c r="C318" s="61" t="s">
        <v>103</v>
      </c>
      <c r="D318" s="64"/>
      <c r="F318" s="78" t="str">
        <f t="shared" si="273"/>
        <v/>
      </c>
      <c r="G318" s="79" t="str">
        <f t="shared" ca="1" si="274"/>
        <v>802.11a/b/g/n/ac/ax</v>
      </c>
      <c r="H318" s="79" t="str">
        <f t="shared" ca="1" si="274"/>
        <v>802.11a/b/g/n/ac/ax</v>
      </c>
      <c r="I318" s="120" t="str">
        <f t="shared" ca="1" si="274"/>
        <v>802.11a/b/g/n/ac/ax</v>
      </c>
      <c r="J318" s="62"/>
      <c r="Q318" s="185">
        <f t="shared" si="251"/>
        <v>0</v>
      </c>
      <c r="R318" s="185">
        <f t="shared" si="252"/>
        <v>0</v>
      </c>
      <c r="S318" s="185">
        <f t="shared" si="253"/>
        <v>0</v>
      </c>
      <c r="T318" s="185">
        <f t="shared" si="254"/>
        <v>0</v>
      </c>
      <c r="U318" s="185">
        <f t="shared" si="255"/>
        <v>0</v>
      </c>
      <c r="V318" s="185">
        <f t="shared" si="256"/>
        <v>0</v>
      </c>
      <c r="W318" s="185">
        <f t="shared" si="257"/>
        <v>0</v>
      </c>
      <c r="X318" s="185">
        <f t="shared" si="258"/>
        <v>0</v>
      </c>
      <c r="Y318" s="185">
        <f t="shared" ca="1" si="259"/>
        <v>3610</v>
      </c>
      <c r="Z318" s="185" t="str">
        <f t="shared" si="260"/>
        <v>Offererad produktnr. 06Qlosr Göteborg AB</v>
      </c>
      <c r="AA318" s="185" t="b">
        <f t="shared" si="261"/>
        <v>1</v>
      </c>
      <c r="AB318" s="185" t="b">
        <f t="shared" si="262"/>
        <v>1</v>
      </c>
      <c r="AC318" s="185" t="b">
        <f t="shared" si="263"/>
        <v>1</v>
      </c>
      <c r="AD318" s="185" t="b">
        <f t="shared" si="264"/>
        <v>1</v>
      </c>
      <c r="AE318" s="185" t="b">
        <f>IF($D$311="",TRUE,IF(COUNTIF(Processor!$I$2:$I$9,$D$311)&gt;0,AND(AT318&gt;INDEX(Processor!$J$2:$J$9,MATCH($D$311,Processor!$I$2:$I$9,0)),AT318&lt;INDEX(Processor!$K$2:$K$9,MATCH($D$311,Processor!$I$2:$I$9,0))),IF(AT318=$D$311,TRUE,FALSE)))</f>
        <v>1</v>
      </c>
      <c r="AF318" s="185" t="b">
        <f t="shared" si="265"/>
        <v>1</v>
      </c>
      <c r="AG318" s="185" t="b">
        <f t="shared" si="266"/>
        <v>1</v>
      </c>
      <c r="AH318" s="185" t="b">
        <f t="shared" si="267"/>
        <v>1</v>
      </c>
      <c r="AI318" s="185" t="b">
        <f t="shared" si="268"/>
        <v>1</v>
      </c>
      <c r="AJ318" s="185" t="b">
        <f>IFERROR(IF($D321="",TRUE,IF(MID(BA318,LEN(BA318)-2,1)*1&gt;=MID($D321,LEN($D321)-2,1)*1,TRUE,FALSE)),FALSE)</f>
        <v>1</v>
      </c>
      <c r="AK318" s="185"/>
      <c r="AL318" s="185"/>
      <c r="AM318" s="185"/>
      <c r="AN318" s="185" t="s">
        <v>557</v>
      </c>
      <c r="AO318" s="185">
        <v>1</v>
      </c>
      <c r="AP318" s="185" t="str">
        <f t="shared" ca="1" si="269"/>
        <v>1920x1080</v>
      </c>
      <c r="AQ318" s="185" t="str">
        <f t="shared" ca="1" si="269"/>
        <v>Intel Celeron</v>
      </c>
      <c r="AR318" s="185">
        <f t="shared" ca="1" si="269"/>
        <v>8</v>
      </c>
      <c r="AS318" s="185">
        <f t="shared" ca="1" si="269"/>
        <v>64</v>
      </c>
      <c r="AT318" s="185">
        <f t="shared" ca="1" si="269"/>
        <v>14</v>
      </c>
      <c r="AU318" s="185">
        <f t="shared" ca="1" si="269"/>
        <v>3</v>
      </c>
      <c r="AV318" s="185">
        <f t="shared" ca="1" si="269"/>
        <v>1</v>
      </c>
      <c r="AW318" s="185">
        <f t="shared" ca="1" si="269"/>
        <v>0</v>
      </c>
      <c r="AX318" s="185" t="str">
        <f t="shared" ca="1" si="269"/>
        <v>802.11a/b/g/n/ac/ax</v>
      </c>
      <c r="AY318" s="185">
        <f t="shared" ca="1" si="269"/>
        <v>5</v>
      </c>
      <c r="AZ318" s="185">
        <f t="shared" ca="1" si="270"/>
        <v>11</v>
      </c>
      <c r="BA318" s="185" t="str">
        <f t="shared" ca="1" si="270"/>
        <v>Version 8.0</v>
      </c>
      <c r="BB318" s="185" t="str">
        <f t="shared" ca="1" si="270"/>
        <v>Ja</v>
      </c>
      <c r="BC318" s="185" t="str">
        <f t="shared" ca="1" si="270"/>
        <v>Google Chrome OS</v>
      </c>
      <c r="BD318" s="185" t="str">
        <f t="shared" ca="1" si="270"/>
        <v>Chromebook 14 G7</v>
      </c>
      <c r="BE318" s="185">
        <f t="shared" ca="1" si="270"/>
        <v>3610</v>
      </c>
      <c r="BF318" s="192">
        <f t="shared" ca="1" si="270"/>
        <v>64</v>
      </c>
      <c r="BG318" s="192">
        <f t="shared" ca="1" si="270"/>
        <v>298</v>
      </c>
      <c r="BH318" s="192">
        <f t="shared" ca="1" si="270"/>
        <v>198</v>
      </c>
      <c r="BI318" s="192">
        <f t="shared" ca="1" si="270"/>
        <v>125</v>
      </c>
      <c r="BJ318" s="192">
        <f t="shared" ca="1" si="271"/>
        <v>70</v>
      </c>
      <c r="BK318" s="192">
        <f t="shared" ca="1" si="271"/>
        <v>25</v>
      </c>
      <c r="BL318" s="192">
        <f t="shared" ca="1" si="271"/>
        <v>25</v>
      </c>
      <c r="BM318" s="192" t="str">
        <f t="shared" ca="1" si="271"/>
        <v>HP</v>
      </c>
      <c r="BN318" s="192" t="str">
        <f t="shared" ca="1" si="271"/>
        <v>Kapsolo</v>
      </c>
      <c r="BO318" s="192" t="str">
        <f t="shared" ca="1" si="271"/>
        <v>HP</v>
      </c>
      <c r="BP318" s="192">
        <f t="shared" ca="1" si="271"/>
        <v>0</v>
      </c>
      <c r="BQ318" s="192" t="str">
        <f t="shared" ca="1" si="271"/>
        <v>GBX2UW01AA</v>
      </c>
      <c r="BR318" s="192" t="str">
        <f t="shared" ca="1" si="271"/>
        <v>GBXKAP10478</v>
      </c>
      <c r="BS318" s="192" t="str">
        <f t="shared" ca="1" si="271"/>
        <v>GBX1HE07AA</v>
      </c>
      <c r="BT318" s="192">
        <f t="shared" ca="1" si="271"/>
        <v>0</v>
      </c>
      <c r="BU318" s="192"/>
      <c r="BV318" s="192"/>
      <c r="BW318" s="192" t="str">
        <f t="shared" ca="1" si="272"/>
        <v>Qlosr Göteborg AB</v>
      </c>
      <c r="BX318" s="192" t="str">
        <f t="shared" ca="1" si="272"/>
        <v>HP</v>
      </c>
      <c r="BY318" s="185"/>
      <c r="BZ318" s="185"/>
      <c r="CA318" s="185"/>
      <c r="CB318" s="185"/>
      <c r="CC318" s="185"/>
      <c r="CD318" s="185"/>
      <c r="CE318" s="185"/>
      <c r="CF318" s="185"/>
      <c r="CG318" s="185"/>
      <c r="CH318" s="185"/>
      <c r="CI318" s="185"/>
      <c r="CJ318" s="185"/>
      <c r="CK318" s="185"/>
      <c r="CL318" s="185"/>
      <c r="CM318" s="185"/>
    </row>
    <row r="319" spans="2:91" ht="33.75" customHeight="1" outlineLevel="1" x14ac:dyDescent="0.35">
      <c r="C319" s="61" t="s">
        <v>75</v>
      </c>
      <c r="D319" s="110"/>
      <c r="F319" s="78" t="str">
        <f t="shared" si="273"/>
        <v/>
      </c>
      <c r="G319" s="79">
        <f t="shared" ca="1" si="274"/>
        <v>5.0999999999999996</v>
      </c>
      <c r="H319" s="79">
        <f t="shared" ca="1" si="274"/>
        <v>5</v>
      </c>
      <c r="I319" s="120">
        <f t="shared" ca="1" si="274"/>
        <v>5</v>
      </c>
      <c r="J319" s="94"/>
      <c r="BF319" s="63"/>
      <c r="BG319" s="63"/>
      <c r="BH319" s="63"/>
      <c r="BI319" s="63"/>
      <c r="BJ319" s="63"/>
      <c r="BK319" s="63"/>
      <c r="BL319" s="63"/>
      <c r="BM319" s="63"/>
      <c r="BN319" s="63"/>
      <c r="BO319" s="63"/>
      <c r="BP319" s="63"/>
      <c r="BQ319" s="63"/>
      <c r="BR319" s="63"/>
      <c r="BS319" s="63"/>
      <c r="BT319" s="63"/>
      <c r="BU319" s="63"/>
      <c r="BV319" s="63"/>
      <c r="BW319" s="63"/>
      <c r="BX319" s="63"/>
    </row>
    <row r="320" spans="2:91" ht="33.75" customHeight="1" outlineLevel="1" x14ac:dyDescent="0.35">
      <c r="C320" s="61" t="s">
        <v>120</v>
      </c>
      <c r="D320" s="65"/>
      <c r="F320" s="80" t="str">
        <f t="shared" si="273"/>
        <v/>
      </c>
      <c r="G320" s="81">
        <f t="shared" ca="1" si="274"/>
        <v>11</v>
      </c>
      <c r="H320" s="81">
        <f t="shared" ca="1" si="274"/>
        <v>11</v>
      </c>
      <c r="I320" s="121">
        <f t="shared" ca="1" si="274"/>
        <v>11</v>
      </c>
      <c r="J320" s="62"/>
      <c r="BF320" s="63"/>
      <c r="BG320" s="63"/>
      <c r="BH320" s="63"/>
      <c r="BI320" s="63"/>
      <c r="BJ320" s="63"/>
      <c r="BK320" s="63"/>
      <c r="BL320" s="63"/>
      <c r="BM320" s="63"/>
      <c r="BN320" s="63"/>
      <c r="BO320" s="63"/>
      <c r="BP320" s="63"/>
      <c r="BQ320" s="63"/>
      <c r="BR320" s="63"/>
      <c r="BS320" s="63"/>
      <c r="BT320" s="63"/>
      <c r="BU320" s="63"/>
      <c r="BV320" s="63"/>
      <c r="BW320" s="63"/>
      <c r="BX320" s="63"/>
    </row>
    <row r="321" spans="2:76" ht="33.75" customHeight="1" outlineLevel="1" x14ac:dyDescent="0.35">
      <c r="C321" s="61" t="s">
        <v>38</v>
      </c>
      <c r="D321" s="64"/>
      <c r="F321" s="78" t="str">
        <f t="shared" si="273"/>
        <v/>
      </c>
      <c r="G321" s="81" t="str">
        <f t="shared" ca="1" si="274"/>
        <v>Version 8.0</v>
      </c>
      <c r="H321" s="81" t="str">
        <f t="shared" ca="1" si="274"/>
        <v>Version 8.0</v>
      </c>
      <c r="I321" s="121" t="str">
        <f t="shared" ca="1" si="274"/>
        <v>Version 8.0</v>
      </c>
      <c r="J321" s="62"/>
      <c r="BF321" s="63"/>
      <c r="BG321" s="63"/>
      <c r="BH321" s="63"/>
      <c r="BI321" s="63"/>
      <c r="BJ321" s="63"/>
      <c r="BK321" s="63"/>
      <c r="BL321" s="63"/>
      <c r="BM321" s="63"/>
      <c r="BN321" s="63"/>
      <c r="BO321" s="63"/>
      <c r="BP321" s="63"/>
      <c r="BQ321" s="63"/>
      <c r="BR321" s="63"/>
      <c r="BS321" s="63"/>
      <c r="BT321" s="63"/>
      <c r="BU321" s="63"/>
      <c r="BV321" s="63"/>
      <c r="BW321" s="63"/>
      <c r="BX321" s="63"/>
    </row>
    <row r="322" spans="2:76" ht="33.75" customHeight="1" outlineLevel="1" x14ac:dyDescent="0.35">
      <c r="C322" s="61" t="s">
        <v>37</v>
      </c>
      <c r="D322" s="64"/>
      <c r="F322" s="78" t="str">
        <f t="shared" si="273"/>
        <v/>
      </c>
      <c r="G322" s="79" t="str">
        <f t="shared" ca="1" si="274"/>
        <v>Ja</v>
      </c>
      <c r="H322" s="79" t="str">
        <f t="shared" ca="1" si="274"/>
        <v>Ja</v>
      </c>
      <c r="I322" s="120" t="str">
        <f t="shared" ca="1" si="274"/>
        <v>Ja</v>
      </c>
      <c r="J322" s="62"/>
      <c r="BF322" s="63"/>
      <c r="BG322" s="63"/>
      <c r="BH322" s="63"/>
      <c r="BI322" s="63"/>
      <c r="BJ322" s="63"/>
      <c r="BK322" s="63"/>
      <c r="BL322" s="63"/>
      <c r="BM322" s="63"/>
      <c r="BN322" s="63"/>
      <c r="BO322" s="63"/>
      <c r="BP322" s="63"/>
      <c r="BQ322" s="63"/>
      <c r="BR322" s="63"/>
      <c r="BS322" s="63"/>
      <c r="BT322" s="63"/>
      <c r="BU322" s="63"/>
      <c r="BV322" s="63"/>
      <c r="BW322" s="63"/>
      <c r="BX322" s="63"/>
    </row>
    <row r="323" spans="2:76" ht="23.25" customHeight="1" outlineLevel="1" x14ac:dyDescent="0.35">
      <c r="C323" s="66"/>
      <c r="D323" s="67"/>
      <c r="G323" s="62"/>
      <c r="H323" s="62"/>
      <c r="I323" s="62"/>
      <c r="J323" s="62"/>
      <c r="BF323" s="63"/>
      <c r="BG323" s="63"/>
      <c r="BH323" s="63"/>
      <c r="BI323" s="63"/>
      <c r="BJ323" s="63"/>
      <c r="BK323" s="63"/>
      <c r="BL323" s="63"/>
      <c r="BM323" s="63"/>
      <c r="BN323" s="63"/>
      <c r="BO323" s="63"/>
      <c r="BP323" s="63"/>
      <c r="BQ323" s="63"/>
      <c r="BR323" s="63"/>
      <c r="BS323" s="63"/>
      <c r="BT323" s="63"/>
      <c r="BU323" s="63"/>
      <c r="BV323" s="63"/>
      <c r="BW323" s="63"/>
      <c r="BX323" s="63"/>
    </row>
    <row r="324" spans="2:76" ht="23.25" customHeight="1" outlineLevel="1" x14ac:dyDescent="0.35">
      <c r="C324" s="212" t="s">
        <v>366</v>
      </c>
      <c r="D324" s="213"/>
      <c r="E324" s="213"/>
      <c r="F324" s="213"/>
      <c r="G324" s="213"/>
      <c r="H324" s="213"/>
      <c r="I324" s="214"/>
      <c r="J324" s="62"/>
      <c r="BF324" s="63"/>
      <c r="BG324" s="63"/>
      <c r="BH324" s="63"/>
      <c r="BI324" s="63"/>
      <c r="BJ324" s="63"/>
      <c r="BK324" s="63"/>
      <c r="BL324" s="63"/>
      <c r="BM324" s="63"/>
      <c r="BN324" s="63"/>
      <c r="BO324" s="63"/>
      <c r="BP324" s="63"/>
      <c r="BQ324" s="63"/>
      <c r="BR324" s="63"/>
      <c r="BS324" s="63"/>
      <c r="BT324" s="63"/>
      <c r="BU324" s="63"/>
      <c r="BV324" s="63"/>
      <c r="BW324" s="63"/>
      <c r="BX324" s="63"/>
    </row>
    <row r="325" spans="2:76" ht="23.25" customHeight="1" outlineLevel="1" x14ac:dyDescent="0.35">
      <c r="B325" s="69" t="s">
        <v>53</v>
      </c>
      <c r="C325" s="95" t="s">
        <v>363</v>
      </c>
      <c r="D325" s="70"/>
      <c r="F325" s="159" t="str">
        <f t="shared" ref="F325:F333" si="275">IF(F$307="Inget antal angivet","",IFERROR(INDEX($AP$308:$BX$332,MATCH(F$304,$AN$308:$AN$332,0),MATCH($B325,$AP$308:$BX$308,0)),""))</f>
        <v/>
      </c>
      <c r="G325" s="160">
        <f t="shared" ref="G325:I333" ca="1" si="276">IFERROR(INDEX($AP$308:$BX$332,MATCH(G$304,$AN$308:$AN$332,0),MATCH($B325,$AP$308:$BX$308,0)),"")</f>
        <v>59</v>
      </c>
      <c r="H325" s="160">
        <f t="shared" ca="1" si="276"/>
        <v>87</v>
      </c>
      <c r="I325" s="160">
        <f t="shared" ca="1" si="276"/>
        <v>64</v>
      </c>
      <c r="J325" s="73"/>
      <c r="BF325" s="63"/>
      <c r="BG325" s="63"/>
      <c r="BH325" s="63"/>
      <c r="BI325" s="63"/>
      <c r="BJ325" s="63"/>
      <c r="BK325" s="63"/>
      <c r="BL325" s="63"/>
      <c r="BM325" s="63"/>
      <c r="BN325" s="63"/>
      <c r="BO325" s="63"/>
      <c r="BP325" s="63"/>
      <c r="BQ325" s="63"/>
      <c r="BR325" s="63"/>
      <c r="BS325" s="63"/>
      <c r="BT325" s="63"/>
      <c r="BU325" s="63"/>
      <c r="BV325" s="63"/>
      <c r="BW325" s="63"/>
      <c r="BX325" s="63"/>
    </row>
    <row r="326" spans="2:76" ht="23.25" customHeight="1" outlineLevel="1" x14ac:dyDescent="0.35">
      <c r="B326" s="69" t="s">
        <v>340</v>
      </c>
      <c r="C326" s="96" t="s">
        <v>51</v>
      </c>
      <c r="D326" s="131" t="str">
        <f>IF("Ska Ingå"=D325,"Ska Ingå","")</f>
        <v/>
      </c>
      <c r="F326" s="84" t="str">
        <f t="shared" si="275"/>
        <v/>
      </c>
      <c r="G326" s="85" t="str">
        <f t="shared" ca="1" si="276"/>
        <v>HP</v>
      </c>
      <c r="H326" s="85" t="str">
        <f t="shared" ca="1" si="276"/>
        <v>Cirafon</v>
      </c>
      <c r="I326" s="85" t="str">
        <f t="shared" ca="1" si="276"/>
        <v>HP</v>
      </c>
      <c r="J326" s="54"/>
      <c r="BF326" s="63"/>
      <c r="BG326" s="63"/>
      <c r="BH326" s="63"/>
      <c r="BI326" s="63"/>
      <c r="BJ326" s="63"/>
      <c r="BK326" s="63"/>
      <c r="BL326" s="63"/>
      <c r="BM326" s="63"/>
      <c r="BN326" s="63"/>
      <c r="BO326" s="63"/>
      <c r="BP326" s="63"/>
      <c r="BQ326" s="63"/>
      <c r="BR326" s="63"/>
      <c r="BS326" s="63"/>
      <c r="BT326" s="63"/>
      <c r="BU326" s="63"/>
      <c r="BV326" s="63"/>
      <c r="BW326" s="63"/>
      <c r="BX326" s="63"/>
    </row>
    <row r="327" spans="2:76" ht="67.5" customHeight="1" outlineLevel="1" x14ac:dyDescent="0.35">
      <c r="B327" s="69" t="s">
        <v>345</v>
      </c>
      <c r="C327" s="97" t="s">
        <v>52</v>
      </c>
      <c r="D327" s="132" t="str">
        <f>IF("Ska Ingå"=D325,"Ska Ingå","")</f>
        <v/>
      </c>
      <c r="F327" s="86" t="str">
        <f t="shared" si="275"/>
        <v/>
      </c>
      <c r="G327" s="87" t="str">
        <f t="shared" ca="1" si="276"/>
        <v>GBX77E81AA</v>
      </c>
      <c r="H327" s="87" t="str">
        <f t="shared" ca="1" si="276"/>
        <v>LSN9117-11</v>
      </c>
      <c r="I327" s="87" t="str">
        <f t="shared" ca="1" si="276"/>
        <v>GBX2UW01AA</v>
      </c>
      <c r="J327" s="73"/>
      <c r="BF327" s="63"/>
      <c r="BG327" s="63"/>
      <c r="BH327" s="63"/>
      <c r="BI327" s="63"/>
      <c r="BJ327" s="63"/>
      <c r="BK327" s="63"/>
      <c r="BL327" s="63"/>
      <c r="BM327" s="63"/>
      <c r="BN327" s="63"/>
      <c r="BO327" s="63"/>
      <c r="BP327" s="63"/>
      <c r="BQ327" s="63"/>
      <c r="BR327" s="63"/>
      <c r="BS327" s="63"/>
      <c r="BT327" s="63"/>
      <c r="BU327" s="63"/>
      <c r="BV327" s="63"/>
      <c r="BW327" s="63"/>
      <c r="BX327" s="63"/>
    </row>
    <row r="328" spans="2:76" ht="23.25" customHeight="1" outlineLevel="1" x14ac:dyDescent="0.35">
      <c r="B328" s="69" t="s">
        <v>54</v>
      </c>
      <c r="C328" s="98" t="s">
        <v>77</v>
      </c>
      <c r="D328" s="70"/>
      <c r="F328" s="157" t="str">
        <f t="shared" si="275"/>
        <v/>
      </c>
      <c r="G328" s="158">
        <f t="shared" ca="1" si="276"/>
        <v>287</v>
      </c>
      <c r="H328" s="158">
        <f t="shared" ca="1" si="276"/>
        <v>123</v>
      </c>
      <c r="I328" s="158">
        <f t="shared" ca="1" si="276"/>
        <v>298</v>
      </c>
      <c r="J328" s="54"/>
      <c r="BF328" s="63"/>
      <c r="BG328" s="63"/>
      <c r="BH328" s="63"/>
      <c r="BI328" s="63"/>
      <c r="BJ328" s="63"/>
      <c r="BK328" s="63"/>
      <c r="BL328" s="63"/>
      <c r="BM328" s="63"/>
      <c r="BN328" s="63"/>
      <c r="BO328" s="63"/>
      <c r="BP328" s="63"/>
      <c r="BQ328" s="63"/>
      <c r="BR328" s="63"/>
      <c r="BS328" s="63"/>
      <c r="BT328" s="63"/>
      <c r="BU328" s="63"/>
      <c r="BV328" s="63"/>
      <c r="BW328" s="63"/>
      <c r="BX328" s="63"/>
    </row>
    <row r="329" spans="2:76" ht="23.25" customHeight="1" outlineLevel="1" x14ac:dyDescent="0.35">
      <c r="B329" s="69" t="s">
        <v>341</v>
      </c>
      <c r="C329" s="61" t="s">
        <v>51</v>
      </c>
      <c r="D329" s="131" t="str">
        <f>IF("Ska Ingå"=D328,"Ska Ingå","")</f>
        <v/>
      </c>
      <c r="F329" s="88" t="str">
        <f t="shared" si="275"/>
        <v/>
      </c>
      <c r="G329" s="89" t="str">
        <f t="shared" ca="1" si="276"/>
        <v>Kapsolo</v>
      </c>
      <c r="H329" s="89" t="str">
        <f t="shared" ca="1" si="276"/>
        <v>Cirafon</v>
      </c>
      <c r="I329" s="89" t="str">
        <f t="shared" ca="1" si="276"/>
        <v>Kapsolo</v>
      </c>
      <c r="J329" s="73"/>
      <c r="BF329" s="63"/>
      <c r="BG329" s="63"/>
      <c r="BH329" s="63"/>
      <c r="BI329" s="63"/>
      <c r="BJ329" s="63"/>
      <c r="BK329" s="63"/>
      <c r="BL329" s="63"/>
      <c r="BM329" s="63"/>
      <c r="BN329" s="63"/>
      <c r="BO329" s="63"/>
      <c r="BP329" s="63"/>
      <c r="BQ329" s="63"/>
      <c r="BR329" s="63"/>
      <c r="BS329" s="63"/>
      <c r="BT329" s="63"/>
      <c r="BU329" s="63"/>
      <c r="BV329" s="63"/>
      <c r="BW329" s="63"/>
      <c r="BX329" s="63"/>
    </row>
    <row r="330" spans="2:76" ht="68.25" customHeight="1" outlineLevel="1" x14ac:dyDescent="0.35">
      <c r="B330" s="69" t="s">
        <v>346</v>
      </c>
      <c r="C330" s="99" t="s">
        <v>52</v>
      </c>
      <c r="D330" s="132" t="str">
        <f>IF("Ska Ingå"=D328,"Ska Ingå","")</f>
        <v/>
      </c>
      <c r="F330" s="90" t="str">
        <f t="shared" si="275"/>
        <v/>
      </c>
      <c r="G330" s="91" t="str">
        <f t="shared" ca="1" si="276"/>
        <v>GBXKAP10145</v>
      </c>
      <c r="H330" s="91" t="str">
        <f t="shared" ca="1" si="276"/>
        <v>DPF11.6-9</v>
      </c>
      <c r="I330" s="91" t="str">
        <f t="shared" ca="1" si="276"/>
        <v>GBXKAP10478</v>
      </c>
      <c r="J330" s="54"/>
      <c r="BF330" s="63"/>
      <c r="BG330" s="63"/>
      <c r="BH330" s="63"/>
      <c r="BI330" s="63"/>
      <c r="BJ330" s="63"/>
      <c r="BK330" s="63"/>
      <c r="BL330" s="63"/>
      <c r="BM330" s="63"/>
      <c r="BN330" s="63"/>
      <c r="BO330" s="63"/>
      <c r="BP330" s="63"/>
      <c r="BQ330" s="63"/>
      <c r="BR330" s="63"/>
      <c r="BS330" s="63"/>
      <c r="BT330" s="63"/>
      <c r="BU330" s="63"/>
      <c r="BV330" s="63"/>
      <c r="BW330" s="63"/>
      <c r="BX330" s="63"/>
    </row>
    <row r="331" spans="2:76" ht="31.5" customHeight="1" outlineLevel="1" x14ac:dyDescent="0.35">
      <c r="B331" s="69" t="s">
        <v>55</v>
      </c>
      <c r="C331" s="95" t="s">
        <v>371</v>
      </c>
      <c r="D331" s="70"/>
      <c r="F331" s="159" t="str">
        <f t="shared" si="275"/>
        <v/>
      </c>
      <c r="G331" s="160">
        <f t="shared" ca="1" si="276"/>
        <v>240</v>
      </c>
      <c r="H331" s="160">
        <f t="shared" ca="1" si="276"/>
        <v>249</v>
      </c>
      <c r="I331" s="160">
        <f t="shared" ca="1" si="276"/>
        <v>198</v>
      </c>
      <c r="BF331" s="63"/>
      <c r="BG331" s="63"/>
      <c r="BH331" s="63"/>
      <c r="BI331" s="63"/>
      <c r="BJ331" s="63"/>
      <c r="BK331" s="63"/>
      <c r="BL331" s="63"/>
      <c r="BM331" s="63"/>
      <c r="BN331" s="63"/>
      <c r="BO331" s="63"/>
      <c r="BP331" s="63"/>
      <c r="BQ331" s="63"/>
      <c r="BR331" s="63"/>
      <c r="BS331" s="63"/>
      <c r="BT331" s="63"/>
      <c r="BU331" s="63"/>
      <c r="BV331" s="63"/>
      <c r="BW331" s="63"/>
      <c r="BX331" s="63"/>
    </row>
    <row r="332" spans="2:76" ht="23.25" customHeight="1" outlineLevel="1" x14ac:dyDescent="0.35">
      <c r="B332" s="69" t="s">
        <v>342</v>
      </c>
      <c r="C332" s="96" t="s">
        <v>51</v>
      </c>
      <c r="D332" s="131" t="str">
        <f>IF("Ska Ingå"=D331,"Ska Ingå","")</f>
        <v/>
      </c>
      <c r="F332" s="84" t="str">
        <f t="shared" si="275"/>
        <v/>
      </c>
      <c r="G332" s="85" t="str">
        <f t="shared" ca="1" si="276"/>
        <v>Dell</v>
      </c>
      <c r="H332" s="85" t="str">
        <f t="shared" ca="1" si="276"/>
        <v>HP</v>
      </c>
      <c r="I332" s="85" t="str">
        <f t="shared" ca="1" si="276"/>
        <v>HP</v>
      </c>
      <c r="BF332" s="63"/>
      <c r="BG332" s="63"/>
      <c r="BH332" s="63"/>
      <c r="BI332" s="63"/>
      <c r="BJ332" s="63"/>
      <c r="BK332" s="63"/>
      <c r="BL332" s="63"/>
      <c r="BM332" s="63"/>
      <c r="BN332" s="63"/>
      <c r="BO332" s="63"/>
      <c r="BP332" s="63"/>
      <c r="BQ332" s="63"/>
      <c r="BR332" s="63"/>
      <c r="BS332" s="63"/>
      <c r="BT332" s="63"/>
      <c r="BU332" s="63"/>
      <c r="BV332" s="63"/>
      <c r="BW332" s="63"/>
      <c r="BX332" s="63"/>
    </row>
    <row r="333" spans="2:76" ht="66.75" customHeight="1" outlineLevel="1" x14ac:dyDescent="0.35">
      <c r="B333" s="69" t="s">
        <v>347</v>
      </c>
      <c r="C333" s="97" t="s">
        <v>52</v>
      </c>
      <c r="D333" s="132" t="str">
        <f>IF("Ska Ingå"=D331,"Ska Ingå","")</f>
        <v/>
      </c>
      <c r="F333" s="86" t="str">
        <f t="shared" si="275"/>
        <v/>
      </c>
      <c r="G333" s="87" t="str">
        <f t="shared" ca="1" si="276"/>
        <v>DELL-921CW</v>
      </c>
      <c r="H333" s="87" t="str">
        <f t="shared" ca="1" si="276"/>
        <v>1MZ01AA</v>
      </c>
      <c r="I333" s="87" t="str">
        <f t="shared" ca="1" si="276"/>
        <v>GBX1HE07AA</v>
      </c>
    </row>
    <row r="334" spans="2:76" ht="23.25" customHeight="1" outlineLevel="1" x14ac:dyDescent="0.35">
      <c r="B334" s="69"/>
      <c r="C334" s="220" t="s">
        <v>365</v>
      </c>
      <c r="D334" s="220"/>
      <c r="E334" s="220"/>
      <c r="F334" s="220"/>
      <c r="G334" s="220"/>
      <c r="H334" s="220"/>
      <c r="I334" s="220"/>
    </row>
    <row r="335" spans="2:76" ht="23.25" customHeight="1" outlineLevel="1" x14ac:dyDescent="0.35">
      <c r="B335" s="71" t="s">
        <v>228</v>
      </c>
      <c r="C335" s="96" t="s">
        <v>367</v>
      </c>
      <c r="D335" s="70"/>
      <c r="F335" s="163" t="str">
        <f>IF(F$307="Inget antal angivet","",IFERROR(INDEX($AP$308:$BX$332,MATCH(F$304,$AN$308:$AN$332,0),MATCH($B335,$AP$308:$BX$308,0)),""))</f>
        <v/>
      </c>
      <c r="G335" s="164">
        <f t="shared" ref="G335:I338" ca="1" si="277">IFERROR(INDEX($AP$308:$BX$332,MATCH(G$304,$AN$308:$AN$332,0),MATCH($B335,$AP$308:$BX$308,0)),"")</f>
        <v>275</v>
      </c>
      <c r="H335" s="164">
        <f t="shared" ca="1" si="277"/>
        <v>131</v>
      </c>
      <c r="I335" s="164">
        <f t="shared" ca="1" si="277"/>
        <v>125</v>
      </c>
    </row>
    <row r="336" spans="2:76" ht="23.25" customHeight="1" outlineLevel="1" x14ac:dyDescent="0.35">
      <c r="B336" s="71" t="s">
        <v>229</v>
      </c>
      <c r="C336" s="61" t="s">
        <v>368</v>
      </c>
      <c r="D336" s="70"/>
      <c r="F336" s="165" t="str">
        <f>IF(F$307="Inget antal angivet","",IFERROR(INDEX($AP$308:$BX$332,MATCH(F$304,$AN$308:$AN$332,0),MATCH($B336,$AP$308:$BX$308,0)),""))</f>
        <v/>
      </c>
      <c r="G336" s="166">
        <f t="shared" ca="1" si="277"/>
        <v>70</v>
      </c>
      <c r="H336" s="166">
        <f t="shared" ca="1" si="277"/>
        <v>133</v>
      </c>
      <c r="I336" s="166">
        <f t="shared" ca="1" si="277"/>
        <v>70</v>
      </c>
    </row>
    <row r="337" spans="2:91" ht="23.25" customHeight="1" outlineLevel="1" x14ac:dyDescent="0.35">
      <c r="B337" s="71" t="s">
        <v>230</v>
      </c>
      <c r="C337" s="96" t="s">
        <v>369</v>
      </c>
      <c r="D337" s="70"/>
      <c r="F337" s="163" t="str">
        <f>IF(F$307="Inget antal angivet","",IFERROR(INDEX($AP$308:$BX$332,MATCH(F$304,$AN$308:$AN$332,0),MATCH($B337,$AP$308:$BX$308,0)),""))</f>
        <v/>
      </c>
      <c r="G337" s="164">
        <f t="shared" ca="1" si="277"/>
        <v>25</v>
      </c>
      <c r="H337" s="164">
        <f t="shared" ca="1" si="277"/>
        <v>20</v>
      </c>
      <c r="I337" s="164">
        <f t="shared" ca="1" si="277"/>
        <v>25</v>
      </c>
    </row>
    <row r="338" spans="2:91" ht="23.25" customHeight="1" outlineLevel="1" x14ac:dyDescent="0.35">
      <c r="B338" s="71" t="s">
        <v>231</v>
      </c>
      <c r="C338" s="61" t="s">
        <v>370</v>
      </c>
      <c r="D338" s="70"/>
      <c r="F338" s="165" t="str">
        <f>IF(F$307="Inget antal angivet","",IFERROR(INDEX($AP$308:$BX$332,MATCH(F$304,$AN$308:$AN$332,0),MATCH($B338,$AP$308:$BX$308,0)),""))</f>
        <v/>
      </c>
      <c r="G338" s="166">
        <f t="shared" ca="1" si="277"/>
        <v>25</v>
      </c>
      <c r="H338" s="166">
        <f t="shared" ca="1" si="277"/>
        <v>20</v>
      </c>
      <c r="I338" s="166">
        <f t="shared" ca="1" si="277"/>
        <v>25</v>
      </c>
    </row>
    <row r="339" spans="2:91" ht="23.25" customHeight="1" outlineLevel="1" x14ac:dyDescent="0.35"/>
    <row r="340" spans="2:91" ht="23.25" customHeight="1" collapsed="1" x14ac:dyDescent="0.35"/>
    <row r="341" spans="2:91" ht="23.25" customHeight="1" x14ac:dyDescent="0.35">
      <c r="D341" s="72" t="s">
        <v>233</v>
      </c>
      <c r="E341" s="1"/>
      <c r="F341" s="221" t="s">
        <v>252</v>
      </c>
      <c r="G341" s="221"/>
      <c r="H341" s="221"/>
      <c r="I341" s="222"/>
    </row>
    <row r="342" spans="2:91" ht="23.25" customHeight="1" x14ac:dyDescent="0.35">
      <c r="D342" s="74"/>
      <c r="F342" s="202" t="str">
        <f ca="1">IFERROR(INDEX($Y$309:$Y$320,MATCH(F304,$Z$309:$Z$320,0)) *D342,"")</f>
        <v/>
      </c>
      <c r="G342" s="202">
        <f ca="1">IFERROR(P309 *D342,"")</f>
        <v>0</v>
      </c>
      <c r="H342" s="202">
        <f ca="1">IFERROR(P310 *D342,"")</f>
        <v>0</v>
      </c>
      <c r="I342" s="202">
        <f ca="1">IFERROR(P311 * D342,"")</f>
        <v>0</v>
      </c>
    </row>
    <row r="344" spans="2:91" ht="15" thickBot="1" x14ac:dyDescent="0.4">
      <c r="C344" s="174"/>
      <c r="D344" s="174"/>
      <c r="E344" s="174"/>
      <c r="F344" s="174"/>
      <c r="G344" s="174"/>
      <c r="H344" s="174"/>
      <c r="I344" s="174"/>
    </row>
    <row r="345" spans="2:91" ht="15" thickTop="1" x14ac:dyDescent="0.35"/>
    <row r="346" spans="2:91" ht="68.25" hidden="1" customHeight="1" collapsed="1" x14ac:dyDescent="0.35">
      <c r="C346" s="53"/>
      <c r="D346" s="53"/>
      <c r="F346" s="50" t="e">
        <f ca="1">N350</f>
        <v>#N/A</v>
      </c>
      <c r="G346" s="50" t="str">
        <f ca="1">INDEX(Z351:Z374,MATCH(P351,Y351:Y374,0))</f>
        <v>Offererad produktnr. 05Qlosr Göteborg AB</v>
      </c>
      <c r="H346" s="50" t="str">
        <f ca="1">INDEX(Z350:Z373,MATCH(P352,Y350:Y373,0))</f>
        <v>Offererad produktnr. 05Dustin Sverige AB</v>
      </c>
      <c r="I346" s="50" t="str">
        <f ca="1">INDEX(Z350:Z373,MATCH(P353,Y350:Y373,0))</f>
        <v>Offererad produktnr. 06Qlosr Göteborg AB</v>
      </c>
      <c r="AP346" s="12" t="s">
        <v>124</v>
      </c>
      <c r="AQ346" s="12" t="s">
        <v>124</v>
      </c>
      <c r="AR346" s="12" t="s">
        <v>124</v>
      </c>
      <c r="AS346" s="12" t="s">
        <v>124</v>
      </c>
      <c r="AT346" s="12" t="s">
        <v>124</v>
      </c>
      <c r="AU346" s="12" t="s">
        <v>124</v>
      </c>
      <c r="AV346" s="12" t="s">
        <v>124</v>
      </c>
      <c r="AW346" s="12" t="s">
        <v>124</v>
      </c>
      <c r="AX346" s="12" t="s">
        <v>124</v>
      </c>
      <c r="AY346" s="12" t="s">
        <v>124</v>
      </c>
      <c r="AZ346" s="12" t="s">
        <v>124</v>
      </c>
      <c r="BA346" s="12" t="s">
        <v>124</v>
      </c>
      <c r="BB346" s="12" t="s">
        <v>124</v>
      </c>
      <c r="BC346" s="12" t="s">
        <v>124</v>
      </c>
      <c r="BD346" s="12" t="s">
        <v>124</v>
      </c>
      <c r="BE346" s="12" t="s">
        <v>124</v>
      </c>
      <c r="BF346" s="12" t="s">
        <v>124</v>
      </c>
      <c r="BG346" s="12" t="s">
        <v>124</v>
      </c>
      <c r="BH346" s="12" t="s">
        <v>124</v>
      </c>
      <c r="BI346" s="12" t="s">
        <v>124</v>
      </c>
      <c r="BJ346" s="12" t="s">
        <v>124</v>
      </c>
      <c r="BK346" s="12" t="s">
        <v>124</v>
      </c>
      <c r="BL346" s="12" t="s">
        <v>124</v>
      </c>
      <c r="BM346" s="12" t="s">
        <v>124</v>
      </c>
      <c r="BN346" s="12" t="s">
        <v>124</v>
      </c>
      <c r="BO346" s="12" t="s">
        <v>124</v>
      </c>
      <c r="BP346" s="12" t="s">
        <v>124</v>
      </c>
      <c r="BQ346" s="12" t="s">
        <v>124</v>
      </c>
      <c r="BR346" s="12" t="s">
        <v>124</v>
      </c>
      <c r="BS346" s="12" t="s">
        <v>124</v>
      </c>
      <c r="BT346" s="12" t="s">
        <v>124</v>
      </c>
      <c r="BU346" s="12"/>
      <c r="BV346" s="12"/>
      <c r="BW346" s="12" t="s">
        <v>124</v>
      </c>
      <c r="BX346" s="12" t="s">
        <v>124</v>
      </c>
      <c r="BY346" s="12"/>
      <c r="BZ346" s="12"/>
      <c r="CA346" s="12"/>
      <c r="CB346" s="12"/>
      <c r="CC346" s="12"/>
      <c r="CD346" s="12"/>
      <c r="CE346" s="12"/>
      <c r="CF346" s="12"/>
      <c r="CG346" s="12"/>
      <c r="CH346" s="12"/>
      <c r="CI346" s="12"/>
      <c r="CJ346" s="12"/>
      <c r="CK346" s="12"/>
      <c r="CL346" s="12"/>
    </row>
    <row r="347" spans="2:91" ht="26.25" customHeight="1" thickBot="1" x14ac:dyDescent="0.4">
      <c r="C347" s="53"/>
      <c r="D347" s="53"/>
      <c r="F347" s="140" t="s">
        <v>446</v>
      </c>
      <c r="G347" s="205" t="s">
        <v>447</v>
      </c>
      <c r="H347" s="205"/>
      <c r="I347" s="205"/>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row>
    <row r="348" spans="2:91" ht="22.5" customHeight="1" thickBot="1" x14ac:dyDescent="0.4">
      <c r="B348" t="str">
        <f ca="1" xml:space="preserve"> "Produkt "  &amp; B349</f>
        <v>Produkt 9</v>
      </c>
      <c r="C348" s="206" t="str">
        <f>IF(F349="Ingen produkt motsvarar","Felmeddelande",IF(COUNTIF($P$1:$P$6,TRUE)&gt;0,"","Felmeddelande"))</f>
        <v/>
      </c>
      <c r="D348" s="207"/>
      <c r="F348" s="218" t="s">
        <v>271</v>
      </c>
      <c r="G348" s="218"/>
      <c r="H348" s="218"/>
      <c r="I348" s="219"/>
      <c r="O348">
        <v>1</v>
      </c>
      <c r="AH348" t="s">
        <v>241</v>
      </c>
      <c r="AP348" s="13" t="str">
        <f t="shared" ref="AP348:BD348" si="278">AP350</f>
        <v>Upplösning</v>
      </c>
      <c r="AQ348" s="13" t="str">
        <f t="shared" si="278"/>
        <v>Processor</v>
      </c>
      <c r="AR348" s="13" t="str">
        <f t="shared" si="278"/>
        <v>Internminne (GB)</v>
      </c>
      <c r="AS348" s="13" t="str">
        <f t="shared" si="278"/>
        <v>Hårddisk</v>
      </c>
      <c r="AT348" s="13" t="str">
        <f t="shared" si="278"/>
        <v>Skärmstorlek (tum)</v>
      </c>
      <c r="AU348" s="13" t="str">
        <f t="shared" si="278"/>
        <v>Portar USB</v>
      </c>
      <c r="AV348" s="13" t="str">
        <f t="shared" si="278"/>
        <v>Portar USB C</v>
      </c>
      <c r="AW348" s="13" t="str">
        <f t="shared" si="278"/>
        <v>Portar HDMI/Display</v>
      </c>
      <c r="AX348" s="13" t="str">
        <f t="shared" si="278"/>
        <v>Kommunikation WLAN</v>
      </c>
      <c r="AY348" s="13" t="str">
        <f t="shared" si="278"/>
        <v>Kommunikation Bluetooth</v>
      </c>
      <c r="AZ348" s="13" t="str">
        <f t="shared" si="278"/>
        <v>Batteritid (tim)</v>
      </c>
      <c r="BA348" s="13" t="str">
        <f t="shared" si="278"/>
        <v>Energiprestanda</v>
      </c>
      <c r="BB348" s="13" t="str">
        <f t="shared" si="278"/>
        <v>Låsskydd</v>
      </c>
      <c r="BC348" s="13" t="str">
        <f t="shared" si="278"/>
        <v>Operativsystem</v>
      </c>
      <c r="BD348" s="13" t="str">
        <f t="shared" si="278"/>
        <v>Modellbenämning</v>
      </c>
      <c r="BE348" t="s">
        <v>224</v>
      </c>
      <c r="BF348" s="56" t="s">
        <v>53</v>
      </c>
      <c r="BG348" s="56" t="s">
        <v>54</v>
      </c>
      <c r="BH348" s="56" t="s">
        <v>55</v>
      </c>
      <c r="BI348" s="57" t="s">
        <v>228</v>
      </c>
      <c r="BJ348" s="57" t="s">
        <v>229</v>
      </c>
      <c r="BK348" s="57" t="s">
        <v>230</v>
      </c>
      <c r="BL348" s="57" t="s">
        <v>231</v>
      </c>
      <c r="BM348" s="57" t="s">
        <v>340</v>
      </c>
      <c r="BN348" s="57" t="s">
        <v>341</v>
      </c>
      <c r="BO348" s="57" t="s">
        <v>342</v>
      </c>
      <c r="BP348" s="57" t="s">
        <v>343</v>
      </c>
      <c r="BQ348" s="57" t="s">
        <v>345</v>
      </c>
      <c r="BR348" s="57" t="s">
        <v>346</v>
      </c>
      <c r="BS348" s="57" t="s">
        <v>347</v>
      </c>
      <c r="BT348" s="57" t="s">
        <v>348</v>
      </c>
      <c r="BU348" s="57"/>
      <c r="BV348" s="57"/>
      <c r="BW348" s="57" t="s">
        <v>6</v>
      </c>
      <c r="BX348" s="4" t="s">
        <v>51</v>
      </c>
      <c r="BY348" s="13"/>
      <c r="BZ348" s="13"/>
      <c r="CA348" s="13"/>
      <c r="CB348" s="13"/>
      <c r="CC348" s="13"/>
      <c r="CD348" s="13"/>
      <c r="CE348" s="13"/>
      <c r="CF348" s="13"/>
      <c r="CG348" s="13"/>
      <c r="CH348" s="13"/>
      <c r="CI348" s="13"/>
      <c r="CJ348" s="13"/>
      <c r="CK348" s="13"/>
      <c r="CL348" s="13"/>
    </row>
    <row r="349" spans="2:91" ht="22.5" customHeight="1" x14ac:dyDescent="0.35">
      <c r="B349">
        <f ca="1">COUNTIF($F$7:F352,"Produkt I varukorg*")</f>
        <v>9</v>
      </c>
      <c r="F349" s="51" t="str">
        <f>IF(D384&lt;1,"Inget antal angivet",IFERROR(INDEX($Y$351:$Y$362,MATCH(F346,$Z$351:$Z$362,0)),"Ingen produkt motsvarar"))</f>
        <v>Inget antal angivet</v>
      </c>
      <c r="G349" s="52">
        <f ca="1">IFERROR(P351,"Ingen produkt motsvarar")</f>
        <v>2950</v>
      </c>
      <c r="H349" s="52">
        <f ca="1">IFERROR(P352,"")</f>
        <v>3415</v>
      </c>
      <c r="I349" s="52">
        <f ca="1">IFERROR(P353,"")</f>
        <v>3610</v>
      </c>
      <c r="Z349" t="str">
        <f>IF(COUNTIF(AA349:AI349,FALSE)&gt;0,AN349,"")</f>
        <v/>
      </c>
      <c r="AN349" t="s">
        <v>126</v>
      </c>
      <c r="AP349" s="58" t="str">
        <f t="shared" ref="AP349:BT349" ca="1" si="279">IFERROR(INDEX(INDIRECT(AP$346&amp;"!$A$10:CC100000"),MATCH($AN349,INDIRECT(AP$346&amp;"!BH$10:BH100000"),0),MATCH(AP$348,INDIRECT(AP$346&amp;"!a10:CC10"),0)),"False")</f>
        <v>False</v>
      </c>
      <c r="AQ349" s="58" t="str">
        <f t="shared" ca="1" si="279"/>
        <v>False</v>
      </c>
      <c r="AR349" s="58" t="str">
        <f t="shared" ca="1" si="279"/>
        <v>False</v>
      </c>
      <c r="AS349" s="58" t="str">
        <f t="shared" ca="1" si="279"/>
        <v>False</v>
      </c>
      <c r="AT349" s="58" t="str">
        <f t="shared" ca="1" si="279"/>
        <v>False</v>
      </c>
      <c r="AU349" s="58" t="str">
        <f t="shared" ca="1" si="279"/>
        <v>False</v>
      </c>
      <c r="AV349" s="58" t="str">
        <f t="shared" ca="1" si="279"/>
        <v>False</v>
      </c>
      <c r="AW349" s="58" t="str">
        <f t="shared" ca="1" si="279"/>
        <v>False</v>
      </c>
      <c r="AX349" s="58" t="str">
        <f t="shared" ca="1" si="279"/>
        <v>False</v>
      </c>
      <c r="AY349" s="58" t="str">
        <f t="shared" ca="1" si="279"/>
        <v>False</v>
      </c>
      <c r="AZ349" s="58" t="str">
        <f t="shared" ca="1" si="279"/>
        <v>False</v>
      </c>
      <c r="BA349" s="58" t="str">
        <f t="shared" ca="1" si="279"/>
        <v>False</v>
      </c>
      <c r="BB349" s="58" t="str">
        <f t="shared" ca="1" si="279"/>
        <v>False</v>
      </c>
      <c r="BC349" s="58" t="str">
        <f t="shared" ca="1" si="279"/>
        <v>False</v>
      </c>
      <c r="BD349" s="58" t="str">
        <f t="shared" ca="1" si="279"/>
        <v>False</v>
      </c>
      <c r="BE349" s="58" t="str">
        <f t="shared" ca="1" si="279"/>
        <v>False</v>
      </c>
      <c r="BF349" s="58" t="str">
        <f t="shared" ca="1" si="279"/>
        <v>False</v>
      </c>
      <c r="BG349" s="58" t="str">
        <f t="shared" ca="1" si="279"/>
        <v>False</v>
      </c>
      <c r="BH349" s="58" t="str">
        <f t="shared" ca="1" si="279"/>
        <v>False</v>
      </c>
      <c r="BI349" s="58" t="str">
        <f t="shared" ca="1" si="279"/>
        <v>False</v>
      </c>
      <c r="BJ349" s="58" t="str">
        <f t="shared" ca="1" si="279"/>
        <v>False</v>
      </c>
      <c r="BK349" s="58" t="str">
        <f t="shared" ca="1" si="279"/>
        <v>False</v>
      </c>
      <c r="BL349" s="58" t="str">
        <f t="shared" ca="1" si="279"/>
        <v>False</v>
      </c>
      <c r="BM349" s="58" t="str">
        <f t="shared" ca="1" si="279"/>
        <v>False</v>
      </c>
      <c r="BN349" s="58" t="str">
        <f t="shared" ca="1" si="279"/>
        <v>False</v>
      </c>
      <c r="BO349" s="58" t="str">
        <f t="shared" ca="1" si="279"/>
        <v>False</v>
      </c>
      <c r="BP349" s="58" t="str">
        <f t="shared" ca="1" si="279"/>
        <v>False</v>
      </c>
      <c r="BQ349" s="58" t="str">
        <f t="shared" ca="1" si="279"/>
        <v>False</v>
      </c>
      <c r="BR349" s="58" t="str">
        <f t="shared" ca="1" si="279"/>
        <v>False</v>
      </c>
      <c r="BS349" s="58" t="str">
        <f t="shared" ca="1" si="279"/>
        <v>False</v>
      </c>
      <c r="BT349" s="58" t="str">
        <f t="shared" ca="1" si="279"/>
        <v>False</v>
      </c>
      <c r="BU349" s="58"/>
      <c r="BV349" s="58"/>
      <c r="BW349" s="58" t="str">
        <f ca="1">IFERROR(INDEX(INDIRECT(BW$346&amp;"!$A$10:CC100000"),MATCH($AN349,INDIRECT(BW$346&amp;"!BH$10:BH100000"),0),MATCH(BW$348,INDIRECT(BW$346&amp;"!a10:CC10"),0)),"False")</f>
        <v>False</v>
      </c>
      <c r="BX349" s="58" t="str">
        <f ca="1">IFERROR(INDEX(INDIRECT(BX$346&amp;"!$A$10:CC100000"),MATCH($AN349,INDIRECT(BX$346&amp;"!BH$10:BH100000"),0),MATCH(BX$348,INDIRECT(BX$346&amp;"!a10:CC10"),0)),"False")</f>
        <v>False</v>
      </c>
      <c r="BY349" s="58"/>
      <c r="BZ349" s="58"/>
      <c r="CA349" s="58"/>
      <c r="CB349" s="58"/>
      <c r="CC349" s="58"/>
      <c r="CD349" s="58"/>
      <c r="CE349" s="58"/>
      <c r="CF349" s="58"/>
      <c r="CG349" s="58"/>
      <c r="CH349" s="58"/>
      <c r="CI349" s="58"/>
      <c r="CJ349" s="58"/>
      <c r="CK349" s="58"/>
      <c r="CL349" s="58"/>
    </row>
    <row r="350" spans="2:91" ht="22.5" customHeight="1" x14ac:dyDescent="0.35">
      <c r="C350" s="210" t="str">
        <f ca="1" xml:space="preserve"> "Bärbar dator (B) "  &amp; RIGHT("00" &amp; B349,2)</f>
        <v>Bärbar dator (B) 09</v>
      </c>
      <c r="D350" s="211"/>
      <c r="F350" s="92" t="str">
        <f>IF(F349="Inget antal angivet","",IFERROR(INDEX($AP$350:$BX$374,MATCH(F$346,$AN$350:$AN$374,0),MATCH("Modellbenämning",$AP$350:$BX$350,0)),""))</f>
        <v/>
      </c>
      <c r="G350" s="92" t="str">
        <f ca="1">IFERROR(INDEX($AP$350:$BX$374,MATCH(G$346,$AN$350:$AN$374,0),MATCH("Modellbenämning",$AP$350:$BX$350,0)),"")</f>
        <v>Chromebook 3110</v>
      </c>
      <c r="H350" s="92" t="str">
        <f ca="1">IFERROR(INDEX($AP$350:$BX$374,MATCH(H$346,$AN$350:$AN$374,0),MATCH("Modellbenämning",$AP$350:$BX$350,0)),"")</f>
        <v>ChromeBook 11 G9 EE</v>
      </c>
      <c r="I350" s="92" t="str">
        <f ca="1">IFERROR(INDEX($AP$350:$BX$374,MATCH(I$346,$AN$350:$AN$374,0),MATCH("Modellbenämning",$AP$350:$BX$350,0)),"")</f>
        <v>Chromebook 14 G7</v>
      </c>
      <c r="J350" s="93"/>
      <c r="K350" s="92"/>
      <c r="L350" s="92"/>
      <c r="M350" s="92"/>
      <c r="N350" s="92" t="e">
        <f ca="1">INDEX($N$351:$N$356,MATCH(Överblick!$L$2,$M$351:$M$356,0))</f>
        <v>#N/A</v>
      </c>
      <c r="O350" s="92"/>
      <c r="P350" s="92"/>
      <c r="Q350" s="92"/>
      <c r="R350" s="92">
        <v>1</v>
      </c>
      <c r="S350" s="92">
        <v>2</v>
      </c>
      <c r="T350" s="92">
        <v>3</v>
      </c>
      <c r="U350" s="92">
        <v>5</v>
      </c>
      <c r="V350" s="92">
        <v>6</v>
      </c>
      <c r="W350" s="92">
        <v>7</v>
      </c>
      <c r="X350" s="92">
        <v>8</v>
      </c>
      <c r="Y350" s="92"/>
      <c r="Z350" s="92" t="s">
        <v>122</v>
      </c>
      <c r="AA350" s="92" t="s">
        <v>2</v>
      </c>
      <c r="AB350" s="92" t="s">
        <v>4</v>
      </c>
      <c r="AC350" s="92" t="s">
        <v>119</v>
      </c>
      <c r="AD350" s="92" t="s">
        <v>16</v>
      </c>
      <c r="AE350" s="92" t="s">
        <v>7</v>
      </c>
      <c r="AF350" s="92" t="s">
        <v>67</v>
      </c>
      <c r="AG350" s="92" t="s">
        <v>74</v>
      </c>
      <c r="AH350" s="92" t="s">
        <v>103</v>
      </c>
      <c r="AI350" s="92" t="s">
        <v>75</v>
      </c>
      <c r="AJ350" s="92" t="s">
        <v>38</v>
      </c>
      <c r="AK350" s="92"/>
      <c r="AL350" s="92"/>
      <c r="AM350" s="92"/>
      <c r="AN350" s="92" t="s">
        <v>222</v>
      </c>
      <c r="AO350" s="92">
        <v>1</v>
      </c>
      <c r="AP350" s="92" t="s">
        <v>2</v>
      </c>
      <c r="AQ350" s="92" t="s">
        <v>4</v>
      </c>
      <c r="AR350" s="92" t="s">
        <v>119</v>
      </c>
      <c r="AS350" s="92" t="s">
        <v>16</v>
      </c>
      <c r="AT350" s="92" t="s">
        <v>7</v>
      </c>
      <c r="AU350" s="92" t="s">
        <v>67</v>
      </c>
      <c r="AV350" s="92" t="s">
        <v>74</v>
      </c>
      <c r="AW350" s="92" t="s">
        <v>97</v>
      </c>
      <c r="AX350" s="92" t="s">
        <v>103</v>
      </c>
      <c r="AY350" s="92" t="s">
        <v>75</v>
      </c>
      <c r="AZ350" s="92" t="s">
        <v>120</v>
      </c>
      <c r="BA350" s="92" t="s">
        <v>38</v>
      </c>
      <c r="BB350" s="92" t="s">
        <v>37</v>
      </c>
      <c r="BC350" s="92" t="s">
        <v>3</v>
      </c>
      <c r="BD350" s="92" t="s">
        <v>52</v>
      </c>
      <c r="BE350" s="92" t="s">
        <v>25</v>
      </c>
      <c r="BF350" s="92" t="s">
        <v>53</v>
      </c>
      <c r="BG350" s="92" t="s">
        <v>54</v>
      </c>
      <c r="BH350" s="92" t="s">
        <v>55</v>
      </c>
      <c r="BI350" s="92" t="s">
        <v>228</v>
      </c>
      <c r="BJ350" s="92" t="s">
        <v>229</v>
      </c>
      <c r="BK350" s="92" t="s">
        <v>230</v>
      </c>
      <c r="BL350" s="92" t="s">
        <v>231</v>
      </c>
      <c r="BM350" s="92" t="s">
        <v>340</v>
      </c>
      <c r="BN350" s="92" t="s">
        <v>341</v>
      </c>
      <c r="BO350" s="92" t="s">
        <v>342</v>
      </c>
      <c r="BP350" s="92" t="s">
        <v>343</v>
      </c>
      <c r="BQ350" s="92" t="s">
        <v>345</v>
      </c>
      <c r="BR350" s="92" t="s">
        <v>346</v>
      </c>
      <c r="BS350" s="92" t="s">
        <v>347</v>
      </c>
      <c r="BT350" s="92" t="s">
        <v>348</v>
      </c>
      <c r="BU350" s="92"/>
      <c r="BV350" s="92"/>
      <c r="BW350" s="92" t="s">
        <v>6</v>
      </c>
      <c r="BX350" s="92" t="s">
        <v>51</v>
      </c>
      <c r="BY350" s="92" t="s">
        <v>2</v>
      </c>
      <c r="BZ350" s="92" t="s">
        <v>4</v>
      </c>
      <c r="CA350" s="92" t="s">
        <v>119</v>
      </c>
      <c r="CB350" s="92" t="s">
        <v>16</v>
      </c>
      <c r="CC350" s="92" t="s">
        <v>7</v>
      </c>
      <c r="CD350" s="92" t="s">
        <v>67</v>
      </c>
      <c r="CE350" s="92" t="s">
        <v>74</v>
      </c>
      <c r="CF350" s="92" t="s">
        <v>75</v>
      </c>
      <c r="CG350" s="92" t="s">
        <v>75</v>
      </c>
      <c r="CH350" s="92" t="s">
        <v>120</v>
      </c>
      <c r="CI350" s="92" t="s">
        <v>38</v>
      </c>
      <c r="CJ350" s="92" t="s">
        <v>37</v>
      </c>
      <c r="CK350" s="92" t="s">
        <v>3</v>
      </c>
      <c r="CL350" s="92"/>
      <c r="CM350" s="92"/>
    </row>
    <row r="351" spans="2:91" ht="22.5" customHeight="1" outlineLevel="1" x14ac:dyDescent="0.35">
      <c r="C351" s="210" t="s">
        <v>261</v>
      </c>
      <c r="D351" s="211"/>
      <c r="F351" s="76" t="str">
        <f>IF(F349="Inget antal angivet","",IFERROR(INDEX($AP$350:$BX$374,MATCH(F$346,$AN$350:$AN$374,0),MATCH("Varumärke",$AP$350:$BX$350,0)),""))</f>
        <v/>
      </c>
      <c r="G351" s="77" t="str">
        <f ca="1">IFERROR(INDEX($AP$350:$BX$374,MATCH(G$346,$AN$350:$AN$374,0),MATCH("Varumärke",$AP$350:$BX$350,0)),"")</f>
        <v>Dell</v>
      </c>
      <c r="H351" s="77" t="str">
        <f ca="1">IFERROR(INDEX($AP$350:$BX$374,MATCH(H$346,$AN$350:$AN$374,0),MATCH("Varumärke",$AP$350:$BX$350,0)),"")</f>
        <v>HP</v>
      </c>
      <c r="I351" s="119" t="str">
        <f ca="1">IFERROR(INDEX($AP$350:$BX$374,MATCH(I$346,$AN$350:$AN$374,0),MATCH("Varumärke",$AP$350:$BX$350,0)),"")</f>
        <v>HP</v>
      </c>
      <c r="K351" s="185">
        <f t="shared" ref="K351:K356" ca="1" si="280">O351*$D$384</f>
        <v>0</v>
      </c>
      <c r="L351" s="185" t="b">
        <f t="shared" ref="L351:L356" si="281">IF($D$384=0,TRUE,IF(K351=0,FALSE,TRUE))</f>
        <v>1</v>
      </c>
      <c r="M351" s="185" t="s">
        <v>162</v>
      </c>
      <c r="N351" s="185" t="str">
        <f t="shared" ref="N351:N356" ca="1" si="282">INDEX($Z$351:$Z$362,MATCH(O351,$Y$351:$Y$362,0))</f>
        <v>Offererad produktnr. 05Advania Sverige AB</v>
      </c>
      <c r="O351" s="185" cm="1">
        <f t="array" aca="1" ref="O351" ca="1">MIN(IF(($BW$351:$BW$372=M351)*($AO$351:$AO$372=$O$348),$Y$351:$Y$372))</f>
        <v>3996</v>
      </c>
      <c r="P351" s="197">
        <f ca="1">SMALL($Y$351:$Y$374,1)</f>
        <v>2950</v>
      </c>
      <c r="Q351" s="185">
        <f t="shared" ref="Q351:Q360" si="283">SUM(R351:X351)</f>
        <v>0</v>
      </c>
      <c r="R351" s="185">
        <f t="shared" ref="R351:R360" si="284">IF($D$367="",0,BF351)</f>
        <v>0</v>
      </c>
      <c r="S351" s="185">
        <f t="shared" ref="S351:S360" si="285">IF($D$370="",0,BG351)</f>
        <v>0</v>
      </c>
      <c r="T351" s="185">
        <f t="shared" ref="T351:T360" si="286">IF($D$373="",0,BH351)</f>
        <v>0</v>
      </c>
      <c r="U351" s="185">
        <f t="shared" ref="U351:U360" si="287">IF($D$377="",0,BI351)</f>
        <v>0</v>
      </c>
      <c r="V351" s="185">
        <f t="shared" ref="V351:V360" si="288">IF($D$378="",0,BJ351)</f>
        <v>0</v>
      </c>
      <c r="W351" s="185">
        <f t="shared" ref="W351:W360" si="289">IF($D$379="",0,BK351)</f>
        <v>0</v>
      </c>
      <c r="X351" s="185">
        <f t="shared" ref="X351:X360" si="290">IF($D$380="",0,BL351)</f>
        <v>0</v>
      </c>
      <c r="Y351" s="185">
        <f t="shared" ref="Y351:Y360" ca="1" si="291">IF(Z351="","",SUM(BE351,R351:X351))</f>
        <v>3996</v>
      </c>
      <c r="Z351" s="185" t="str">
        <f t="shared" ref="Z351:Z360" si="292">IF(COUNTIF(AA351:AM351,FALSE)&gt;0,"",AN351)</f>
        <v>Offererad produktnr. 05Advania Sverige AB</v>
      </c>
      <c r="AA351" s="185" t="b">
        <f t="shared" ref="AA351:AA360" si="293">IF(" 1366x768"=$D$354,TRUE,IF($D$354=0,TRUE,IF($D$354=AP351,TRUE,FALSE)))</f>
        <v>1</v>
      </c>
      <c r="AB351" s="185" t="b">
        <f t="shared" ref="AB351:AB360" si="294">IF($D$355="",TRUE,IF(AQ351=$D$355,TRUE,FALSE))</f>
        <v>1</v>
      </c>
      <c r="AC351" s="185" t="b">
        <f t="shared" ref="AC351:AC360" si="295">IF($D$356="",TRUE,IF(AR351&gt;=$D$356,TRUE,FALSE))</f>
        <v>1</v>
      </c>
      <c r="AD351" s="185" t="b">
        <f t="shared" ref="AD351:AD360" si="296">IF($D$357="",TRUE,IF(AS351&gt;=$D$357,TRUE,FALSE))</f>
        <v>1</v>
      </c>
      <c r="AE351" s="185" t="b">
        <f>IF($D$353="",TRUE,IF(COUNTIF(Processor!$I$2:$I$9,$D$353)&gt;0,AND(AT351&gt;INDEX(Processor!$J$2:$J$9,MATCH($D$353,Processor!$I$2:$I$9,0)),AT351&lt;INDEX(Processor!$K$2:$K$9,MATCH($D$353,Processor!$I$2:$I$9,0))),IF(AT351=$D$353,TRUE,FALSE)))</f>
        <v>1</v>
      </c>
      <c r="AF351" s="185" t="b">
        <f t="shared" ref="AF351:AF360" si="297">IF($D$358="",TRUE,IF(AU351&gt;=$D$358,TRUE,FALSE))</f>
        <v>1</v>
      </c>
      <c r="AG351" s="185" t="b">
        <f t="shared" ref="AG351:AG360" si="298">IF($D$359="",TRUE,IF(AV351&gt;=$D$359,TRUE,FALSE))</f>
        <v>1</v>
      </c>
      <c r="AH351" s="185" t="b">
        <f t="shared" ref="AH351:AH360" si="299">IF($D$360="",TRUE,IF($D$360="802.11a/b/g/n/ac",TRUE,IF(AX351&gt;=$D$360,TRUE,FALSE)))</f>
        <v>1</v>
      </c>
      <c r="AI351" s="185" t="b">
        <f t="shared" ref="AI351:AI360" si="300">IF($D$361="",TRUE,IF(AY351&gt;=$D$361,TRUE,FALSE))</f>
        <v>1</v>
      </c>
      <c r="AJ351" s="185" t="b">
        <f>IFERROR(IF($D363="",TRUE,IF(MID(BA351,LEN(BA351)-2,1)*1&gt;=MID($D363,LEN($D363)-2,1)*1,TRUE,FALSE)),FALSE)</f>
        <v>1</v>
      </c>
      <c r="AK351" s="185"/>
      <c r="AL351" s="185"/>
      <c r="AM351" s="185"/>
      <c r="AN351" s="185" t="s">
        <v>202</v>
      </c>
      <c r="AO351" s="185">
        <v>1</v>
      </c>
      <c r="AP351" s="185" t="str">
        <f t="shared" ref="AP351:AY360" ca="1" si="301">IFERROR(INDEX(INDIRECT(AP$346&amp;"!$A$10:CC100000"),MATCH($AN351,INDIRECT(AP$346&amp;"!BH$10:BH100000"),0),MATCH(AP$348,INDIRECT(AP$346&amp;"!a10:CC10"),0)),"False")</f>
        <v>1366x768</v>
      </c>
      <c r="AQ351" s="185" t="str">
        <f t="shared" ca="1" si="301"/>
        <v>Intel Celeron</v>
      </c>
      <c r="AR351" s="185">
        <f t="shared" ca="1" si="301"/>
        <v>4</v>
      </c>
      <c r="AS351" s="185">
        <f t="shared" ca="1" si="301"/>
        <v>32</v>
      </c>
      <c r="AT351" s="185">
        <f t="shared" ca="1" si="301"/>
        <v>11.6</v>
      </c>
      <c r="AU351" s="185">
        <f t="shared" ca="1" si="301"/>
        <v>3</v>
      </c>
      <c r="AV351" s="185">
        <f t="shared" ca="1" si="301"/>
        <v>1</v>
      </c>
      <c r="AW351" s="185">
        <f t="shared" ca="1" si="301"/>
        <v>0</v>
      </c>
      <c r="AX351" s="185" t="str">
        <f t="shared" ca="1" si="301"/>
        <v>802.11a/b/g/n/ac</v>
      </c>
      <c r="AY351" s="185">
        <f t="shared" ca="1" si="301"/>
        <v>5</v>
      </c>
      <c r="AZ351" s="185">
        <f t="shared" ref="AZ351:BI360" ca="1" si="302">IFERROR(INDEX(INDIRECT(AZ$346&amp;"!$A$10:CC100000"),MATCH($AN351,INDIRECT(AZ$346&amp;"!BH$10:BH100000"),0),MATCH(AZ$348,INDIRECT(AZ$346&amp;"!a10:CC10"),0)),"False")</f>
        <v>11</v>
      </c>
      <c r="BA351" s="185" t="str">
        <f t="shared" ca="1" si="302"/>
        <v>Version 8.0</v>
      </c>
      <c r="BB351" s="185" t="str">
        <f t="shared" ca="1" si="302"/>
        <v>Ja</v>
      </c>
      <c r="BC351" s="185" t="str">
        <f t="shared" ca="1" si="302"/>
        <v>Google Chrome OS</v>
      </c>
      <c r="BD351" s="185" t="str">
        <f t="shared" ca="1" si="302"/>
        <v>ChromeBook 11 G9 EE</v>
      </c>
      <c r="BE351" s="185">
        <f t="shared" ca="1" si="302"/>
        <v>3996</v>
      </c>
      <c r="BF351" s="192">
        <f t="shared" ca="1" si="302"/>
        <v>64</v>
      </c>
      <c r="BG351" s="192">
        <f t="shared" ca="1" si="302"/>
        <v>213</v>
      </c>
      <c r="BH351" s="192">
        <f t="shared" ca="1" si="302"/>
        <v>251</v>
      </c>
      <c r="BI351" s="192">
        <f t="shared" ca="1" si="302"/>
        <v>594</v>
      </c>
      <c r="BJ351" s="192">
        <f t="shared" ref="BJ351:BT360" ca="1" si="303">IFERROR(INDEX(INDIRECT(BJ$346&amp;"!$A$10:CC100000"),MATCH($AN351,INDIRECT(BJ$346&amp;"!BH$10:BH100000"),0),MATCH(BJ$348,INDIRECT(BJ$346&amp;"!a10:CC10"),0)),"False")</f>
        <v>112</v>
      </c>
      <c r="BK351" s="192">
        <f t="shared" ca="1" si="303"/>
        <v>50</v>
      </c>
      <c r="BL351" s="192">
        <f t="shared" ca="1" si="303"/>
        <v>50</v>
      </c>
      <c r="BM351" s="192" t="str">
        <f t="shared" ca="1" si="303"/>
        <v>V7</v>
      </c>
      <c r="BN351" s="192" t="str">
        <f t="shared" ca="1" si="303"/>
        <v>PORT Designs</v>
      </c>
      <c r="BO351" s="192" t="str">
        <f t="shared" ca="1" si="303"/>
        <v>CoreParts</v>
      </c>
      <c r="BP351" s="192">
        <f t="shared" ca="1" si="303"/>
        <v>0</v>
      </c>
      <c r="BQ351" s="192" t="str">
        <f t="shared" ca="1" si="303"/>
        <v xml:space="preserve"> CSE12-BLK-3E  - Fodral för bärbar dator 12" - svart</v>
      </c>
      <c r="BR351" s="192" t="str">
        <f t="shared" ca="1" si="303"/>
        <v>900265 - Sekretessfilter till bärbar dator - 11.6" - guld</v>
      </c>
      <c r="BS351" s="192" t="str">
        <f t="shared" ca="1" si="303"/>
        <v>MBXUSBC-AC0005 - USB-C - strömadapter 45 Watt</v>
      </c>
      <c r="BT351" s="192">
        <f t="shared" ca="1" si="303"/>
        <v>0</v>
      </c>
      <c r="BU351" s="192"/>
      <c r="BV351" s="192"/>
      <c r="BW351" s="192" t="str">
        <f t="shared" ref="BW351:BX360" ca="1" si="304">IFERROR(INDEX(INDIRECT(BW$346&amp;"!$A$10:CC100000"),MATCH($AN351,INDIRECT(BW$346&amp;"!BH$10:BH100000"),0),MATCH(BW$348,INDIRECT(BW$346&amp;"!a10:CC10"),0)),"False")</f>
        <v>Advania Sverige AB</v>
      </c>
      <c r="BX351" s="192" t="str">
        <f t="shared" ca="1" si="304"/>
        <v>HP</v>
      </c>
      <c r="BY351" s="185" t="s">
        <v>706</v>
      </c>
      <c r="BZ351" s="185" t="s">
        <v>81</v>
      </c>
      <c r="CA351" s="185">
        <v>4</v>
      </c>
      <c r="CB351" s="185">
        <v>32</v>
      </c>
      <c r="CC351" s="191">
        <v>11.6</v>
      </c>
      <c r="CD351" s="185">
        <v>2</v>
      </c>
      <c r="CE351" s="185">
        <v>1</v>
      </c>
      <c r="CF351" s="185" t="s">
        <v>86</v>
      </c>
      <c r="CG351" s="186">
        <v>5</v>
      </c>
      <c r="CH351" s="186">
        <v>11</v>
      </c>
      <c r="CI351" s="185" t="s">
        <v>527</v>
      </c>
      <c r="CJ351" s="185" t="s">
        <v>69</v>
      </c>
      <c r="CK351" s="185" t="s">
        <v>82</v>
      </c>
      <c r="CL351" s="185"/>
      <c r="CM351" s="185"/>
    </row>
    <row r="352" spans="2:91" ht="22.5" customHeight="1" outlineLevel="1" x14ac:dyDescent="0.35">
      <c r="C352" s="61" t="s">
        <v>3</v>
      </c>
      <c r="D352" s="64"/>
      <c r="F352" s="78" t="str">
        <f t="shared" ref="F352:F364" si="305">IF(F$349="Inget antal angivet","",IFERROR(INDEX($AP$350:$BX$374,MATCH(F$346,$AN$350:$AN$374,0),MATCH($C352,$AP$350:$BX$350,0)),""))</f>
        <v/>
      </c>
      <c r="G352" s="79" t="str">
        <f t="shared" ref="G352:I364" ca="1" si="306">IFERROR(INDEX($AP$350:$BX$374,MATCH(G$346,$AN$350:$AN$374,0),MATCH($C352,$AP$350:$BX$350,0)),"")</f>
        <v>Google Chrome OS</v>
      </c>
      <c r="H352" s="79" t="str">
        <f t="shared" ca="1" si="306"/>
        <v>Google Chrome OS</v>
      </c>
      <c r="I352" s="120" t="str">
        <f t="shared" ca="1" si="306"/>
        <v>Google Chrome OS</v>
      </c>
      <c r="J352" s="62"/>
      <c r="K352" s="185">
        <f t="shared" ca="1" si="280"/>
        <v>0</v>
      </c>
      <c r="L352" s="185" t="b">
        <f t="shared" si="281"/>
        <v>1</v>
      </c>
      <c r="M352" s="185" t="s">
        <v>150</v>
      </c>
      <c r="N352" s="185" t="str">
        <f t="shared" ca="1" si="282"/>
        <v>Offererad produktnr. 05Atea Sverige AB</v>
      </c>
      <c r="O352" s="185" cm="1">
        <f t="array" aca="1" ref="O352" ca="1">MIN(IF(($BW$351:$BW$372=M352)*($AO$351:$AO$372=$O$348),$Y$351:$Y$372))</f>
        <v>4802</v>
      </c>
      <c r="P352" s="197">
        <f ca="1">SMALL($Y$351:$Y$374,2)</f>
        <v>3415</v>
      </c>
      <c r="Q352" s="185">
        <f t="shared" si="283"/>
        <v>0</v>
      </c>
      <c r="R352" s="185">
        <f t="shared" si="284"/>
        <v>0</v>
      </c>
      <c r="S352" s="185">
        <f t="shared" si="285"/>
        <v>0</v>
      </c>
      <c r="T352" s="185">
        <f t="shared" si="286"/>
        <v>0</v>
      </c>
      <c r="U352" s="185">
        <f t="shared" si="287"/>
        <v>0</v>
      </c>
      <c r="V352" s="185">
        <f t="shared" si="288"/>
        <v>0</v>
      </c>
      <c r="W352" s="185">
        <f t="shared" si="289"/>
        <v>0</v>
      </c>
      <c r="X352" s="185">
        <f t="shared" si="290"/>
        <v>0</v>
      </c>
      <c r="Y352" s="185">
        <f t="shared" ca="1" si="291"/>
        <v>4882</v>
      </c>
      <c r="Z352" s="185" t="str">
        <f t="shared" si="292"/>
        <v>Offererad produktnr. 06Advania Sverige AB</v>
      </c>
      <c r="AA352" s="185" t="b">
        <f t="shared" si="293"/>
        <v>1</v>
      </c>
      <c r="AB352" s="185" t="b">
        <f t="shared" si="294"/>
        <v>1</v>
      </c>
      <c r="AC352" s="185" t="b">
        <f t="shared" si="295"/>
        <v>1</v>
      </c>
      <c r="AD352" s="185" t="b">
        <f t="shared" si="296"/>
        <v>1</v>
      </c>
      <c r="AE352" s="185" t="b">
        <f>IF($D$353="",TRUE,IF(COUNTIF(Processor!$I$2:$I$9,$D$353)&gt;0,AND(AT352&gt;INDEX(Processor!$J$2:$J$9,MATCH($D$353,Processor!$I$2:$I$9,0)),AT352&lt;INDEX(Processor!$K$2:$K$9,MATCH($D$353,Processor!$I$2:$I$9,0))),IF(AT352=$D$353,TRUE,FALSE)))</f>
        <v>1</v>
      </c>
      <c r="AF352" s="185" t="b">
        <f t="shared" si="297"/>
        <v>1</v>
      </c>
      <c r="AG352" s="185" t="b">
        <f t="shared" si="298"/>
        <v>1</v>
      </c>
      <c r="AH352" s="185" t="b">
        <f t="shared" si="299"/>
        <v>1</v>
      </c>
      <c r="AI352" s="185" t="b">
        <f t="shared" si="300"/>
        <v>1</v>
      </c>
      <c r="AJ352" s="185" t="b">
        <f>IFERROR(IF($D363="",TRUE,IF(MID(BA352,LEN(BA352)-2,1)*1&gt;=MID($D363,LEN($D363)-2,1)*1,TRUE,FALSE)),FALSE)</f>
        <v>1</v>
      </c>
      <c r="AK352" s="185"/>
      <c r="AL352" s="185"/>
      <c r="AM352" s="185"/>
      <c r="AN352" s="185" t="s">
        <v>203</v>
      </c>
      <c r="AO352" s="185">
        <v>1</v>
      </c>
      <c r="AP352" s="185" t="str">
        <f t="shared" ca="1" si="301"/>
        <v>1920x1080</v>
      </c>
      <c r="AQ352" s="185" t="str">
        <f t="shared" ca="1" si="301"/>
        <v>Intel Celeron</v>
      </c>
      <c r="AR352" s="185">
        <f t="shared" ca="1" si="301"/>
        <v>8</v>
      </c>
      <c r="AS352" s="185">
        <f t="shared" ca="1" si="301"/>
        <v>64</v>
      </c>
      <c r="AT352" s="185">
        <f t="shared" ca="1" si="301"/>
        <v>14</v>
      </c>
      <c r="AU352" s="185">
        <f t="shared" ca="1" si="301"/>
        <v>3</v>
      </c>
      <c r="AV352" s="185">
        <f t="shared" ca="1" si="301"/>
        <v>1</v>
      </c>
      <c r="AW352" s="185">
        <f t="shared" ca="1" si="301"/>
        <v>0</v>
      </c>
      <c r="AX352" s="185" t="str">
        <f t="shared" ca="1" si="301"/>
        <v>802.11a/b/g/n/ac/ax</v>
      </c>
      <c r="AY352" s="185">
        <f t="shared" ca="1" si="301"/>
        <v>5</v>
      </c>
      <c r="AZ352" s="185">
        <f t="shared" ca="1" si="302"/>
        <v>11</v>
      </c>
      <c r="BA352" s="185" t="str">
        <f t="shared" ca="1" si="302"/>
        <v>Version 8.0</v>
      </c>
      <c r="BB352" s="185" t="str">
        <f t="shared" ca="1" si="302"/>
        <v>Ja</v>
      </c>
      <c r="BC352" s="185" t="str">
        <f t="shared" ca="1" si="302"/>
        <v>Google Chrome OS</v>
      </c>
      <c r="BD352" s="185" t="str">
        <f t="shared" ca="1" si="302"/>
        <v>Chromebook 14 G7</v>
      </c>
      <c r="BE352" s="185">
        <f t="shared" ca="1" si="302"/>
        <v>4882</v>
      </c>
      <c r="BF352" s="192">
        <f t="shared" ca="1" si="302"/>
        <v>60</v>
      </c>
      <c r="BG352" s="192">
        <f t="shared" ca="1" si="302"/>
        <v>218</v>
      </c>
      <c r="BH352" s="192">
        <f t="shared" ca="1" si="302"/>
        <v>251</v>
      </c>
      <c r="BI352" s="192">
        <f t="shared" ca="1" si="302"/>
        <v>244</v>
      </c>
      <c r="BJ352" s="192">
        <f t="shared" ca="1" si="303"/>
        <v>112</v>
      </c>
      <c r="BK352" s="192">
        <f t="shared" ca="1" si="303"/>
        <v>50</v>
      </c>
      <c r="BL352" s="192">
        <f t="shared" ca="1" si="303"/>
        <v>50</v>
      </c>
      <c r="BM352" s="192" t="str">
        <f t="shared" ca="1" si="303"/>
        <v>V7</v>
      </c>
      <c r="BN352" s="192" t="str">
        <f t="shared" ca="1" si="303"/>
        <v>PORT Designs</v>
      </c>
      <c r="BO352" s="192" t="str">
        <f t="shared" ca="1" si="303"/>
        <v>CoreParts</v>
      </c>
      <c r="BP352" s="192">
        <f t="shared" ca="1" si="303"/>
        <v>0</v>
      </c>
      <c r="BQ352" s="192" t="str">
        <f t="shared" ca="1" si="303"/>
        <v xml:space="preserve"> CSE14-BLK-3E  -Fodral för bärbar dator - 14" - svart</v>
      </c>
      <c r="BR352" s="192" t="str">
        <f t="shared" ca="1" si="303"/>
        <v>900003 - Professional - filter för personlig integritet - 14"</v>
      </c>
      <c r="BS352" s="192" t="str">
        <f t="shared" ca="1" si="303"/>
        <v>MBXUSBC-AC0005 - USB-C - strömadapter 45 Watt</v>
      </c>
      <c r="BT352" s="192">
        <f t="shared" ca="1" si="303"/>
        <v>0</v>
      </c>
      <c r="BU352" s="192"/>
      <c r="BV352" s="192"/>
      <c r="BW352" s="192" t="str">
        <f t="shared" ca="1" si="304"/>
        <v>Advania Sverige AB</v>
      </c>
      <c r="BX352" s="192" t="str">
        <f t="shared" ca="1" si="304"/>
        <v>HP</v>
      </c>
      <c r="BY352" s="185" t="s">
        <v>71</v>
      </c>
      <c r="BZ352" s="185" t="s">
        <v>696</v>
      </c>
      <c r="CA352" s="185">
        <v>8</v>
      </c>
      <c r="CB352" s="185">
        <v>64</v>
      </c>
      <c r="CC352" s="191">
        <v>14</v>
      </c>
      <c r="CD352" s="185">
        <v>3</v>
      </c>
      <c r="CE352" s="185">
        <v>2</v>
      </c>
      <c r="CF352" s="185" t="s">
        <v>79</v>
      </c>
      <c r="CG352" s="186">
        <v>5.0999999999999996</v>
      </c>
      <c r="CH352" s="186"/>
      <c r="CI352" s="185"/>
      <c r="CJ352" s="185"/>
      <c r="CK352" s="185"/>
      <c r="CL352" s="185"/>
      <c r="CM352" s="185"/>
    </row>
    <row r="353" spans="2:91" ht="22.5" customHeight="1" outlineLevel="1" x14ac:dyDescent="0.35">
      <c r="C353" s="61" t="s">
        <v>7</v>
      </c>
      <c r="D353" s="64"/>
      <c r="F353" s="78" t="str">
        <f t="shared" si="305"/>
        <v/>
      </c>
      <c r="G353" s="79">
        <f t="shared" ca="1" si="306"/>
        <v>11.6</v>
      </c>
      <c r="H353" s="79">
        <f t="shared" ca="1" si="306"/>
        <v>11.6</v>
      </c>
      <c r="I353" s="120">
        <f t="shared" ca="1" si="306"/>
        <v>14</v>
      </c>
      <c r="J353" s="62"/>
      <c r="K353" s="185">
        <f t="shared" ca="1" si="280"/>
        <v>0</v>
      </c>
      <c r="L353" s="185" t="b">
        <f t="shared" si="281"/>
        <v>1</v>
      </c>
      <c r="M353" s="185" t="s">
        <v>128</v>
      </c>
      <c r="N353" s="185" t="str">
        <f t="shared" ca="1" si="282"/>
        <v>Offererad produktnr. 05Dustin Sverige AB</v>
      </c>
      <c r="O353" s="185" cm="1">
        <f t="array" aca="1" ref="O353" ca="1">MIN(IF(($BW$351:$BW$372=M353)*($AO$351:$AO$372=$O$348),$Y$351:$Y$372))</f>
        <v>3415</v>
      </c>
      <c r="P353" s="197">
        <f ca="1">SMALL($Y$351:$Y$374,3)</f>
        <v>3610</v>
      </c>
      <c r="Q353" s="185">
        <f t="shared" si="283"/>
        <v>0</v>
      </c>
      <c r="R353" s="185">
        <f t="shared" si="284"/>
        <v>0</v>
      </c>
      <c r="S353" s="185">
        <f t="shared" si="285"/>
        <v>0</v>
      </c>
      <c r="T353" s="185">
        <f t="shared" si="286"/>
        <v>0</v>
      </c>
      <c r="U353" s="185">
        <f t="shared" si="287"/>
        <v>0</v>
      </c>
      <c r="V353" s="185">
        <f t="shared" si="288"/>
        <v>0</v>
      </c>
      <c r="W353" s="185">
        <f t="shared" si="289"/>
        <v>0</v>
      </c>
      <c r="X353" s="185">
        <f t="shared" si="290"/>
        <v>0</v>
      </c>
      <c r="Y353" s="185">
        <f t="shared" ca="1" si="291"/>
        <v>4802</v>
      </c>
      <c r="Z353" s="185" t="str">
        <f t="shared" si="292"/>
        <v>Offererad produktnr. 05Atea Sverige AB</v>
      </c>
      <c r="AA353" s="185" t="b">
        <f t="shared" si="293"/>
        <v>1</v>
      </c>
      <c r="AB353" s="185" t="b">
        <f t="shared" si="294"/>
        <v>1</v>
      </c>
      <c r="AC353" s="185" t="b">
        <f t="shared" si="295"/>
        <v>1</v>
      </c>
      <c r="AD353" s="185" t="b">
        <f t="shared" si="296"/>
        <v>1</v>
      </c>
      <c r="AE353" s="185" t="b">
        <f>IF($D$353="",TRUE,IF(COUNTIF(Processor!$I$2:$I$9,$D$353)&gt;0,AND(AT353&gt;INDEX(Processor!$J$2:$J$9,MATCH($D$353,Processor!$I$2:$I$9,0)),AT353&lt;INDEX(Processor!$K$2:$K$9,MATCH($D$353,Processor!$I$2:$I$9,0))),IF(AT353=$D$353,TRUE,FALSE)))</f>
        <v>1</v>
      </c>
      <c r="AF353" s="185" t="b">
        <f t="shared" si="297"/>
        <v>1</v>
      </c>
      <c r="AG353" s="185" t="b">
        <f t="shared" si="298"/>
        <v>1</v>
      </c>
      <c r="AH353" s="185" t="b">
        <f t="shared" si="299"/>
        <v>1</v>
      </c>
      <c r="AI353" s="185" t="b">
        <f t="shared" si="300"/>
        <v>1</v>
      </c>
      <c r="AJ353" s="185" t="b">
        <f>IFERROR(IF($D363="",TRUE,IF(MID(BA353,LEN(BA353)-2,1)*1&gt;=MID($D363,LEN($D363)-2,1)*1,TRUE,FALSE)),FALSE)</f>
        <v>1</v>
      </c>
      <c r="AK353" s="185"/>
      <c r="AL353" s="185"/>
      <c r="AM353" s="185"/>
      <c r="AN353" s="185" t="s">
        <v>190</v>
      </c>
      <c r="AO353" s="185">
        <v>1</v>
      </c>
      <c r="AP353" s="185" t="str">
        <f t="shared" ca="1" si="301"/>
        <v>1366x768</v>
      </c>
      <c r="AQ353" s="185" t="str">
        <f t="shared" ca="1" si="301"/>
        <v>Intel Celeron</v>
      </c>
      <c r="AR353" s="185">
        <f t="shared" ca="1" si="301"/>
        <v>4</v>
      </c>
      <c r="AS353" s="185">
        <f t="shared" ca="1" si="301"/>
        <v>32</v>
      </c>
      <c r="AT353" s="185">
        <f t="shared" ca="1" si="301"/>
        <v>11.6</v>
      </c>
      <c r="AU353" s="185">
        <f t="shared" ca="1" si="301"/>
        <v>2</v>
      </c>
      <c r="AV353" s="185">
        <f t="shared" ca="1" si="301"/>
        <v>1</v>
      </c>
      <c r="AW353" s="185">
        <f t="shared" ca="1" si="301"/>
        <v>0</v>
      </c>
      <c r="AX353" s="185" t="str">
        <f t="shared" ca="1" si="301"/>
        <v>802.11a/b/g/n/ac/ax</v>
      </c>
      <c r="AY353" s="185">
        <f t="shared" ca="1" si="301"/>
        <v>5.0999999999999996</v>
      </c>
      <c r="AZ353" s="185">
        <f t="shared" ca="1" si="302"/>
        <v>11</v>
      </c>
      <c r="BA353" s="185" t="str">
        <f t="shared" ca="1" si="302"/>
        <v>Version 8.0</v>
      </c>
      <c r="BB353" s="185" t="str">
        <f t="shared" ca="1" si="302"/>
        <v>Ja</v>
      </c>
      <c r="BC353" s="185" t="str">
        <f t="shared" ca="1" si="302"/>
        <v>Google Chrome OS</v>
      </c>
      <c r="BD353" s="185" t="str">
        <f t="shared" ca="1" si="302"/>
        <v>100e Chr Gen3</v>
      </c>
      <c r="BE353" s="185">
        <f t="shared" ca="1" si="302"/>
        <v>4802</v>
      </c>
      <c r="BF353" s="192">
        <f t="shared" ca="1" si="302"/>
        <v>145</v>
      </c>
      <c r="BG353" s="192">
        <f t="shared" ca="1" si="302"/>
        <v>431</v>
      </c>
      <c r="BH353" s="192">
        <f t="shared" ca="1" si="302"/>
        <v>361</v>
      </c>
      <c r="BI353" s="192">
        <f t="shared" ca="1" si="302"/>
        <v>728</v>
      </c>
      <c r="BJ353" s="192">
        <f t="shared" ca="1" si="303"/>
        <v>120</v>
      </c>
      <c r="BK353" s="192">
        <f t="shared" ca="1" si="303"/>
        <v>85</v>
      </c>
      <c r="BL353" s="192">
        <f t="shared" ca="1" si="303"/>
        <v>100</v>
      </c>
      <c r="BM353" s="192" t="str">
        <f t="shared" ca="1" si="303"/>
        <v xml:space="preserve">Lenovo </v>
      </c>
      <c r="BN353" s="192" t="str">
        <f t="shared" ca="1" si="303"/>
        <v>Lenovo</v>
      </c>
      <c r="BO353" s="192" t="str">
        <f t="shared" ca="1" si="303"/>
        <v>Lenovo</v>
      </c>
      <c r="BP353" s="192">
        <f t="shared" ca="1" si="303"/>
        <v>0</v>
      </c>
      <c r="BQ353" s="192" t="str">
        <f t="shared" ca="1" si="303"/>
        <v>Basic Sleeve 11"</v>
      </c>
      <c r="BR353" s="192" t="str">
        <f t="shared" ca="1" si="303"/>
        <v>Lenovo 11.6" Privacy Filter</v>
      </c>
      <c r="BS353" s="192" t="str">
        <f t="shared" ca="1" si="303"/>
        <v>Power adapter USB-C 45w</v>
      </c>
      <c r="BT353" s="192">
        <f t="shared" ca="1" si="303"/>
        <v>0</v>
      </c>
      <c r="BU353" s="192"/>
      <c r="BV353" s="192"/>
      <c r="BW353" s="192" t="str">
        <f t="shared" ca="1" si="304"/>
        <v>Atea Sverige AB</v>
      </c>
      <c r="BX353" s="192" t="str">
        <f t="shared" ca="1" si="304"/>
        <v>Lenovo</v>
      </c>
      <c r="BY353" s="185"/>
      <c r="BZ353" s="185"/>
      <c r="CA353" s="185"/>
      <c r="CB353" s="185"/>
      <c r="CC353" s="185"/>
      <c r="CD353" s="185">
        <v>4</v>
      </c>
      <c r="CE353" s="185"/>
      <c r="CF353" s="185"/>
      <c r="CG353" s="186"/>
      <c r="CH353" s="186"/>
      <c r="CI353" s="185"/>
      <c r="CJ353" s="185"/>
      <c r="CK353" s="185"/>
      <c r="CL353" s="185"/>
      <c r="CM353" s="185"/>
    </row>
    <row r="354" spans="2:91" ht="22.5" customHeight="1" outlineLevel="1" x14ac:dyDescent="0.35">
      <c r="C354" s="61" t="s">
        <v>2</v>
      </c>
      <c r="D354" s="64"/>
      <c r="F354" s="78" t="str">
        <f t="shared" si="305"/>
        <v/>
      </c>
      <c r="G354" s="79" t="str">
        <f t="shared" ca="1" si="306"/>
        <v>1366x768</v>
      </c>
      <c r="H354" s="79" t="str">
        <f t="shared" ca="1" si="306"/>
        <v>1366x768</v>
      </c>
      <c r="I354" s="120" t="str">
        <f t="shared" ca="1" si="306"/>
        <v>1920x1080</v>
      </c>
      <c r="J354" s="62"/>
      <c r="K354" s="185">
        <f t="shared" ca="1" si="280"/>
        <v>0</v>
      </c>
      <c r="L354" s="185" t="b">
        <f t="shared" si="281"/>
        <v>1</v>
      </c>
      <c r="M354" s="185" t="s">
        <v>169</v>
      </c>
      <c r="N354" s="185" t="str">
        <f t="shared" ca="1" si="282"/>
        <v>Offererad produktnr. 05Foxway Education AB</v>
      </c>
      <c r="O354" s="185" cm="1">
        <f t="array" aca="1" ref="O354" ca="1">MIN(IF(($BW$351:$BW$372=M354)*($AO$351:$AO$372=$O$348),$Y$351:$Y$372))</f>
        <v>3636</v>
      </c>
      <c r="P354" s="197"/>
      <c r="Q354" s="185">
        <f t="shared" si="283"/>
        <v>0</v>
      </c>
      <c r="R354" s="185">
        <f t="shared" si="284"/>
        <v>0</v>
      </c>
      <c r="S354" s="185">
        <f t="shared" si="285"/>
        <v>0</v>
      </c>
      <c r="T354" s="185">
        <f t="shared" si="286"/>
        <v>0</v>
      </c>
      <c r="U354" s="185">
        <f t="shared" si="287"/>
        <v>0</v>
      </c>
      <c r="V354" s="185">
        <f t="shared" si="288"/>
        <v>0</v>
      </c>
      <c r="W354" s="185">
        <f t="shared" si="289"/>
        <v>0</v>
      </c>
      <c r="X354" s="185">
        <f t="shared" si="290"/>
        <v>0</v>
      </c>
      <c r="Y354" s="185">
        <f t="shared" ca="1" si="291"/>
        <v>6392</v>
      </c>
      <c r="Z354" s="185" t="str">
        <f t="shared" si="292"/>
        <v>Offererad produktnr. 06Atea Sverige AB</v>
      </c>
      <c r="AA354" s="185" t="b">
        <f t="shared" si="293"/>
        <v>1</v>
      </c>
      <c r="AB354" s="185" t="b">
        <f t="shared" si="294"/>
        <v>1</v>
      </c>
      <c r="AC354" s="185" t="b">
        <f t="shared" si="295"/>
        <v>1</v>
      </c>
      <c r="AD354" s="185" t="b">
        <f t="shared" si="296"/>
        <v>1</v>
      </c>
      <c r="AE354" s="185" t="b">
        <f>IF($D$353="",TRUE,IF(COUNTIF(Processor!$I$2:$I$9,$D$353)&gt;0,AND(AT354&gt;INDEX(Processor!$J$2:$J$9,MATCH($D$353,Processor!$I$2:$I$9,0)),AT354&lt;INDEX(Processor!$K$2:$K$9,MATCH($D$353,Processor!$I$2:$I$9,0))),IF(AT354=$D$353,TRUE,FALSE)))</f>
        <v>1</v>
      </c>
      <c r="AF354" s="185" t="b">
        <f t="shared" si="297"/>
        <v>1</v>
      </c>
      <c r="AG354" s="185" t="b">
        <f t="shared" si="298"/>
        <v>1</v>
      </c>
      <c r="AH354" s="185" t="b">
        <f t="shared" si="299"/>
        <v>1</v>
      </c>
      <c r="AI354" s="185" t="b">
        <f t="shared" si="300"/>
        <v>1</v>
      </c>
      <c r="AJ354" s="185" t="b">
        <f>IFERROR(IF($D363="",TRUE,IF(MID(BA354,LEN(BA354)-2,1)*1&gt;=MID($D363,LEN($D363)-2,1)*1,TRUE,FALSE)),FALSE)</f>
        <v>1</v>
      </c>
      <c r="AK354" s="185"/>
      <c r="AL354" s="185"/>
      <c r="AM354" s="185"/>
      <c r="AN354" s="185" t="s">
        <v>191</v>
      </c>
      <c r="AO354" s="185">
        <v>1</v>
      </c>
      <c r="AP354" s="185" t="str">
        <f t="shared" ca="1" si="301"/>
        <v>1920x1080</v>
      </c>
      <c r="AQ354" s="185" t="str">
        <f t="shared" ca="1" si="301"/>
        <v>Intel Celeron</v>
      </c>
      <c r="AR354" s="185">
        <f t="shared" ca="1" si="301"/>
        <v>8</v>
      </c>
      <c r="AS354" s="185">
        <f t="shared" ca="1" si="301"/>
        <v>64</v>
      </c>
      <c r="AT354" s="185">
        <f t="shared" ca="1" si="301"/>
        <v>14</v>
      </c>
      <c r="AU354" s="185">
        <f t="shared" ca="1" si="301"/>
        <v>3</v>
      </c>
      <c r="AV354" s="185">
        <f t="shared" ca="1" si="301"/>
        <v>1</v>
      </c>
      <c r="AW354" s="185">
        <f t="shared" ca="1" si="301"/>
        <v>0</v>
      </c>
      <c r="AX354" s="185" t="str">
        <f t="shared" ca="1" si="301"/>
        <v>802.11a/b/g/n/ac/ax</v>
      </c>
      <c r="AY354" s="185">
        <f t="shared" ca="1" si="301"/>
        <v>5</v>
      </c>
      <c r="AZ354" s="185">
        <f t="shared" ca="1" si="302"/>
        <v>11</v>
      </c>
      <c r="BA354" s="185" t="str">
        <f t="shared" ca="1" si="302"/>
        <v>Version 8.0</v>
      </c>
      <c r="BB354" s="185" t="str">
        <f t="shared" ca="1" si="302"/>
        <v>Ja</v>
      </c>
      <c r="BC354" s="185" t="str">
        <f t="shared" ca="1" si="302"/>
        <v>Google Chrome OS</v>
      </c>
      <c r="BD354" s="185" t="str">
        <f t="shared" ca="1" si="302"/>
        <v>Chromebook 14 G7</v>
      </c>
      <c r="BE354" s="185">
        <f t="shared" ca="1" si="302"/>
        <v>6392</v>
      </c>
      <c r="BF354" s="192">
        <f t="shared" ca="1" si="302"/>
        <v>134</v>
      </c>
      <c r="BG354" s="192">
        <f t="shared" ca="1" si="302"/>
        <v>449</v>
      </c>
      <c r="BH354" s="192">
        <f t="shared" ca="1" si="302"/>
        <v>389</v>
      </c>
      <c r="BI354" s="192">
        <f t="shared" ca="1" si="302"/>
        <v>276</v>
      </c>
      <c r="BJ354" s="192">
        <f t="shared" ca="1" si="303"/>
        <v>120</v>
      </c>
      <c r="BK354" s="192">
        <f t="shared" ca="1" si="303"/>
        <v>85</v>
      </c>
      <c r="BL354" s="192">
        <f t="shared" ca="1" si="303"/>
        <v>100</v>
      </c>
      <c r="BM354" s="192" t="str">
        <f t="shared" ca="1" si="303"/>
        <v>DELTACO</v>
      </c>
      <c r="BN354" s="192" t="str">
        <f t="shared" ca="1" si="303"/>
        <v>Targus</v>
      </c>
      <c r="BO354" s="192" t="str">
        <f t="shared" ca="1" si="303"/>
        <v>HP</v>
      </c>
      <c r="BP354" s="192">
        <f t="shared" ca="1" si="303"/>
        <v>0</v>
      </c>
      <c r="BQ354" s="192" t="str">
        <f t="shared" ca="1" si="303"/>
        <v xml:space="preserve">Fodral för bärbar dator </v>
      </c>
      <c r="BR354" s="192" t="str">
        <f t="shared" ca="1" si="303"/>
        <v>Targus Privacy Screen 14"</v>
      </c>
      <c r="BS354" s="192" t="str">
        <f t="shared" ca="1" si="303"/>
        <v>HP 45W USB-C Power Adapter G2</v>
      </c>
      <c r="BT354" s="192">
        <f t="shared" ca="1" si="303"/>
        <v>0</v>
      </c>
      <c r="BU354" s="192"/>
      <c r="BV354" s="192"/>
      <c r="BW354" s="192" t="str">
        <f t="shared" ca="1" si="304"/>
        <v>Atea Sverige AB</v>
      </c>
      <c r="BX354" s="192" t="str">
        <f t="shared" ca="1" si="304"/>
        <v>HP</v>
      </c>
      <c r="BY354" s="185"/>
      <c r="BZ354" s="185"/>
      <c r="CA354" s="185"/>
      <c r="CB354" s="185"/>
      <c r="CC354" s="185"/>
      <c r="CD354" s="185"/>
      <c r="CE354" s="185"/>
      <c r="CF354" s="185"/>
      <c r="CG354" s="186"/>
      <c r="CH354" s="186"/>
      <c r="CI354" s="185"/>
      <c r="CJ354" s="185"/>
      <c r="CK354" s="185"/>
      <c r="CL354" s="185"/>
      <c r="CM354" s="185"/>
    </row>
    <row r="355" spans="2:91" ht="22.5" customHeight="1" outlineLevel="1" x14ac:dyDescent="0.35">
      <c r="C355" s="61" t="s">
        <v>4</v>
      </c>
      <c r="D355" s="64"/>
      <c r="F355" s="78" t="str">
        <f t="shared" si="305"/>
        <v/>
      </c>
      <c r="G355" s="79" t="str">
        <f t="shared" ca="1" si="306"/>
        <v>Intel Celeron</v>
      </c>
      <c r="H355" s="79" t="str">
        <f t="shared" ca="1" si="306"/>
        <v>Intel Celeron</v>
      </c>
      <c r="I355" s="120" t="str">
        <f t="shared" ca="1" si="306"/>
        <v>Intel Celeron</v>
      </c>
      <c r="J355" s="62"/>
      <c r="K355" s="185">
        <f t="shared" ca="1" si="280"/>
        <v>0</v>
      </c>
      <c r="L355" s="185" t="b">
        <f t="shared" si="281"/>
        <v>1</v>
      </c>
      <c r="M355" s="185" t="s">
        <v>167</v>
      </c>
      <c r="N355" s="185" t="e">
        <f t="shared" ca="1" si="282"/>
        <v>#N/A</v>
      </c>
      <c r="O355" s="185" cm="1">
        <f t="array" aca="1" ref="O355" ca="1">MIN(IF(($BW$351:$BW$372=M355)*($AO$351:$AO$372=$O$348),$Y$351:$Y$372))</f>
        <v>0</v>
      </c>
      <c r="P355" s="197"/>
      <c r="Q355" s="185">
        <f t="shared" si="283"/>
        <v>0</v>
      </c>
      <c r="R355" s="185">
        <f t="shared" si="284"/>
        <v>0</v>
      </c>
      <c r="S355" s="185">
        <f t="shared" si="285"/>
        <v>0</v>
      </c>
      <c r="T355" s="185">
        <f t="shared" si="286"/>
        <v>0</v>
      </c>
      <c r="U355" s="185">
        <f t="shared" si="287"/>
        <v>0</v>
      </c>
      <c r="V355" s="185">
        <f t="shared" si="288"/>
        <v>0</v>
      </c>
      <c r="W355" s="185">
        <f t="shared" si="289"/>
        <v>0</v>
      </c>
      <c r="X355" s="185">
        <f t="shared" si="290"/>
        <v>0</v>
      </c>
      <c r="Y355" s="185">
        <f t="shared" ca="1" si="291"/>
        <v>3415</v>
      </c>
      <c r="Z355" s="185" t="str">
        <f t="shared" si="292"/>
        <v>Offererad produktnr. 05Dustin Sverige AB</v>
      </c>
      <c r="AA355" s="185" t="b">
        <f t="shared" si="293"/>
        <v>1</v>
      </c>
      <c r="AB355" s="185" t="b">
        <f t="shared" si="294"/>
        <v>1</v>
      </c>
      <c r="AC355" s="185" t="b">
        <f t="shared" si="295"/>
        <v>1</v>
      </c>
      <c r="AD355" s="185" t="b">
        <f t="shared" si="296"/>
        <v>1</v>
      </c>
      <c r="AE355" s="185" t="b">
        <f>IF($D$353="",TRUE,IF(COUNTIF(Processor!$I$2:$I$9,$D$353)&gt;0,AND(AT355&gt;INDEX(Processor!$J$2:$J$9,MATCH($D$353,Processor!$I$2:$I$9,0)),AT355&lt;INDEX(Processor!$K$2:$K$9,MATCH($D$353,Processor!$I$2:$I$9,0))),IF(AT355=$D$353,TRUE,FALSE)))</f>
        <v>1</v>
      </c>
      <c r="AF355" s="185" t="b">
        <f t="shared" si="297"/>
        <v>1</v>
      </c>
      <c r="AG355" s="185" t="b">
        <f t="shared" si="298"/>
        <v>1</v>
      </c>
      <c r="AH355" s="185" t="b">
        <f t="shared" si="299"/>
        <v>1</v>
      </c>
      <c r="AI355" s="185" t="b">
        <f t="shared" si="300"/>
        <v>1</v>
      </c>
      <c r="AJ355" s="185" t="b">
        <f>IFERROR(IF($D363="",TRUE,IF(MID(BA355,LEN(BA355)-2,1)*1&gt;=MID($D363,LEN($D363)-2,1)*1,TRUE,FALSE)),FALSE)</f>
        <v>1</v>
      </c>
      <c r="AK355" s="185"/>
      <c r="AL355" s="185"/>
      <c r="AM355" s="185"/>
      <c r="AN355" s="185" t="s">
        <v>178</v>
      </c>
      <c r="AO355" s="185">
        <v>1</v>
      </c>
      <c r="AP355" s="185" t="str">
        <f t="shared" ca="1" si="301"/>
        <v>1366x768</v>
      </c>
      <c r="AQ355" s="185" t="str">
        <f t="shared" ca="1" si="301"/>
        <v>Intel Celeron</v>
      </c>
      <c r="AR355" s="185">
        <f t="shared" ca="1" si="301"/>
        <v>4</v>
      </c>
      <c r="AS355" s="185">
        <f t="shared" ca="1" si="301"/>
        <v>32</v>
      </c>
      <c r="AT355" s="185">
        <f t="shared" ca="1" si="301"/>
        <v>11.6</v>
      </c>
      <c r="AU355" s="185">
        <f t="shared" ca="1" si="301"/>
        <v>4</v>
      </c>
      <c r="AV355" s="185">
        <f t="shared" ca="1" si="301"/>
        <v>2</v>
      </c>
      <c r="AW355" s="185">
        <f t="shared" ca="1" si="301"/>
        <v>0</v>
      </c>
      <c r="AX355" s="185" t="str">
        <f t="shared" ca="1" si="301"/>
        <v>802.11a/b/g/n/ac/ax</v>
      </c>
      <c r="AY355" s="185">
        <f t="shared" ca="1" si="301"/>
        <v>5</v>
      </c>
      <c r="AZ355" s="185">
        <f t="shared" ca="1" si="302"/>
        <v>11</v>
      </c>
      <c r="BA355" s="185" t="str">
        <f t="shared" ca="1" si="302"/>
        <v>Version 8.0</v>
      </c>
      <c r="BB355" s="185" t="str">
        <f t="shared" ca="1" si="302"/>
        <v>Ja</v>
      </c>
      <c r="BC355" s="185" t="str">
        <f t="shared" ca="1" si="302"/>
        <v>Google Chrome OS</v>
      </c>
      <c r="BD355" s="185" t="str">
        <f t="shared" ca="1" si="302"/>
        <v>ChromeBook 11 G9 EE</v>
      </c>
      <c r="BE355" s="185">
        <f t="shared" ca="1" si="302"/>
        <v>3415</v>
      </c>
      <c r="BF355" s="192">
        <f t="shared" ca="1" si="302"/>
        <v>87</v>
      </c>
      <c r="BG355" s="192">
        <f t="shared" ca="1" si="302"/>
        <v>123</v>
      </c>
      <c r="BH355" s="192">
        <f t="shared" ca="1" si="302"/>
        <v>249</v>
      </c>
      <c r="BI355" s="192">
        <f t="shared" ca="1" si="302"/>
        <v>131</v>
      </c>
      <c r="BJ355" s="192">
        <f t="shared" ca="1" si="303"/>
        <v>133</v>
      </c>
      <c r="BK355" s="192">
        <f t="shared" ca="1" si="303"/>
        <v>20</v>
      </c>
      <c r="BL355" s="192">
        <f t="shared" ca="1" si="303"/>
        <v>20</v>
      </c>
      <c r="BM355" s="192" t="str">
        <f t="shared" ca="1" si="303"/>
        <v>Cirafon</v>
      </c>
      <c r="BN355" s="192" t="str">
        <f t="shared" ca="1" si="303"/>
        <v>Cirafon</v>
      </c>
      <c r="BO355" s="192" t="str">
        <f t="shared" ca="1" si="303"/>
        <v>HP</v>
      </c>
      <c r="BP355" s="192">
        <f t="shared" ca="1" si="303"/>
        <v>0</v>
      </c>
      <c r="BQ355" s="192" t="str">
        <f t="shared" ca="1" si="303"/>
        <v>LSN9117-11</v>
      </c>
      <c r="BR355" s="192" t="str">
        <f t="shared" ca="1" si="303"/>
        <v>DPF11.6-9</v>
      </c>
      <c r="BS355" s="192" t="str">
        <f t="shared" ca="1" si="303"/>
        <v>1MZ01AA</v>
      </c>
      <c r="BT355" s="192">
        <f t="shared" ca="1" si="303"/>
        <v>0</v>
      </c>
      <c r="BU355" s="192"/>
      <c r="BV355" s="192"/>
      <c r="BW355" s="192" t="str">
        <f t="shared" ca="1" si="304"/>
        <v>Dustin Sverige AB</v>
      </c>
      <c r="BX355" s="192" t="str">
        <f t="shared" ca="1" si="304"/>
        <v>HP</v>
      </c>
      <c r="BY355" s="185"/>
      <c r="BZ355" s="185"/>
      <c r="CA355" s="185"/>
      <c r="CB355" s="185"/>
      <c r="CC355" s="185">
        <v>0</v>
      </c>
      <c r="CD355" s="185"/>
      <c r="CE355" s="185"/>
      <c r="CF355" s="185"/>
      <c r="CG355" s="186">
        <v>0</v>
      </c>
      <c r="CH355" s="185"/>
      <c r="CI355" s="185"/>
      <c r="CJ355" s="185"/>
      <c r="CK355" s="185"/>
      <c r="CL355" s="185"/>
      <c r="CM355" s="185"/>
    </row>
    <row r="356" spans="2:91" ht="22.5" customHeight="1" outlineLevel="1" x14ac:dyDescent="0.35">
      <c r="C356" s="61" t="s">
        <v>119</v>
      </c>
      <c r="D356" s="64"/>
      <c r="F356" s="78" t="str">
        <f t="shared" si="305"/>
        <v/>
      </c>
      <c r="G356" s="79">
        <f t="shared" ca="1" si="306"/>
        <v>4</v>
      </c>
      <c r="H356" s="79">
        <f t="shared" ca="1" si="306"/>
        <v>4</v>
      </c>
      <c r="I356" s="120">
        <f t="shared" ca="1" si="306"/>
        <v>8</v>
      </c>
      <c r="J356" s="62"/>
      <c r="K356" s="185">
        <f t="shared" ca="1" si="280"/>
        <v>0</v>
      </c>
      <c r="L356" s="185" t="b">
        <f t="shared" si="281"/>
        <v>1</v>
      </c>
      <c r="M356" s="185" t="s">
        <v>546</v>
      </c>
      <c r="N356" s="185" t="str">
        <f t="shared" ca="1" si="282"/>
        <v>Offererad produktnr. 05Qlosr Göteborg AB</v>
      </c>
      <c r="O356" s="185" cm="1">
        <f t="array" aca="1" ref="O356" ca="1">MIN(IF(($BW$351:$BW$372=M356)*($AO$351:$AO$372=$O$348),$Y$351:$Y$372))</f>
        <v>2950</v>
      </c>
      <c r="P356" s="197"/>
      <c r="Q356" s="185">
        <f t="shared" si="283"/>
        <v>0</v>
      </c>
      <c r="R356" s="185">
        <f t="shared" si="284"/>
        <v>0</v>
      </c>
      <c r="S356" s="185">
        <f t="shared" si="285"/>
        <v>0</v>
      </c>
      <c r="T356" s="185">
        <f t="shared" si="286"/>
        <v>0</v>
      </c>
      <c r="U356" s="185">
        <f t="shared" si="287"/>
        <v>0</v>
      </c>
      <c r="V356" s="185">
        <f t="shared" si="288"/>
        <v>0</v>
      </c>
      <c r="W356" s="185">
        <f t="shared" si="289"/>
        <v>0</v>
      </c>
      <c r="X356" s="185">
        <f t="shared" si="290"/>
        <v>0</v>
      </c>
      <c r="Y356" s="185">
        <f t="shared" ca="1" si="291"/>
        <v>4088</v>
      </c>
      <c r="Z356" s="185" t="str">
        <f t="shared" si="292"/>
        <v>Offererad produktnr. 06Dustin Sverige AB</v>
      </c>
      <c r="AA356" s="185" t="b">
        <f t="shared" si="293"/>
        <v>1</v>
      </c>
      <c r="AB356" s="185" t="b">
        <f t="shared" si="294"/>
        <v>1</v>
      </c>
      <c r="AC356" s="185" t="b">
        <f t="shared" si="295"/>
        <v>1</v>
      </c>
      <c r="AD356" s="185" t="b">
        <f t="shared" si="296"/>
        <v>1</v>
      </c>
      <c r="AE356" s="185" t="b">
        <f>IF($D$353="",TRUE,IF(COUNTIF(Processor!$I$2:$I$9,$D$353)&gt;0,AND(AT356&gt;INDEX(Processor!$J$2:$J$9,MATCH($D$353,Processor!$I$2:$I$9,0)),AT356&lt;INDEX(Processor!$K$2:$K$9,MATCH($D$353,Processor!$I$2:$I$9,0))),IF(AT356=$D$353,TRUE,FALSE)))</f>
        <v>1</v>
      </c>
      <c r="AF356" s="185" t="b">
        <f t="shared" si="297"/>
        <v>1</v>
      </c>
      <c r="AG356" s="185" t="b">
        <f t="shared" si="298"/>
        <v>1</v>
      </c>
      <c r="AH356" s="185" t="b">
        <f t="shared" si="299"/>
        <v>1</v>
      </c>
      <c r="AI356" s="185" t="b">
        <f t="shared" si="300"/>
        <v>1</v>
      </c>
      <c r="AJ356" s="185" t="b">
        <f>IFERROR(IF($D363="",TRUE,IF(MID(BA356,LEN(BA356)-2,1)*1&gt;=MID($D363,LEN($D363)-2,1)*1,TRUE,FALSE)),FALSE)</f>
        <v>1</v>
      </c>
      <c r="AK356" s="185"/>
      <c r="AL356" s="185"/>
      <c r="AM356" s="185"/>
      <c r="AN356" s="185" t="s">
        <v>179</v>
      </c>
      <c r="AO356" s="185">
        <v>1</v>
      </c>
      <c r="AP356" s="185" t="str">
        <f t="shared" ca="1" si="301"/>
        <v>1920x1080</v>
      </c>
      <c r="AQ356" s="185" t="str">
        <f t="shared" ca="1" si="301"/>
        <v>Intel Celeron</v>
      </c>
      <c r="AR356" s="185">
        <f t="shared" ca="1" si="301"/>
        <v>8</v>
      </c>
      <c r="AS356" s="185">
        <f t="shared" ca="1" si="301"/>
        <v>64</v>
      </c>
      <c r="AT356" s="185">
        <f t="shared" ca="1" si="301"/>
        <v>14</v>
      </c>
      <c r="AU356" s="185">
        <f t="shared" ca="1" si="301"/>
        <v>3</v>
      </c>
      <c r="AV356" s="185">
        <f t="shared" ca="1" si="301"/>
        <v>1</v>
      </c>
      <c r="AW356" s="185">
        <f t="shared" ca="1" si="301"/>
        <v>0</v>
      </c>
      <c r="AX356" s="185" t="str">
        <f t="shared" ca="1" si="301"/>
        <v>802.11a/b/g/n/ac/ax</v>
      </c>
      <c r="AY356" s="185">
        <f t="shared" ca="1" si="301"/>
        <v>5.0999999999999996</v>
      </c>
      <c r="AZ356" s="185">
        <f t="shared" ca="1" si="302"/>
        <v>11</v>
      </c>
      <c r="BA356" s="185" t="str">
        <f t="shared" ca="1" si="302"/>
        <v>Version 8.0</v>
      </c>
      <c r="BB356" s="185" t="str">
        <f t="shared" ca="1" si="302"/>
        <v>Ja</v>
      </c>
      <c r="BC356" s="185" t="str">
        <f t="shared" ca="1" si="302"/>
        <v>Google Chrome OS</v>
      </c>
      <c r="BD356" s="185" t="str">
        <f t="shared" ca="1" si="302"/>
        <v>Chromebook 14 G7</v>
      </c>
      <c r="BE356" s="185">
        <f t="shared" ca="1" si="302"/>
        <v>4088</v>
      </c>
      <c r="BF356" s="192">
        <f t="shared" ca="1" si="302"/>
        <v>123</v>
      </c>
      <c r="BG356" s="192">
        <f t="shared" ca="1" si="302"/>
        <v>425</v>
      </c>
      <c r="BH356" s="192">
        <f t="shared" ca="1" si="302"/>
        <v>249</v>
      </c>
      <c r="BI356" s="192">
        <f t="shared" ca="1" si="302"/>
        <v>131</v>
      </c>
      <c r="BJ356" s="192">
        <f t="shared" ca="1" si="303"/>
        <v>133</v>
      </c>
      <c r="BK356" s="192">
        <f t="shared" ca="1" si="303"/>
        <v>20</v>
      </c>
      <c r="BL356" s="192">
        <f t="shared" ca="1" si="303"/>
        <v>20</v>
      </c>
      <c r="BM356" s="192" t="str">
        <f t="shared" ca="1" si="303"/>
        <v>Cirafon</v>
      </c>
      <c r="BN356" s="192" t="str">
        <f t="shared" ca="1" si="303"/>
        <v>Cirafon</v>
      </c>
      <c r="BO356" s="192" t="str">
        <f t="shared" ca="1" si="303"/>
        <v>HP</v>
      </c>
      <c r="BP356" s="192">
        <f t="shared" ca="1" si="303"/>
        <v>0</v>
      </c>
      <c r="BQ356" s="192" t="str">
        <f t="shared" ca="1" si="303"/>
        <v>LSN8696R2-14.1</v>
      </c>
      <c r="BR356" s="192" t="str">
        <f t="shared" ca="1" si="303"/>
        <v>DPF14-9</v>
      </c>
      <c r="BS356" s="192" t="str">
        <f t="shared" ca="1" si="303"/>
        <v>1MZ01AA</v>
      </c>
      <c r="BT356" s="192">
        <f t="shared" ca="1" si="303"/>
        <v>0</v>
      </c>
      <c r="BU356" s="192"/>
      <c r="BV356" s="192"/>
      <c r="BW356" s="192" t="str">
        <f t="shared" ca="1" si="304"/>
        <v>Dustin Sverige AB</v>
      </c>
      <c r="BX356" s="192" t="str">
        <f t="shared" ca="1" si="304"/>
        <v>HP</v>
      </c>
      <c r="BY356" s="185"/>
      <c r="BZ356" s="185"/>
      <c r="CA356" s="185"/>
      <c r="CB356" s="185"/>
      <c r="CC356" s="185"/>
      <c r="CD356" s="185"/>
      <c r="CE356" s="185"/>
      <c r="CF356" s="185"/>
      <c r="CG356" s="185"/>
      <c r="CH356" s="185"/>
      <c r="CI356" s="185"/>
      <c r="CJ356" s="185"/>
      <c r="CK356" s="185"/>
      <c r="CL356" s="185"/>
      <c r="CM356" s="185"/>
    </row>
    <row r="357" spans="2:91" ht="22.5" customHeight="1" outlineLevel="1" x14ac:dyDescent="0.35">
      <c r="C357" s="61" t="s">
        <v>16</v>
      </c>
      <c r="D357" s="64"/>
      <c r="F357" s="78" t="str">
        <f t="shared" si="305"/>
        <v/>
      </c>
      <c r="G357" s="79">
        <f t="shared" ca="1" si="306"/>
        <v>32</v>
      </c>
      <c r="H357" s="79">
        <f t="shared" ca="1" si="306"/>
        <v>32</v>
      </c>
      <c r="I357" s="120">
        <f t="shared" ca="1" si="306"/>
        <v>64</v>
      </c>
      <c r="J357" s="62"/>
      <c r="Q357" s="185">
        <f t="shared" si="283"/>
        <v>0</v>
      </c>
      <c r="R357" s="185">
        <f t="shared" si="284"/>
        <v>0</v>
      </c>
      <c r="S357" s="185">
        <f t="shared" si="285"/>
        <v>0</v>
      </c>
      <c r="T357" s="185">
        <f t="shared" si="286"/>
        <v>0</v>
      </c>
      <c r="U357" s="185">
        <f t="shared" si="287"/>
        <v>0</v>
      </c>
      <c r="V357" s="185">
        <f t="shared" si="288"/>
        <v>0</v>
      </c>
      <c r="W357" s="185">
        <f t="shared" si="289"/>
        <v>0</v>
      </c>
      <c r="X357" s="185">
        <f t="shared" si="290"/>
        <v>0</v>
      </c>
      <c r="Y357" s="185">
        <f t="shared" ca="1" si="291"/>
        <v>3636</v>
      </c>
      <c r="Z357" s="185" t="str">
        <f t="shared" si="292"/>
        <v>Offererad produktnr. 05Foxway Education AB</v>
      </c>
      <c r="AA357" s="185" t="b">
        <f t="shared" si="293"/>
        <v>1</v>
      </c>
      <c r="AB357" s="185" t="b">
        <f t="shared" si="294"/>
        <v>1</v>
      </c>
      <c r="AC357" s="185" t="b">
        <f t="shared" si="295"/>
        <v>1</v>
      </c>
      <c r="AD357" s="185" t="b">
        <f t="shared" si="296"/>
        <v>1</v>
      </c>
      <c r="AE357" s="185" t="b">
        <f>IF($D$353="",TRUE,IF(COUNTIF(Processor!$I$2:$I$9,$D$353)&gt;0,AND(AT357&gt;INDEX(Processor!$J$2:$J$9,MATCH($D$353,Processor!$I$2:$I$9,0)),AT357&lt;INDEX(Processor!$K$2:$K$9,MATCH($D$353,Processor!$I$2:$I$9,0))),IF(AT357=$D$353,TRUE,FALSE)))</f>
        <v>1</v>
      </c>
      <c r="AF357" s="185" t="b">
        <f t="shared" si="297"/>
        <v>1</v>
      </c>
      <c r="AG357" s="185" t="b">
        <f t="shared" si="298"/>
        <v>1</v>
      </c>
      <c r="AH357" s="185" t="b">
        <f t="shared" si="299"/>
        <v>1</v>
      </c>
      <c r="AI357" s="185" t="b">
        <f t="shared" si="300"/>
        <v>1</v>
      </c>
      <c r="AJ357" s="185" t="b">
        <f>IFERROR(IF($D363="",TRUE,IF(MID(BA357,LEN(BA357)-2,1)*1&gt;=MID($D363,LEN($D363)-2,1)*1,TRUE,FALSE)),FALSE)</f>
        <v>1</v>
      </c>
      <c r="AK357" s="185"/>
      <c r="AL357" s="185"/>
      <c r="AM357" s="185"/>
      <c r="AN357" s="185" t="s">
        <v>214</v>
      </c>
      <c r="AO357" s="185">
        <v>1</v>
      </c>
      <c r="AP357" s="185" t="str">
        <f t="shared" ca="1" si="301"/>
        <v>1366x768</v>
      </c>
      <c r="AQ357" s="185" t="str">
        <f t="shared" ca="1" si="301"/>
        <v>MT8186</v>
      </c>
      <c r="AR357" s="185">
        <f t="shared" ca="1" si="301"/>
        <v>4</v>
      </c>
      <c r="AS357" s="185">
        <f t="shared" ca="1" si="301"/>
        <v>32</v>
      </c>
      <c r="AT357" s="185">
        <f t="shared" ca="1" si="301"/>
        <v>11.6</v>
      </c>
      <c r="AU357" s="185">
        <f t="shared" ca="1" si="301"/>
        <v>3</v>
      </c>
      <c r="AV357" s="185">
        <f t="shared" ca="1" si="301"/>
        <v>1</v>
      </c>
      <c r="AW357" s="185">
        <f t="shared" ca="1" si="301"/>
        <v>0</v>
      </c>
      <c r="AX357" s="185" t="str">
        <f t="shared" ca="1" si="301"/>
        <v>802.11a/b/g/n/ac</v>
      </c>
      <c r="AY357" s="185">
        <f t="shared" ca="1" si="301"/>
        <v>5.0999999999999996</v>
      </c>
      <c r="AZ357" s="185">
        <f t="shared" ca="1" si="302"/>
        <v>11</v>
      </c>
      <c r="BA357" s="185" t="str">
        <f t="shared" ca="1" si="302"/>
        <v>Version 8.0</v>
      </c>
      <c r="BB357" s="185" t="str">
        <f t="shared" ca="1" si="302"/>
        <v>Ja</v>
      </c>
      <c r="BC357" s="185" t="str">
        <f t="shared" ca="1" si="302"/>
        <v>Google Chrome OS</v>
      </c>
      <c r="BD357" s="185" t="str">
        <f t="shared" ca="1" si="302"/>
        <v>100e Chr Gen4</v>
      </c>
      <c r="BE357" s="185">
        <f t="shared" ca="1" si="302"/>
        <v>3636</v>
      </c>
      <c r="BF357" s="192">
        <f t="shared" ca="1" si="302"/>
        <v>78</v>
      </c>
      <c r="BG357" s="192">
        <f t="shared" ca="1" si="302"/>
        <v>240</v>
      </c>
      <c r="BH357" s="192">
        <f t="shared" ca="1" si="302"/>
        <v>210</v>
      </c>
      <c r="BI357" s="192">
        <f t="shared" ca="1" si="302"/>
        <v>405</v>
      </c>
      <c r="BJ357" s="192">
        <f t="shared" ca="1" si="303"/>
        <v>185</v>
      </c>
      <c r="BK357" s="192">
        <f t="shared" ca="1" si="303"/>
        <v>60</v>
      </c>
      <c r="BL357" s="192">
        <f t="shared" ca="1" si="303"/>
        <v>50</v>
      </c>
      <c r="BM357" s="192" t="str">
        <f t="shared" ca="1" si="303"/>
        <v>V7</v>
      </c>
      <c r="BN357" s="192" t="str">
        <f t="shared" ca="1" si="303"/>
        <v>Lenovo</v>
      </c>
      <c r="BO357" s="192" t="str">
        <f t="shared" ca="1" si="303"/>
        <v>Lenovo</v>
      </c>
      <c r="BP357" s="192">
        <f t="shared" ca="1" si="303"/>
        <v>0</v>
      </c>
      <c r="BQ357" s="192" t="str">
        <f t="shared" ca="1" si="303"/>
        <v>V7 Elite Sleeve 12"</v>
      </c>
      <c r="BR357" s="192" t="str">
        <f t="shared" ca="1" si="303"/>
        <v>Lenovo 11.6" Privacy Filter</v>
      </c>
      <c r="BS357" s="192" t="str">
        <f t="shared" ca="1" si="303"/>
        <v>Power adapter USB-C 45w</v>
      </c>
      <c r="BT357" s="192">
        <f t="shared" ca="1" si="303"/>
        <v>0</v>
      </c>
      <c r="BU357" s="192"/>
      <c r="BV357" s="192"/>
      <c r="BW357" s="192" t="str">
        <f t="shared" ca="1" si="304"/>
        <v>Foxway Education AB</v>
      </c>
      <c r="BX357" s="192" t="str">
        <f t="shared" ca="1" si="304"/>
        <v>Lenovo</v>
      </c>
      <c r="BY357" s="185"/>
      <c r="BZ357" s="185"/>
      <c r="CA357" s="185"/>
      <c r="CB357" s="185"/>
      <c r="CC357" s="185"/>
      <c r="CD357" s="185"/>
      <c r="CE357" s="185"/>
      <c r="CF357" s="185"/>
      <c r="CG357" s="185"/>
      <c r="CH357" s="185"/>
      <c r="CI357" s="185"/>
      <c r="CJ357" s="185"/>
      <c r="CK357" s="185"/>
      <c r="CL357" s="185"/>
      <c r="CM357" s="185"/>
    </row>
    <row r="358" spans="2:91" ht="22.5" customHeight="1" outlineLevel="1" x14ac:dyDescent="0.35">
      <c r="C358" s="61" t="s">
        <v>67</v>
      </c>
      <c r="D358" s="64"/>
      <c r="F358" s="78" t="str">
        <f t="shared" si="305"/>
        <v/>
      </c>
      <c r="G358" s="79">
        <f t="shared" ca="1" si="306"/>
        <v>2</v>
      </c>
      <c r="H358" s="79">
        <f t="shared" ca="1" si="306"/>
        <v>4</v>
      </c>
      <c r="I358" s="120">
        <f t="shared" ca="1" si="306"/>
        <v>3</v>
      </c>
      <c r="J358" s="62"/>
      <c r="Q358" s="185">
        <f t="shared" si="283"/>
        <v>0</v>
      </c>
      <c r="R358" s="185">
        <f t="shared" si="284"/>
        <v>0</v>
      </c>
      <c r="S358" s="185">
        <f t="shared" si="285"/>
        <v>0</v>
      </c>
      <c r="T358" s="185">
        <f t="shared" si="286"/>
        <v>0</v>
      </c>
      <c r="U358" s="185">
        <f t="shared" si="287"/>
        <v>0</v>
      </c>
      <c r="V358" s="185">
        <f t="shared" si="288"/>
        <v>0</v>
      </c>
      <c r="W358" s="185">
        <f t="shared" si="289"/>
        <v>0</v>
      </c>
      <c r="X358" s="185">
        <f t="shared" si="290"/>
        <v>0</v>
      </c>
      <c r="Y358" s="185">
        <f t="shared" ca="1" si="291"/>
        <v>5133</v>
      </c>
      <c r="Z358" s="185" t="str">
        <f t="shared" si="292"/>
        <v>Offererad produktnr. 06Foxway Education AB</v>
      </c>
      <c r="AA358" s="185" t="b">
        <f t="shared" si="293"/>
        <v>1</v>
      </c>
      <c r="AB358" s="185" t="b">
        <f t="shared" si="294"/>
        <v>1</v>
      </c>
      <c r="AC358" s="185" t="b">
        <f t="shared" si="295"/>
        <v>1</v>
      </c>
      <c r="AD358" s="185" t="b">
        <f t="shared" si="296"/>
        <v>1</v>
      </c>
      <c r="AE358" s="185" t="b">
        <f>IF($D$353="",TRUE,IF(COUNTIF(Processor!$I$2:$I$9,$D$353)&gt;0,AND(AT358&gt;INDEX(Processor!$J$2:$J$9,MATCH($D$353,Processor!$I$2:$I$9,0)),AT358&lt;INDEX(Processor!$K$2:$K$9,MATCH($D$353,Processor!$I$2:$I$9,0))),IF(AT358=$D$353,TRUE,FALSE)))</f>
        <v>1</v>
      </c>
      <c r="AF358" s="185" t="b">
        <f t="shared" si="297"/>
        <v>1</v>
      </c>
      <c r="AG358" s="185" t="b">
        <f t="shared" si="298"/>
        <v>1</v>
      </c>
      <c r="AH358" s="185" t="b">
        <f t="shared" si="299"/>
        <v>1</v>
      </c>
      <c r="AI358" s="185" t="b">
        <f t="shared" si="300"/>
        <v>1</v>
      </c>
      <c r="AJ358" s="185" t="b">
        <f>IFERROR(IF($D363="",TRUE,IF(MID(BA358,LEN(BA358)-2,1)*1&gt;=MID($D363,LEN($D363)-2,1)*1,TRUE,FALSE)),FALSE)</f>
        <v>1</v>
      </c>
      <c r="AK358" s="185"/>
      <c r="AL358" s="185"/>
      <c r="AM358" s="185"/>
      <c r="AN358" s="185" t="s">
        <v>215</v>
      </c>
      <c r="AO358" s="185">
        <v>1</v>
      </c>
      <c r="AP358" s="185" t="str">
        <f t="shared" ca="1" si="301"/>
        <v>1920x1080</v>
      </c>
      <c r="AQ358" s="185" t="str">
        <f t="shared" ca="1" si="301"/>
        <v>Intel Celeron</v>
      </c>
      <c r="AR358" s="185">
        <f t="shared" ca="1" si="301"/>
        <v>8</v>
      </c>
      <c r="AS358" s="185">
        <f t="shared" ca="1" si="301"/>
        <v>64</v>
      </c>
      <c r="AT358" s="185">
        <f t="shared" ca="1" si="301"/>
        <v>14</v>
      </c>
      <c r="AU358" s="185">
        <f t="shared" ca="1" si="301"/>
        <v>3</v>
      </c>
      <c r="AV358" s="185">
        <f t="shared" ca="1" si="301"/>
        <v>1</v>
      </c>
      <c r="AW358" s="185">
        <f t="shared" ca="1" si="301"/>
        <v>0</v>
      </c>
      <c r="AX358" s="185" t="str">
        <f t="shared" ca="1" si="301"/>
        <v>802.11a/b/g/n/ac/ax</v>
      </c>
      <c r="AY358" s="185">
        <f t="shared" ca="1" si="301"/>
        <v>5</v>
      </c>
      <c r="AZ358" s="185">
        <f t="shared" ca="1" si="302"/>
        <v>11</v>
      </c>
      <c r="BA358" s="185" t="str">
        <f t="shared" ca="1" si="302"/>
        <v>Version 8.0</v>
      </c>
      <c r="BB358" s="185" t="str">
        <f t="shared" ca="1" si="302"/>
        <v>Ja</v>
      </c>
      <c r="BC358" s="185" t="str">
        <f t="shared" ca="1" si="302"/>
        <v>Google Chrome OS</v>
      </c>
      <c r="BD358" s="185" t="str">
        <f t="shared" ca="1" si="302"/>
        <v>Chromebook 14 G7</v>
      </c>
      <c r="BE358" s="185">
        <f t="shared" ca="1" si="302"/>
        <v>5133</v>
      </c>
      <c r="BF358" s="192">
        <f t="shared" ca="1" si="302"/>
        <v>78</v>
      </c>
      <c r="BG358" s="192">
        <f t="shared" ca="1" si="302"/>
        <v>276</v>
      </c>
      <c r="BH358" s="192">
        <f t="shared" ca="1" si="302"/>
        <v>240</v>
      </c>
      <c r="BI358" s="192">
        <f t="shared" ca="1" si="302"/>
        <v>162</v>
      </c>
      <c r="BJ358" s="192">
        <f t="shared" ca="1" si="303"/>
        <v>185</v>
      </c>
      <c r="BK358" s="192">
        <f t="shared" ca="1" si="303"/>
        <v>60</v>
      </c>
      <c r="BL358" s="192">
        <f t="shared" ca="1" si="303"/>
        <v>50</v>
      </c>
      <c r="BM358" s="192" t="str">
        <f t="shared" ca="1" si="303"/>
        <v>V7</v>
      </c>
      <c r="BN358" s="192" t="str">
        <f t="shared" ca="1" si="303"/>
        <v>Targus</v>
      </c>
      <c r="BO358" s="192" t="str">
        <f t="shared" ca="1" si="303"/>
        <v>HP</v>
      </c>
      <c r="BP358" s="192">
        <f t="shared" ca="1" si="303"/>
        <v>0</v>
      </c>
      <c r="BQ358" s="192" t="str">
        <f t="shared" ca="1" si="303"/>
        <v>V7 Elite Sleeve 12"</v>
      </c>
      <c r="BR358" s="192" t="str">
        <f t="shared" ca="1" si="303"/>
        <v>Targus Privacy Screen 14"</v>
      </c>
      <c r="BS358" s="192" t="str">
        <f t="shared" ca="1" si="303"/>
        <v>HP 45W USB-C Power Adapter G2</v>
      </c>
      <c r="BT358" s="192">
        <f t="shared" ca="1" si="303"/>
        <v>0</v>
      </c>
      <c r="BU358" s="192"/>
      <c r="BV358" s="192"/>
      <c r="BW358" s="192" t="str">
        <f t="shared" ca="1" si="304"/>
        <v>Foxway Education AB</v>
      </c>
      <c r="BX358" s="192" t="str">
        <f t="shared" ca="1" si="304"/>
        <v>HP</v>
      </c>
      <c r="BY358" s="185"/>
      <c r="BZ358" s="185"/>
      <c r="CA358" s="185"/>
      <c r="CB358" s="185"/>
      <c r="CC358" s="185"/>
      <c r="CD358" s="185"/>
      <c r="CE358" s="185"/>
      <c r="CF358" s="185"/>
      <c r="CG358" s="185"/>
      <c r="CH358" s="185"/>
      <c r="CI358" s="185"/>
      <c r="CJ358" s="185"/>
      <c r="CK358" s="185"/>
      <c r="CL358" s="185"/>
      <c r="CM358" s="185"/>
    </row>
    <row r="359" spans="2:91" ht="22.5" customHeight="1" outlineLevel="1" x14ac:dyDescent="0.35">
      <c r="C359" s="61" t="s">
        <v>74</v>
      </c>
      <c r="D359" s="64"/>
      <c r="F359" s="78" t="str">
        <f t="shared" si="305"/>
        <v/>
      </c>
      <c r="G359" s="79">
        <f t="shared" ca="1" si="306"/>
        <v>1</v>
      </c>
      <c r="H359" s="79">
        <f t="shared" ca="1" si="306"/>
        <v>2</v>
      </c>
      <c r="I359" s="120">
        <f t="shared" ca="1" si="306"/>
        <v>1</v>
      </c>
      <c r="J359" s="62"/>
      <c r="Q359" s="185">
        <f t="shared" si="283"/>
        <v>0</v>
      </c>
      <c r="R359" s="185">
        <f t="shared" si="284"/>
        <v>0</v>
      </c>
      <c r="S359" s="185">
        <f t="shared" si="285"/>
        <v>0</v>
      </c>
      <c r="T359" s="185">
        <f t="shared" si="286"/>
        <v>0</v>
      </c>
      <c r="U359" s="185">
        <f t="shared" si="287"/>
        <v>0</v>
      </c>
      <c r="V359" s="185">
        <f t="shared" si="288"/>
        <v>0</v>
      </c>
      <c r="W359" s="185">
        <f t="shared" si="289"/>
        <v>0</v>
      </c>
      <c r="X359" s="185">
        <f t="shared" si="290"/>
        <v>0</v>
      </c>
      <c r="Y359" s="185">
        <f t="shared" ca="1" si="291"/>
        <v>2950</v>
      </c>
      <c r="Z359" s="185" t="str">
        <f t="shared" si="292"/>
        <v>Offererad produktnr. 05Qlosr Göteborg AB</v>
      </c>
      <c r="AA359" s="185" t="b">
        <f t="shared" si="293"/>
        <v>1</v>
      </c>
      <c r="AB359" s="185" t="b">
        <f t="shared" si="294"/>
        <v>1</v>
      </c>
      <c r="AC359" s="185" t="b">
        <f t="shared" si="295"/>
        <v>1</v>
      </c>
      <c r="AD359" s="185" t="b">
        <f t="shared" si="296"/>
        <v>1</v>
      </c>
      <c r="AE359" s="185" t="b">
        <f>IF($D$353="",TRUE,IF(COUNTIF(Processor!$I$2:$I$9,$D$353)&gt;0,AND(AT359&gt;INDEX(Processor!$J$2:$J$9,MATCH($D$353,Processor!$I$2:$I$9,0)),AT359&lt;INDEX(Processor!$K$2:$K$9,MATCH($D$353,Processor!$I$2:$I$9,0))),IF(AT359=$D$353,TRUE,FALSE)))</f>
        <v>1</v>
      </c>
      <c r="AF359" s="185" t="b">
        <f t="shared" si="297"/>
        <v>1</v>
      </c>
      <c r="AG359" s="185" t="b">
        <f t="shared" si="298"/>
        <v>1</v>
      </c>
      <c r="AH359" s="185" t="b">
        <f t="shared" si="299"/>
        <v>1</v>
      </c>
      <c r="AI359" s="185" t="b">
        <f t="shared" si="300"/>
        <v>1</v>
      </c>
      <c r="AJ359" s="185" t="b">
        <f>IFERROR(IF($D363="",TRUE,IF(MID(BA359,LEN(BA359)-2,1)*1&gt;=MID($D363,LEN($D363)-2,1)*1,TRUE,FALSE)),FALSE)</f>
        <v>1</v>
      </c>
      <c r="AK359" s="185"/>
      <c r="AL359" s="185"/>
      <c r="AM359" s="185"/>
      <c r="AN359" s="185" t="s">
        <v>556</v>
      </c>
      <c r="AO359" s="185">
        <v>1</v>
      </c>
      <c r="AP359" s="185" t="str">
        <f t="shared" ca="1" si="301"/>
        <v>1366x768</v>
      </c>
      <c r="AQ359" s="185" t="str">
        <f t="shared" ca="1" si="301"/>
        <v>Intel Celeron</v>
      </c>
      <c r="AR359" s="185">
        <f t="shared" ca="1" si="301"/>
        <v>4</v>
      </c>
      <c r="AS359" s="185">
        <f t="shared" ca="1" si="301"/>
        <v>32</v>
      </c>
      <c r="AT359" s="185">
        <f t="shared" ca="1" si="301"/>
        <v>11.6</v>
      </c>
      <c r="AU359" s="185">
        <f t="shared" ca="1" si="301"/>
        <v>2</v>
      </c>
      <c r="AV359" s="185">
        <f t="shared" ca="1" si="301"/>
        <v>1</v>
      </c>
      <c r="AW359" s="185">
        <f t="shared" ca="1" si="301"/>
        <v>0</v>
      </c>
      <c r="AX359" s="185" t="str">
        <f t="shared" ca="1" si="301"/>
        <v>802.11a/b/g/n/ac/ax</v>
      </c>
      <c r="AY359" s="185">
        <f t="shared" ca="1" si="301"/>
        <v>5.0999999999999996</v>
      </c>
      <c r="AZ359" s="185">
        <f t="shared" ca="1" si="302"/>
        <v>11</v>
      </c>
      <c r="BA359" s="185" t="str">
        <f t="shared" ca="1" si="302"/>
        <v>Version 8.0</v>
      </c>
      <c r="BB359" s="185" t="str">
        <f t="shared" ca="1" si="302"/>
        <v>Ja</v>
      </c>
      <c r="BC359" s="185" t="str">
        <f t="shared" ca="1" si="302"/>
        <v>Google Chrome OS</v>
      </c>
      <c r="BD359" s="185" t="str">
        <f t="shared" ca="1" si="302"/>
        <v>Chromebook 3110</v>
      </c>
      <c r="BE359" s="185">
        <f t="shared" ca="1" si="302"/>
        <v>2950</v>
      </c>
      <c r="BF359" s="192">
        <f t="shared" ca="1" si="302"/>
        <v>59</v>
      </c>
      <c r="BG359" s="192">
        <f t="shared" ca="1" si="302"/>
        <v>287</v>
      </c>
      <c r="BH359" s="192">
        <f t="shared" ca="1" si="302"/>
        <v>240</v>
      </c>
      <c r="BI359" s="192">
        <f t="shared" ca="1" si="302"/>
        <v>275</v>
      </c>
      <c r="BJ359" s="192">
        <f t="shared" ca="1" si="303"/>
        <v>70</v>
      </c>
      <c r="BK359" s="192">
        <f t="shared" ca="1" si="303"/>
        <v>25</v>
      </c>
      <c r="BL359" s="192">
        <f t="shared" ca="1" si="303"/>
        <v>25</v>
      </c>
      <c r="BM359" s="192" t="str">
        <f t="shared" ca="1" si="303"/>
        <v>HP</v>
      </c>
      <c r="BN359" s="192" t="str">
        <f t="shared" ca="1" si="303"/>
        <v>Kapsolo</v>
      </c>
      <c r="BO359" s="192" t="str">
        <f t="shared" ca="1" si="303"/>
        <v>Dell</v>
      </c>
      <c r="BP359" s="192">
        <f t="shared" ca="1" si="303"/>
        <v>0</v>
      </c>
      <c r="BQ359" s="192" t="str">
        <f t="shared" ca="1" si="303"/>
        <v>GBX77E81AA</v>
      </c>
      <c r="BR359" s="192" t="str">
        <f t="shared" ca="1" si="303"/>
        <v>GBXKAP10145</v>
      </c>
      <c r="BS359" s="192" t="str">
        <f t="shared" ca="1" si="303"/>
        <v>DELL-921CW</v>
      </c>
      <c r="BT359" s="192">
        <f t="shared" ca="1" si="303"/>
        <v>0</v>
      </c>
      <c r="BU359" s="192"/>
      <c r="BV359" s="192"/>
      <c r="BW359" s="192" t="str">
        <f t="shared" ca="1" si="304"/>
        <v>Qlosr Göteborg AB</v>
      </c>
      <c r="BX359" s="192" t="str">
        <f t="shared" ca="1" si="304"/>
        <v>Dell</v>
      </c>
      <c r="BY359" s="185"/>
      <c r="BZ359" s="185"/>
      <c r="CA359" s="185"/>
      <c r="CB359" s="185"/>
      <c r="CC359" s="185"/>
      <c r="CD359" s="185"/>
      <c r="CE359" s="185"/>
      <c r="CF359" s="185"/>
      <c r="CG359" s="185"/>
      <c r="CH359" s="185"/>
      <c r="CI359" s="185"/>
      <c r="CJ359" s="185"/>
      <c r="CK359" s="185"/>
      <c r="CL359" s="185"/>
      <c r="CM359" s="185"/>
    </row>
    <row r="360" spans="2:91" ht="22.5" customHeight="1" outlineLevel="1" x14ac:dyDescent="0.35">
      <c r="C360" s="61" t="s">
        <v>103</v>
      </c>
      <c r="D360" s="64"/>
      <c r="F360" s="78" t="str">
        <f t="shared" si="305"/>
        <v/>
      </c>
      <c r="G360" s="79" t="str">
        <f t="shared" ca="1" si="306"/>
        <v>802.11a/b/g/n/ac/ax</v>
      </c>
      <c r="H360" s="79" t="str">
        <f t="shared" ca="1" si="306"/>
        <v>802.11a/b/g/n/ac/ax</v>
      </c>
      <c r="I360" s="120" t="str">
        <f t="shared" ca="1" si="306"/>
        <v>802.11a/b/g/n/ac/ax</v>
      </c>
      <c r="J360" s="62"/>
      <c r="Q360" s="185">
        <f t="shared" si="283"/>
        <v>0</v>
      </c>
      <c r="R360" s="185">
        <f t="shared" si="284"/>
        <v>0</v>
      </c>
      <c r="S360" s="185">
        <f t="shared" si="285"/>
        <v>0</v>
      </c>
      <c r="T360" s="185">
        <f t="shared" si="286"/>
        <v>0</v>
      </c>
      <c r="U360" s="185">
        <f t="shared" si="287"/>
        <v>0</v>
      </c>
      <c r="V360" s="185">
        <f t="shared" si="288"/>
        <v>0</v>
      </c>
      <c r="W360" s="185">
        <f t="shared" si="289"/>
        <v>0</v>
      </c>
      <c r="X360" s="185">
        <f t="shared" si="290"/>
        <v>0</v>
      </c>
      <c r="Y360" s="185">
        <f t="shared" ca="1" si="291"/>
        <v>3610</v>
      </c>
      <c r="Z360" s="185" t="str">
        <f t="shared" si="292"/>
        <v>Offererad produktnr. 06Qlosr Göteborg AB</v>
      </c>
      <c r="AA360" s="185" t="b">
        <f t="shared" si="293"/>
        <v>1</v>
      </c>
      <c r="AB360" s="185" t="b">
        <f t="shared" si="294"/>
        <v>1</v>
      </c>
      <c r="AC360" s="185" t="b">
        <f t="shared" si="295"/>
        <v>1</v>
      </c>
      <c r="AD360" s="185" t="b">
        <f t="shared" si="296"/>
        <v>1</v>
      </c>
      <c r="AE360" s="185" t="b">
        <f>IF($D$353="",TRUE,IF(COUNTIF(Processor!$I$2:$I$9,$D$353)&gt;0,AND(AT360&gt;INDEX(Processor!$J$2:$J$9,MATCH($D$353,Processor!$I$2:$I$9,0)),AT360&lt;INDEX(Processor!$K$2:$K$9,MATCH($D$353,Processor!$I$2:$I$9,0))),IF(AT360=$D$353,TRUE,FALSE)))</f>
        <v>1</v>
      </c>
      <c r="AF360" s="185" t="b">
        <f t="shared" si="297"/>
        <v>1</v>
      </c>
      <c r="AG360" s="185" t="b">
        <f t="shared" si="298"/>
        <v>1</v>
      </c>
      <c r="AH360" s="185" t="b">
        <f t="shared" si="299"/>
        <v>1</v>
      </c>
      <c r="AI360" s="185" t="b">
        <f t="shared" si="300"/>
        <v>1</v>
      </c>
      <c r="AJ360" s="185" t="b">
        <f>IFERROR(IF($D363="",TRUE,IF(MID(BA360,LEN(BA360)-2,1)*1&gt;=MID($D363,LEN($D363)-2,1)*1,TRUE,FALSE)),FALSE)</f>
        <v>1</v>
      </c>
      <c r="AK360" s="185"/>
      <c r="AL360" s="185"/>
      <c r="AM360" s="185"/>
      <c r="AN360" s="185" t="s">
        <v>557</v>
      </c>
      <c r="AO360" s="185">
        <v>1</v>
      </c>
      <c r="AP360" s="185" t="str">
        <f t="shared" ca="1" si="301"/>
        <v>1920x1080</v>
      </c>
      <c r="AQ360" s="185" t="str">
        <f t="shared" ca="1" si="301"/>
        <v>Intel Celeron</v>
      </c>
      <c r="AR360" s="185">
        <f t="shared" ca="1" si="301"/>
        <v>8</v>
      </c>
      <c r="AS360" s="185">
        <f t="shared" ca="1" si="301"/>
        <v>64</v>
      </c>
      <c r="AT360" s="185">
        <f t="shared" ca="1" si="301"/>
        <v>14</v>
      </c>
      <c r="AU360" s="185">
        <f t="shared" ca="1" si="301"/>
        <v>3</v>
      </c>
      <c r="AV360" s="185">
        <f t="shared" ca="1" si="301"/>
        <v>1</v>
      </c>
      <c r="AW360" s="185">
        <f t="shared" ca="1" si="301"/>
        <v>0</v>
      </c>
      <c r="AX360" s="185" t="str">
        <f t="shared" ca="1" si="301"/>
        <v>802.11a/b/g/n/ac/ax</v>
      </c>
      <c r="AY360" s="185">
        <f t="shared" ca="1" si="301"/>
        <v>5</v>
      </c>
      <c r="AZ360" s="185">
        <f t="shared" ca="1" si="302"/>
        <v>11</v>
      </c>
      <c r="BA360" s="185" t="str">
        <f t="shared" ca="1" si="302"/>
        <v>Version 8.0</v>
      </c>
      <c r="BB360" s="185" t="str">
        <f t="shared" ca="1" si="302"/>
        <v>Ja</v>
      </c>
      <c r="BC360" s="185" t="str">
        <f t="shared" ca="1" si="302"/>
        <v>Google Chrome OS</v>
      </c>
      <c r="BD360" s="185" t="str">
        <f t="shared" ca="1" si="302"/>
        <v>Chromebook 14 G7</v>
      </c>
      <c r="BE360" s="185">
        <f t="shared" ca="1" si="302"/>
        <v>3610</v>
      </c>
      <c r="BF360" s="192">
        <f t="shared" ca="1" si="302"/>
        <v>64</v>
      </c>
      <c r="BG360" s="192">
        <f t="shared" ca="1" si="302"/>
        <v>298</v>
      </c>
      <c r="BH360" s="192">
        <f t="shared" ca="1" si="302"/>
        <v>198</v>
      </c>
      <c r="BI360" s="192">
        <f t="shared" ca="1" si="302"/>
        <v>125</v>
      </c>
      <c r="BJ360" s="192">
        <f t="shared" ca="1" si="303"/>
        <v>70</v>
      </c>
      <c r="BK360" s="192">
        <f t="shared" ca="1" si="303"/>
        <v>25</v>
      </c>
      <c r="BL360" s="192">
        <f t="shared" ca="1" si="303"/>
        <v>25</v>
      </c>
      <c r="BM360" s="192" t="str">
        <f t="shared" ca="1" si="303"/>
        <v>HP</v>
      </c>
      <c r="BN360" s="192" t="str">
        <f t="shared" ca="1" si="303"/>
        <v>Kapsolo</v>
      </c>
      <c r="BO360" s="192" t="str">
        <f t="shared" ca="1" si="303"/>
        <v>HP</v>
      </c>
      <c r="BP360" s="192">
        <f t="shared" ca="1" si="303"/>
        <v>0</v>
      </c>
      <c r="BQ360" s="192" t="str">
        <f t="shared" ca="1" si="303"/>
        <v>GBX2UW01AA</v>
      </c>
      <c r="BR360" s="192" t="str">
        <f t="shared" ca="1" si="303"/>
        <v>GBXKAP10478</v>
      </c>
      <c r="BS360" s="192" t="str">
        <f t="shared" ca="1" si="303"/>
        <v>GBX1HE07AA</v>
      </c>
      <c r="BT360" s="192">
        <f t="shared" ca="1" si="303"/>
        <v>0</v>
      </c>
      <c r="BU360" s="192"/>
      <c r="BV360" s="192"/>
      <c r="BW360" s="192" t="str">
        <f t="shared" ca="1" si="304"/>
        <v>Qlosr Göteborg AB</v>
      </c>
      <c r="BX360" s="192" t="str">
        <f t="shared" ca="1" si="304"/>
        <v>HP</v>
      </c>
      <c r="BY360" s="185"/>
      <c r="BZ360" s="185"/>
      <c r="CA360" s="185"/>
      <c r="CB360" s="185"/>
      <c r="CC360" s="185"/>
      <c r="CD360" s="185"/>
      <c r="CE360" s="185"/>
      <c r="CF360" s="185"/>
      <c r="CG360" s="185"/>
      <c r="CH360" s="185"/>
      <c r="CI360" s="185"/>
      <c r="CJ360" s="185"/>
      <c r="CK360" s="185"/>
      <c r="CL360" s="185"/>
      <c r="CM360" s="185"/>
    </row>
    <row r="361" spans="2:91" ht="33.75" customHeight="1" outlineLevel="1" x14ac:dyDescent="0.35">
      <c r="C361" s="61" t="s">
        <v>75</v>
      </c>
      <c r="D361" s="110"/>
      <c r="F361" s="78" t="str">
        <f t="shared" si="305"/>
        <v/>
      </c>
      <c r="G361" s="79">
        <f t="shared" ca="1" si="306"/>
        <v>5.0999999999999996</v>
      </c>
      <c r="H361" s="79">
        <f t="shared" ca="1" si="306"/>
        <v>5</v>
      </c>
      <c r="I361" s="120">
        <f t="shared" ca="1" si="306"/>
        <v>5</v>
      </c>
      <c r="J361" s="94"/>
      <c r="BF361" s="63"/>
      <c r="BG361" s="63"/>
      <c r="BH361" s="63"/>
      <c r="BI361" s="63"/>
      <c r="BJ361" s="63"/>
      <c r="BK361" s="63"/>
      <c r="BL361" s="63"/>
      <c r="BM361" s="63"/>
      <c r="BN361" s="63"/>
      <c r="BO361" s="63"/>
      <c r="BP361" s="63"/>
      <c r="BQ361" s="63"/>
      <c r="BR361" s="63"/>
      <c r="BS361" s="63"/>
      <c r="BT361" s="63"/>
      <c r="BU361" s="63"/>
      <c r="BV361" s="63"/>
      <c r="BW361" s="63"/>
      <c r="BX361" s="63"/>
    </row>
    <row r="362" spans="2:91" ht="33.75" customHeight="1" outlineLevel="1" x14ac:dyDescent="0.35">
      <c r="C362" s="61" t="s">
        <v>120</v>
      </c>
      <c r="D362" s="65"/>
      <c r="F362" s="80" t="str">
        <f t="shared" si="305"/>
        <v/>
      </c>
      <c r="G362" s="81">
        <f t="shared" ca="1" si="306"/>
        <v>11</v>
      </c>
      <c r="H362" s="81">
        <f t="shared" ca="1" si="306"/>
        <v>11</v>
      </c>
      <c r="I362" s="121">
        <f t="shared" ca="1" si="306"/>
        <v>11</v>
      </c>
      <c r="J362" s="62"/>
      <c r="BF362" s="63"/>
      <c r="BG362" s="63"/>
      <c r="BH362" s="63"/>
      <c r="BI362" s="63"/>
      <c r="BJ362" s="63"/>
      <c r="BK362" s="63"/>
      <c r="BL362" s="63"/>
      <c r="BM362" s="63"/>
      <c r="BN362" s="63"/>
      <c r="BO362" s="63"/>
      <c r="BP362" s="63"/>
      <c r="BQ362" s="63"/>
      <c r="BR362" s="63"/>
      <c r="BS362" s="63"/>
      <c r="BT362" s="63"/>
      <c r="BU362" s="63"/>
      <c r="BV362" s="63"/>
      <c r="BW362" s="63"/>
      <c r="BX362" s="63"/>
    </row>
    <row r="363" spans="2:91" ht="33.75" customHeight="1" outlineLevel="1" x14ac:dyDescent="0.35">
      <c r="C363" s="61" t="s">
        <v>38</v>
      </c>
      <c r="D363" s="64"/>
      <c r="F363" s="78" t="str">
        <f t="shared" si="305"/>
        <v/>
      </c>
      <c r="G363" s="81" t="str">
        <f t="shared" ca="1" si="306"/>
        <v>Version 8.0</v>
      </c>
      <c r="H363" s="81" t="str">
        <f t="shared" ca="1" si="306"/>
        <v>Version 8.0</v>
      </c>
      <c r="I363" s="121" t="str">
        <f t="shared" ca="1" si="306"/>
        <v>Version 8.0</v>
      </c>
      <c r="J363" s="62"/>
      <c r="BF363" s="63"/>
      <c r="BG363" s="63"/>
      <c r="BH363" s="63"/>
      <c r="BI363" s="63"/>
      <c r="BJ363" s="63"/>
      <c r="BK363" s="63"/>
      <c r="BL363" s="63"/>
      <c r="BM363" s="63"/>
      <c r="BN363" s="63"/>
      <c r="BO363" s="63"/>
      <c r="BP363" s="63"/>
      <c r="BQ363" s="63"/>
      <c r="BR363" s="63"/>
      <c r="BS363" s="63"/>
      <c r="BT363" s="63"/>
      <c r="BU363" s="63"/>
      <c r="BV363" s="63"/>
      <c r="BW363" s="63"/>
      <c r="BX363" s="63"/>
    </row>
    <row r="364" spans="2:91" ht="33.75" customHeight="1" outlineLevel="1" x14ac:dyDescent="0.35">
      <c r="C364" s="61" t="s">
        <v>37</v>
      </c>
      <c r="D364" s="64"/>
      <c r="F364" s="78" t="str">
        <f t="shared" si="305"/>
        <v/>
      </c>
      <c r="G364" s="79" t="str">
        <f t="shared" ca="1" si="306"/>
        <v>Ja</v>
      </c>
      <c r="H364" s="79" t="str">
        <f t="shared" ca="1" si="306"/>
        <v>Ja</v>
      </c>
      <c r="I364" s="120" t="str">
        <f t="shared" ca="1" si="306"/>
        <v>Ja</v>
      </c>
      <c r="J364" s="62"/>
      <c r="BF364" s="63"/>
      <c r="BG364" s="63"/>
      <c r="BH364" s="63"/>
      <c r="BI364" s="63"/>
      <c r="BJ364" s="63"/>
      <c r="BK364" s="63"/>
      <c r="BL364" s="63"/>
      <c r="BM364" s="63"/>
      <c r="BN364" s="63"/>
      <c r="BO364" s="63"/>
      <c r="BP364" s="63"/>
      <c r="BQ364" s="63"/>
      <c r="BR364" s="63"/>
      <c r="BS364" s="63"/>
      <c r="BT364" s="63"/>
      <c r="BU364" s="63"/>
      <c r="BV364" s="63"/>
      <c r="BW364" s="63"/>
      <c r="BX364" s="63"/>
    </row>
    <row r="365" spans="2:91" ht="23.25" customHeight="1" outlineLevel="1" x14ac:dyDescent="0.35">
      <c r="C365" s="66"/>
      <c r="D365" s="67"/>
      <c r="G365" s="62"/>
      <c r="H365" s="62"/>
      <c r="I365" s="62"/>
      <c r="J365" s="62"/>
      <c r="BF365" s="63"/>
      <c r="BG365" s="63"/>
      <c r="BH365" s="63"/>
      <c r="BI365" s="63"/>
      <c r="BJ365" s="63"/>
      <c r="BK365" s="63"/>
      <c r="BL365" s="63"/>
      <c r="BM365" s="63"/>
      <c r="BN365" s="63"/>
      <c r="BO365" s="63"/>
      <c r="BP365" s="63"/>
      <c r="BQ365" s="63"/>
      <c r="BR365" s="63"/>
      <c r="BS365" s="63"/>
      <c r="BT365" s="63"/>
      <c r="BU365" s="63"/>
      <c r="BV365" s="63"/>
      <c r="BW365" s="63"/>
      <c r="BX365" s="63"/>
    </row>
    <row r="366" spans="2:91" ht="23.25" customHeight="1" outlineLevel="1" x14ac:dyDescent="0.35">
      <c r="C366" s="212" t="s">
        <v>366</v>
      </c>
      <c r="D366" s="213"/>
      <c r="E366" s="213"/>
      <c r="F366" s="213"/>
      <c r="G366" s="213"/>
      <c r="H366" s="213"/>
      <c r="I366" s="214"/>
      <c r="J366" s="62"/>
      <c r="BF366" s="63"/>
      <c r="BG366" s="63"/>
      <c r="BH366" s="63"/>
      <c r="BI366" s="63"/>
      <c r="BJ366" s="63"/>
      <c r="BK366" s="63"/>
      <c r="BL366" s="63"/>
      <c r="BM366" s="63"/>
      <c r="BN366" s="63"/>
      <c r="BO366" s="63"/>
      <c r="BP366" s="63"/>
      <c r="BQ366" s="63"/>
      <c r="BR366" s="63"/>
      <c r="BS366" s="63"/>
      <c r="BT366" s="63"/>
      <c r="BU366" s="63"/>
      <c r="BV366" s="63"/>
      <c r="BW366" s="63"/>
      <c r="BX366" s="63"/>
    </row>
    <row r="367" spans="2:91" ht="23.25" customHeight="1" outlineLevel="1" x14ac:dyDescent="0.35">
      <c r="B367" s="69" t="s">
        <v>53</v>
      </c>
      <c r="C367" s="95" t="s">
        <v>363</v>
      </c>
      <c r="D367" s="70"/>
      <c r="F367" s="159" t="str">
        <f t="shared" ref="F367:F375" si="307">IF(F$349="Inget antal angivet","",IFERROR(INDEX($AP$350:$BX$374,MATCH(F$346,$AN$350:$AN$374,0),MATCH($B367,$AP$350:$BX$350,0)),""))</f>
        <v/>
      </c>
      <c r="G367" s="160">
        <f t="shared" ref="G367:I375" ca="1" si="308">IFERROR(INDEX($AP$350:$BX$374,MATCH(G$346,$AN$350:$AN$374,0),MATCH($B367,$AP$350:$BX$350,0)),"")</f>
        <v>59</v>
      </c>
      <c r="H367" s="160">
        <f t="shared" ca="1" si="308"/>
        <v>87</v>
      </c>
      <c r="I367" s="160">
        <f t="shared" ca="1" si="308"/>
        <v>64</v>
      </c>
      <c r="J367" s="73"/>
      <c r="BF367" s="63"/>
      <c r="BG367" s="63"/>
      <c r="BH367" s="63"/>
      <c r="BI367" s="63"/>
      <c r="BJ367" s="63"/>
      <c r="BK367" s="63"/>
      <c r="BL367" s="63"/>
      <c r="BM367" s="63"/>
      <c r="BN367" s="63"/>
      <c r="BO367" s="63"/>
      <c r="BP367" s="63"/>
      <c r="BQ367" s="63"/>
      <c r="BR367" s="63"/>
      <c r="BS367" s="63"/>
      <c r="BT367" s="63"/>
      <c r="BU367" s="63"/>
      <c r="BV367" s="63"/>
      <c r="BW367" s="63"/>
      <c r="BX367" s="63"/>
    </row>
    <row r="368" spans="2:91" ht="23.25" customHeight="1" outlineLevel="1" x14ac:dyDescent="0.35">
      <c r="B368" s="69" t="s">
        <v>340</v>
      </c>
      <c r="C368" s="96" t="s">
        <v>51</v>
      </c>
      <c r="D368" s="131" t="str">
        <f>IF("Ska Ingå"=D367,"Ska Ingå","")</f>
        <v/>
      </c>
      <c r="F368" s="84" t="str">
        <f t="shared" si="307"/>
        <v/>
      </c>
      <c r="G368" s="85" t="str">
        <f t="shared" ca="1" si="308"/>
        <v>HP</v>
      </c>
      <c r="H368" s="85" t="str">
        <f t="shared" ca="1" si="308"/>
        <v>Cirafon</v>
      </c>
      <c r="I368" s="85" t="str">
        <f t="shared" ca="1" si="308"/>
        <v>HP</v>
      </c>
      <c r="J368" s="54"/>
      <c r="BF368" s="63"/>
      <c r="BG368" s="63"/>
      <c r="BH368" s="63"/>
      <c r="BI368" s="63"/>
      <c r="BJ368" s="63"/>
      <c r="BK368" s="63"/>
      <c r="BL368" s="63"/>
      <c r="BM368" s="63"/>
      <c r="BN368" s="63"/>
      <c r="BO368" s="63"/>
      <c r="BP368" s="63"/>
      <c r="BQ368" s="63"/>
      <c r="BR368" s="63"/>
      <c r="BS368" s="63"/>
      <c r="BT368" s="63"/>
      <c r="BU368" s="63"/>
      <c r="BV368" s="63"/>
      <c r="BW368" s="63"/>
      <c r="BX368" s="63"/>
    </row>
    <row r="369" spans="2:76" ht="67.5" customHeight="1" outlineLevel="1" x14ac:dyDescent="0.35">
      <c r="B369" s="69" t="s">
        <v>345</v>
      </c>
      <c r="C369" s="97" t="s">
        <v>52</v>
      </c>
      <c r="D369" s="132" t="str">
        <f>IF("Ska Ingå"=D367,"Ska Ingå","")</f>
        <v/>
      </c>
      <c r="F369" s="86" t="str">
        <f t="shared" si="307"/>
        <v/>
      </c>
      <c r="G369" s="87" t="str">
        <f t="shared" ca="1" si="308"/>
        <v>GBX77E81AA</v>
      </c>
      <c r="H369" s="87" t="str">
        <f t="shared" ca="1" si="308"/>
        <v>LSN9117-11</v>
      </c>
      <c r="I369" s="87" t="str">
        <f t="shared" ca="1" si="308"/>
        <v>GBX2UW01AA</v>
      </c>
      <c r="J369" s="73"/>
      <c r="BF369" s="63"/>
      <c r="BG369" s="63"/>
      <c r="BH369" s="63"/>
      <c r="BI369" s="63"/>
      <c r="BJ369" s="63"/>
      <c r="BK369" s="63"/>
      <c r="BL369" s="63"/>
      <c r="BM369" s="63"/>
      <c r="BN369" s="63"/>
      <c r="BO369" s="63"/>
      <c r="BP369" s="63"/>
      <c r="BQ369" s="63"/>
      <c r="BR369" s="63"/>
      <c r="BS369" s="63"/>
      <c r="BT369" s="63"/>
      <c r="BU369" s="63"/>
      <c r="BV369" s="63"/>
      <c r="BW369" s="63"/>
      <c r="BX369" s="63"/>
    </row>
    <row r="370" spans="2:76" ht="23.25" customHeight="1" outlineLevel="1" x14ac:dyDescent="0.35">
      <c r="B370" s="69" t="s">
        <v>54</v>
      </c>
      <c r="C370" s="98" t="s">
        <v>77</v>
      </c>
      <c r="D370" s="70"/>
      <c r="F370" s="157" t="str">
        <f t="shared" si="307"/>
        <v/>
      </c>
      <c r="G370" s="158">
        <f t="shared" ca="1" si="308"/>
        <v>287</v>
      </c>
      <c r="H370" s="158">
        <f t="shared" ca="1" si="308"/>
        <v>123</v>
      </c>
      <c r="I370" s="158">
        <f t="shared" ca="1" si="308"/>
        <v>298</v>
      </c>
      <c r="J370" s="54"/>
      <c r="BF370" s="63"/>
      <c r="BG370" s="63"/>
      <c r="BH370" s="63"/>
      <c r="BI370" s="63"/>
      <c r="BJ370" s="63"/>
      <c r="BK370" s="63"/>
      <c r="BL370" s="63"/>
      <c r="BM370" s="63"/>
      <c r="BN370" s="63"/>
      <c r="BO370" s="63"/>
      <c r="BP370" s="63"/>
      <c r="BQ370" s="63"/>
      <c r="BR370" s="63"/>
      <c r="BS370" s="63"/>
      <c r="BT370" s="63"/>
      <c r="BU370" s="63"/>
      <c r="BV370" s="63"/>
      <c r="BW370" s="63"/>
      <c r="BX370" s="63"/>
    </row>
    <row r="371" spans="2:76" ht="23.25" customHeight="1" outlineLevel="1" x14ac:dyDescent="0.35">
      <c r="B371" s="69" t="s">
        <v>341</v>
      </c>
      <c r="C371" s="61" t="s">
        <v>51</v>
      </c>
      <c r="D371" s="131" t="str">
        <f>IF("Ska Ingå"=D370,"Ska Ingå","")</f>
        <v/>
      </c>
      <c r="F371" s="88" t="str">
        <f t="shared" si="307"/>
        <v/>
      </c>
      <c r="G371" s="89" t="str">
        <f t="shared" ca="1" si="308"/>
        <v>Kapsolo</v>
      </c>
      <c r="H371" s="89" t="str">
        <f t="shared" ca="1" si="308"/>
        <v>Cirafon</v>
      </c>
      <c r="I371" s="89" t="str">
        <f t="shared" ca="1" si="308"/>
        <v>Kapsolo</v>
      </c>
      <c r="J371" s="73"/>
      <c r="BF371" s="63"/>
      <c r="BG371" s="63"/>
      <c r="BH371" s="63"/>
      <c r="BI371" s="63"/>
      <c r="BJ371" s="63"/>
      <c r="BK371" s="63"/>
      <c r="BL371" s="63"/>
      <c r="BM371" s="63"/>
      <c r="BN371" s="63"/>
      <c r="BO371" s="63"/>
      <c r="BP371" s="63"/>
      <c r="BQ371" s="63"/>
      <c r="BR371" s="63"/>
      <c r="BS371" s="63"/>
      <c r="BT371" s="63"/>
      <c r="BU371" s="63"/>
      <c r="BV371" s="63"/>
      <c r="BW371" s="63"/>
      <c r="BX371" s="63"/>
    </row>
    <row r="372" spans="2:76" ht="68.25" customHeight="1" outlineLevel="1" x14ac:dyDescent="0.35">
      <c r="B372" s="69" t="s">
        <v>346</v>
      </c>
      <c r="C372" s="99" t="s">
        <v>52</v>
      </c>
      <c r="D372" s="132" t="str">
        <f>IF("Ska Ingå"=D370,"Ska Ingå","")</f>
        <v/>
      </c>
      <c r="F372" s="90" t="str">
        <f t="shared" si="307"/>
        <v/>
      </c>
      <c r="G372" s="91" t="str">
        <f t="shared" ca="1" si="308"/>
        <v>GBXKAP10145</v>
      </c>
      <c r="H372" s="91" t="str">
        <f t="shared" ca="1" si="308"/>
        <v>DPF11.6-9</v>
      </c>
      <c r="I372" s="91" t="str">
        <f t="shared" ca="1" si="308"/>
        <v>GBXKAP10478</v>
      </c>
      <c r="J372" s="54"/>
      <c r="BF372" s="63"/>
      <c r="BG372" s="63"/>
      <c r="BH372" s="63"/>
      <c r="BI372" s="63"/>
      <c r="BJ372" s="63"/>
      <c r="BK372" s="63"/>
      <c r="BL372" s="63"/>
      <c r="BM372" s="63"/>
      <c r="BN372" s="63"/>
      <c r="BO372" s="63"/>
      <c r="BP372" s="63"/>
      <c r="BQ372" s="63"/>
      <c r="BR372" s="63"/>
      <c r="BS372" s="63"/>
      <c r="BT372" s="63"/>
      <c r="BU372" s="63"/>
      <c r="BV372" s="63"/>
      <c r="BW372" s="63"/>
      <c r="BX372" s="63"/>
    </row>
    <row r="373" spans="2:76" ht="31.5" customHeight="1" outlineLevel="1" x14ac:dyDescent="0.35">
      <c r="B373" s="69" t="s">
        <v>55</v>
      </c>
      <c r="C373" s="95" t="s">
        <v>371</v>
      </c>
      <c r="D373" s="70"/>
      <c r="F373" s="159" t="str">
        <f t="shared" si="307"/>
        <v/>
      </c>
      <c r="G373" s="160">
        <f t="shared" ca="1" si="308"/>
        <v>240</v>
      </c>
      <c r="H373" s="160">
        <f t="shared" ca="1" si="308"/>
        <v>249</v>
      </c>
      <c r="I373" s="160">
        <f t="shared" ca="1" si="308"/>
        <v>198</v>
      </c>
      <c r="BF373" s="63"/>
      <c r="BG373" s="63"/>
      <c r="BH373" s="63"/>
      <c r="BI373" s="63"/>
      <c r="BJ373" s="63"/>
      <c r="BK373" s="63"/>
      <c r="BL373" s="63"/>
      <c r="BM373" s="63"/>
      <c r="BN373" s="63"/>
      <c r="BO373" s="63"/>
      <c r="BP373" s="63"/>
      <c r="BQ373" s="63"/>
      <c r="BR373" s="63"/>
      <c r="BS373" s="63"/>
      <c r="BT373" s="63"/>
      <c r="BU373" s="63"/>
      <c r="BV373" s="63"/>
      <c r="BW373" s="63"/>
      <c r="BX373" s="63"/>
    </row>
    <row r="374" spans="2:76" ht="23.25" customHeight="1" outlineLevel="1" x14ac:dyDescent="0.35">
      <c r="B374" s="69" t="s">
        <v>342</v>
      </c>
      <c r="C374" s="96" t="s">
        <v>51</v>
      </c>
      <c r="D374" s="131" t="str">
        <f>IF("Ska Ingå"=D373,"Ska Ingå","")</f>
        <v/>
      </c>
      <c r="F374" s="84" t="str">
        <f t="shared" si="307"/>
        <v/>
      </c>
      <c r="G374" s="85" t="str">
        <f t="shared" ca="1" si="308"/>
        <v>Dell</v>
      </c>
      <c r="H374" s="85" t="str">
        <f t="shared" ca="1" si="308"/>
        <v>HP</v>
      </c>
      <c r="I374" s="85" t="str">
        <f t="shared" ca="1" si="308"/>
        <v>HP</v>
      </c>
      <c r="BF374" s="63"/>
      <c r="BG374" s="63"/>
      <c r="BH374" s="63"/>
      <c r="BI374" s="63"/>
      <c r="BJ374" s="63"/>
      <c r="BK374" s="63"/>
      <c r="BL374" s="63"/>
      <c r="BM374" s="63"/>
      <c r="BN374" s="63"/>
      <c r="BO374" s="63"/>
      <c r="BP374" s="63"/>
      <c r="BQ374" s="63"/>
      <c r="BR374" s="63"/>
      <c r="BS374" s="63"/>
      <c r="BT374" s="63"/>
      <c r="BU374" s="63"/>
      <c r="BV374" s="63"/>
      <c r="BW374" s="63"/>
      <c r="BX374" s="63"/>
    </row>
    <row r="375" spans="2:76" ht="66.75" customHeight="1" outlineLevel="1" x14ac:dyDescent="0.35">
      <c r="B375" s="69" t="s">
        <v>347</v>
      </c>
      <c r="C375" s="97" t="s">
        <v>52</v>
      </c>
      <c r="D375" s="132" t="str">
        <f>IF("Ska Ingå"=D373,"Ska Ingå","")</f>
        <v/>
      </c>
      <c r="F375" s="86" t="str">
        <f t="shared" si="307"/>
        <v/>
      </c>
      <c r="G375" s="87" t="str">
        <f t="shared" ca="1" si="308"/>
        <v>DELL-921CW</v>
      </c>
      <c r="H375" s="87" t="str">
        <f t="shared" ca="1" si="308"/>
        <v>1MZ01AA</v>
      </c>
      <c r="I375" s="87" t="str">
        <f t="shared" ca="1" si="308"/>
        <v>GBX1HE07AA</v>
      </c>
    </row>
    <row r="376" spans="2:76" ht="23.25" customHeight="1" outlineLevel="1" x14ac:dyDescent="0.35">
      <c r="B376" s="69"/>
      <c r="C376" s="220" t="s">
        <v>365</v>
      </c>
      <c r="D376" s="220"/>
      <c r="E376" s="220"/>
      <c r="F376" s="220"/>
      <c r="G376" s="220"/>
      <c r="H376" s="220"/>
      <c r="I376" s="220"/>
    </row>
    <row r="377" spans="2:76" ht="23.25" customHeight="1" outlineLevel="1" x14ac:dyDescent="0.35">
      <c r="B377" s="71" t="s">
        <v>228</v>
      </c>
      <c r="C377" s="96" t="s">
        <v>367</v>
      </c>
      <c r="D377" s="70"/>
      <c r="F377" s="163" t="str">
        <f>IF(F$349="Inget antal angivet","",IFERROR(INDEX($AP$350:$BX$374,MATCH(F$346,$AN$350:$AN$374,0),MATCH($B377,$AP$350:$BX$350,0)),""))</f>
        <v/>
      </c>
      <c r="G377" s="164">
        <f t="shared" ref="G377:I380" ca="1" si="309">IFERROR(INDEX($AP$350:$BX$374,MATCH(G$346,$AN$350:$AN$374,0),MATCH($B377,$AP$350:$BX$350,0)),"")</f>
        <v>275</v>
      </c>
      <c r="H377" s="164">
        <f t="shared" ca="1" si="309"/>
        <v>131</v>
      </c>
      <c r="I377" s="164">
        <f t="shared" ca="1" si="309"/>
        <v>125</v>
      </c>
    </row>
    <row r="378" spans="2:76" ht="23.25" customHeight="1" outlineLevel="1" x14ac:dyDescent="0.35">
      <c r="B378" s="71" t="s">
        <v>229</v>
      </c>
      <c r="C378" s="61" t="s">
        <v>368</v>
      </c>
      <c r="D378" s="70"/>
      <c r="F378" s="165" t="str">
        <f>IF(F$349="Inget antal angivet","",IFERROR(INDEX($AP$350:$BX$374,MATCH(F$346,$AN$350:$AN$374,0),MATCH($B378,$AP$350:$BX$350,0)),""))</f>
        <v/>
      </c>
      <c r="G378" s="166">
        <f t="shared" ca="1" si="309"/>
        <v>70</v>
      </c>
      <c r="H378" s="166">
        <f t="shared" ca="1" si="309"/>
        <v>133</v>
      </c>
      <c r="I378" s="166">
        <f t="shared" ca="1" si="309"/>
        <v>70</v>
      </c>
    </row>
    <row r="379" spans="2:76" ht="23.25" customHeight="1" outlineLevel="1" x14ac:dyDescent="0.35">
      <c r="B379" s="71" t="s">
        <v>230</v>
      </c>
      <c r="C379" s="96" t="s">
        <v>369</v>
      </c>
      <c r="D379" s="70"/>
      <c r="F379" s="163" t="str">
        <f>IF(F$349="Inget antal angivet","",IFERROR(INDEX($AP$350:$BX$374,MATCH(F$346,$AN$350:$AN$374,0),MATCH($B379,$AP$350:$BX$350,0)),""))</f>
        <v/>
      </c>
      <c r="G379" s="164">
        <f t="shared" ca="1" si="309"/>
        <v>25</v>
      </c>
      <c r="H379" s="164">
        <f t="shared" ca="1" si="309"/>
        <v>20</v>
      </c>
      <c r="I379" s="164">
        <f t="shared" ca="1" si="309"/>
        <v>25</v>
      </c>
    </row>
    <row r="380" spans="2:76" ht="23.25" customHeight="1" outlineLevel="1" x14ac:dyDescent="0.35">
      <c r="B380" s="71" t="s">
        <v>231</v>
      </c>
      <c r="C380" s="61" t="s">
        <v>370</v>
      </c>
      <c r="D380" s="70"/>
      <c r="F380" s="165" t="str">
        <f>IF(F$349="Inget antal angivet","",IFERROR(INDEX($AP$350:$BX$374,MATCH(F$346,$AN$350:$AN$374,0),MATCH($B380,$AP$350:$BX$350,0)),""))</f>
        <v/>
      </c>
      <c r="G380" s="166">
        <f t="shared" ca="1" si="309"/>
        <v>25</v>
      </c>
      <c r="H380" s="166">
        <f t="shared" ca="1" si="309"/>
        <v>20</v>
      </c>
      <c r="I380" s="166">
        <f t="shared" ca="1" si="309"/>
        <v>25</v>
      </c>
    </row>
    <row r="381" spans="2:76" ht="23.25" customHeight="1" outlineLevel="1" x14ac:dyDescent="0.35"/>
    <row r="382" spans="2:76" ht="23.25" customHeight="1" collapsed="1" x14ac:dyDescent="0.35"/>
    <row r="383" spans="2:76" ht="23.25" customHeight="1" x14ac:dyDescent="0.35">
      <c r="D383" s="72" t="s">
        <v>233</v>
      </c>
      <c r="E383" s="1"/>
      <c r="F383" s="221" t="s">
        <v>252</v>
      </c>
      <c r="G383" s="221"/>
      <c r="H383" s="221"/>
      <c r="I383" s="222"/>
    </row>
    <row r="384" spans="2:76" ht="23.25" customHeight="1" x14ac:dyDescent="0.35">
      <c r="D384" s="74"/>
      <c r="F384" s="202" t="str">
        <f ca="1">IFERROR(INDEX($Y$351:$Y$362,MATCH(F346,$Z$351:$Z$362,0)) *D384,"")</f>
        <v/>
      </c>
      <c r="G384" s="202">
        <f ca="1">IFERROR(P351 *D384,"")</f>
        <v>0</v>
      </c>
      <c r="H384" s="202">
        <f ca="1">IFERROR(P352 *D384,"")</f>
        <v>0</v>
      </c>
      <c r="I384" s="202">
        <f ca="1">IFERROR(P353 * D384,"")</f>
        <v>0</v>
      </c>
    </row>
    <row r="386" spans="2:91" ht="15" thickBot="1" x14ac:dyDescent="0.4">
      <c r="C386" s="174"/>
      <c r="D386" s="174"/>
      <c r="E386" s="174"/>
      <c r="F386" s="174"/>
      <c r="G386" s="174"/>
      <c r="H386" s="174"/>
      <c r="I386" s="174"/>
    </row>
    <row r="387" spans="2:91" ht="15" thickTop="1" x14ac:dyDescent="0.35"/>
    <row r="389" spans="2:91" ht="68.25" hidden="1" customHeight="1" collapsed="1" x14ac:dyDescent="0.35">
      <c r="C389" s="53"/>
      <c r="D389" s="53"/>
      <c r="F389" s="50" t="e">
        <f ca="1">N393</f>
        <v>#N/A</v>
      </c>
      <c r="G389" s="50" t="str">
        <f ca="1">INDEX(Z394:Z417,MATCH(P394,Y394:Y417,0))</f>
        <v>Offererad produktnr. 05Qlosr Göteborg AB</v>
      </c>
      <c r="H389" s="50" t="str">
        <f ca="1">INDEX(Z393:Z416,MATCH(P395,Y393:Y416,0))</f>
        <v>Offererad produktnr. 05Dustin Sverige AB</v>
      </c>
      <c r="I389" s="50" t="str">
        <f ca="1">INDEX(Z393:Z416,MATCH(P396,Y393:Y416,0))</f>
        <v>Offererad produktnr. 06Qlosr Göteborg AB</v>
      </c>
      <c r="AP389" s="12" t="s">
        <v>124</v>
      </c>
      <c r="AQ389" s="12" t="s">
        <v>124</v>
      </c>
      <c r="AR389" s="12" t="s">
        <v>124</v>
      </c>
      <c r="AS389" s="12" t="s">
        <v>124</v>
      </c>
      <c r="AT389" s="12" t="s">
        <v>124</v>
      </c>
      <c r="AU389" s="12" t="s">
        <v>124</v>
      </c>
      <c r="AV389" s="12" t="s">
        <v>124</v>
      </c>
      <c r="AW389" s="12" t="s">
        <v>124</v>
      </c>
      <c r="AX389" s="12" t="s">
        <v>124</v>
      </c>
      <c r="AY389" s="12" t="s">
        <v>124</v>
      </c>
      <c r="AZ389" s="12" t="s">
        <v>124</v>
      </c>
      <c r="BA389" s="12" t="s">
        <v>124</v>
      </c>
      <c r="BB389" s="12" t="s">
        <v>124</v>
      </c>
      <c r="BC389" s="12" t="s">
        <v>124</v>
      </c>
      <c r="BD389" s="12" t="s">
        <v>124</v>
      </c>
      <c r="BE389" s="12" t="s">
        <v>124</v>
      </c>
      <c r="BF389" s="12" t="s">
        <v>124</v>
      </c>
      <c r="BG389" s="12" t="s">
        <v>124</v>
      </c>
      <c r="BH389" s="12" t="s">
        <v>124</v>
      </c>
      <c r="BI389" s="12" t="s">
        <v>124</v>
      </c>
      <c r="BJ389" s="12" t="s">
        <v>124</v>
      </c>
      <c r="BK389" s="12" t="s">
        <v>124</v>
      </c>
      <c r="BL389" s="12" t="s">
        <v>124</v>
      </c>
      <c r="BM389" s="12" t="s">
        <v>124</v>
      </c>
      <c r="BN389" s="12" t="s">
        <v>124</v>
      </c>
      <c r="BO389" s="12" t="s">
        <v>124</v>
      </c>
      <c r="BP389" s="12" t="s">
        <v>124</v>
      </c>
      <c r="BQ389" s="12" t="s">
        <v>124</v>
      </c>
      <c r="BR389" s="12" t="s">
        <v>124</v>
      </c>
      <c r="BS389" s="12" t="s">
        <v>124</v>
      </c>
      <c r="BT389" s="12" t="s">
        <v>124</v>
      </c>
      <c r="BU389" s="12"/>
      <c r="BV389" s="12"/>
      <c r="BW389" s="12" t="s">
        <v>124</v>
      </c>
      <c r="BX389" s="12" t="s">
        <v>124</v>
      </c>
      <c r="BY389" s="12"/>
      <c r="BZ389" s="12"/>
      <c r="CA389" s="12"/>
      <c r="CB389" s="12"/>
      <c r="CC389" s="12"/>
      <c r="CD389" s="12"/>
      <c r="CE389" s="12"/>
      <c r="CF389" s="12"/>
      <c r="CG389" s="12"/>
      <c r="CH389" s="12"/>
      <c r="CI389" s="12"/>
      <c r="CJ389" s="12"/>
      <c r="CK389" s="12"/>
      <c r="CL389" s="12"/>
    </row>
    <row r="390" spans="2:91" ht="26.25" customHeight="1" thickBot="1" x14ac:dyDescent="0.4">
      <c r="C390" s="53"/>
      <c r="D390" s="53"/>
      <c r="F390" s="140" t="s">
        <v>446</v>
      </c>
      <c r="G390" s="205" t="s">
        <v>447</v>
      </c>
      <c r="H390" s="205"/>
      <c r="I390" s="205"/>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row>
    <row r="391" spans="2:91" ht="22.5" customHeight="1" thickBot="1" x14ac:dyDescent="0.4">
      <c r="B391" t="str">
        <f ca="1" xml:space="preserve"> "Produkt "  &amp; B392</f>
        <v>Produkt 10</v>
      </c>
      <c r="C391" s="206" t="str">
        <f>IF(F392="Ingen produkt motsvarar","Felmeddelande",IF(COUNTIF($P$1:$P$6,TRUE)&gt;0,"","Felmeddelande"))</f>
        <v/>
      </c>
      <c r="D391" s="207"/>
      <c r="F391" s="218" t="s">
        <v>271</v>
      </c>
      <c r="G391" s="218"/>
      <c r="H391" s="218"/>
      <c r="I391" s="219"/>
      <c r="O391">
        <v>1</v>
      </c>
      <c r="AH391" t="s">
        <v>241</v>
      </c>
      <c r="AP391" s="13" t="str">
        <f t="shared" ref="AP391:BD391" si="310">AP393</f>
        <v>Upplösning</v>
      </c>
      <c r="AQ391" s="13" t="str">
        <f t="shared" si="310"/>
        <v>Processor</v>
      </c>
      <c r="AR391" s="13" t="str">
        <f t="shared" si="310"/>
        <v>Internminne (GB)</v>
      </c>
      <c r="AS391" s="13" t="str">
        <f t="shared" si="310"/>
        <v>Hårddisk</v>
      </c>
      <c r="AT391" s="13" t="str">
        <f t="shared" si="310"/>
        <v>Skärmstorlek (tum)</v>
      </c>
      <c r="AU391" s="13" t="str">
        <f t="shared" si="310"/>
        <v>Portar USB</v>
      </c>
      <c r="AV391" s="13" t="str">
        <f t="shared" si="310"/>
        <v>Portar USB C</v>
      </c>
      <c r="AW391" s="13" t="str">
        <f t="shared" si="310"/>
        <v>Portar HDMI/Display</v>
      </c>
      <c r="AX391" s="13" t="str">
        <f t="shared" si="310"/>
        <v>Kommunikation WLAN</v>
      </c>
      <c r="AY391" s="13" t="str">
        <f t="shared" si="310"/>
        <v>Kommunikation Bluetooth</v>
      </c>
      <c r="AZ391" s="13" t="str">
        <f t="shared" si="310"/>
        <v>Batteritid (tim)</v>
      </c>
      <c r="BA391" s="13" t="str">
        <f t="shared" si="310"/>
        <v>Energiprestanda</v>
      </c>
      <c r="BB391" s="13" t="str">
        <f t="shared" si="310"/>
        <v>Låsskydd</v>
      </c>
      <c r="BC391" s="13" t="str">
        <f t="shared" si="310"/>
        <v>Operativsystem</v>
      </c>
      <c r="BD391" s="13" t="str">
        <f t="shared" si="310"/>
        <v>Modellbenämning</v>
      </c>
      <c r="BE391" t="s">
        <v>224</v>
      </c>
      <c r="BF391" s="56" t="s">
        <v>53</v>
      </c>
      <c r="BG391" s="56" t="s">
        <v>54</v>
      </c>
      <c r="BH391" s="56" t="s">
        <v>55</v>
      </c>
      <c r="BI391" s="57" t="s">
        <v>228</v>
      </c>
      <c r="BJ391" s="57" t="s">
        <v>229</v>
      </c>
      <c r="BK391" s="57" t="s">
        <v>230</v>
      </c>
      <c r="BL391" s="57" t="s">
        <v>231</v>
      </c>
      <c r="BM391" s="57" t="s">
        <v>340</v>
      </c>
      <c r="BN391" s="57" t="s">
        <v>341</v>
      </c>
      <c r="BO391" s="57" t="s">
        <v>342</v>
      </c>
      <c r="BP391" s="57" t="s">
        <v>343</v>
      </c>
      <c r="BQ391" s="57" t="s">
        <v>345</v>
      </c>
      <c r="BR391" s="57" t="s">
        <v>346</v>
      </c>
      <c r="BS391" s="57" t="s">
        <v>347</v>
      </c>
      <c r="BT391" s="57" t="s">
        <v>348</v>
      </c>
      <c r="BU391" s="57"/>
      <c r="BV391" s="57"/>
      <c r="BW391" s="57" t="s">
        <v>6</v>
      </c>
      <c r="BX391" s="4" t="s">
        <v>51</v>
      </c>
      <c r="BY391" s="13"/>
      <c r="BZ391" s="13"/>
      <c r="CA391" s="13"/>
      <c r="CB391" s="13"/>
      <c r="CC391" s="13"/>
      <c r="CD391" s="13"/>
      <c r="CE391" s="13"/>
      <c r="CF391" s="13"/>
      <c r="CG391" s="13"/>
      <c r="CH391" s="13"/>
      <c r="CI391" s="13"/>
      <c r="CJ391" s="13"/>
      <c r="CK391" s="13"/>
      <c r="CL391" s="13"/>
    </row>
    <row r="392" spans="2:91" ht="22.5" customHeight="1" x14ac:dyDescent="0.35">
      <c r="B392">
        <f ca="1">COUNTIF($F$7:F395,"Produkt I varukorg*")</f>
        <v>10</v>
      </c>
      <c r="F392" s="51" t="str">
        <f>IF(D427&lt;1,"Inget antal angivet",IFERROR(INDEX($Y$394:$Y$405,MATCH(F389,$Z$394:$Z$405,0)),"Ingen produkt motsvarar"))</f>
        <v>Inget antal angivet</v>
      </c>
      <c r="G392" s="52">
        <f ca="1">IFERROR(P394,"Ingen produkt motsvarar")</f>
        <v>2950</v>
      </c>
      <c r="H392" s="52">
        <f ca="1">IFERROR(P395,"")</f>
        <v>3415</v>
      </c>
      <c r="I392" s="52">
        <f ca="1">IFERROR(P396,"")</f>
        <v>3610</v>
      </c>
      <c r="Z392" t="str">
        <f>IF(COUNTIF(AA392:AI392,FALSE)&gt;0,AN392,"")</f>
        <v/>
      </c>
      <c r="AN392" t="s">
        <v>126</v>
      </c>
      <c r="AP392" s="58" t="str">
        <f t="shared" ref="AP392:BT392" ca="1" si="311">IFERROR(INDEX(INDIRECT(AP$389&amp;"!$A$10:CC100000"),MATCH($AN392,INDIRECT(AP$389&amp;"!BH$10:BH100000"),0),MATCH(AP$391,INDIRECT(AP$389&amp;"!a10:CC10"),0)),"False")</f>
        <v>False</v>
      </c>
      <c r="AQ392" s="58" t="str">
        <f t="shared" ca="1" si="311"/>
        <v>False</v>
      </c>
      <c r="AR392" s="58" t="str">
        <f t="shared" ca="1" si="311"/>
        <v>False</v>
      </c>
      <c r="AS392" s="58" t="str">
        <f t="shared" ca="1" si="311"/>
        <v>False</v>
      </c>
      <c r="AT392" s="58" t="str">
        <f t="shared" ca="1" si="311"/>
        <v>False</v>
      </c>
      <c r="AU392" s="58" t="str">
        <f t="shared" ca="1" si="311"/>
        <v>False</v>
      </c>
      <c r="AV392" s="58" t="str">
        <f t="shared" ca="1" si="311"/>
        <v>False</v>
      </c>
      <c r="AW392" s="58" t="str">
        <f t="shared" ca="1" si="311"/>
        <v>False</v>
      </c>
      <c r="AX392" s="58" t="str">
        <f t="shared" ca="1" si="311"/>
        <v>False</v>
      </c>
      <c r="AY392" s="58" t="str">
        <f t="shared" ca="1" si="311"/>
        <v>False</v>
      </c>
      <c r="AZ392" s="58" t="str">
        <f t="shared" ca="1" si="311"/>
        <v>False</v>
      </c>
      <c r="BA392" s="58" t="str">
        <f t="shared" ca="1" si="311"/>
        <v>False</v>
      </c>
      <c r="BB392" s="58" t="str">
        <f t="shared" ca="1" si="311"/>
        <v>False</v>
      </c>
      <c r="BC392" s="58" t="str">
        <f t="shared" ca="1" si="311"/>
        <v>False</v>
      </c>
      <c r="BD392" s="58" t="str">
        <f t="shared" ca="1" si="311"/>
        <v>False</v>
      </c>
      <c r="BE392" s="58" t="str">
        <f t="shared" ca="1" si="311"/>
        <v>False</v>
      </c>
      <c r="BF392" s="58" t="str">
        <f t="shared" ca="1" si="311"/>
        <v>False</v>
      </c>
      <c r="BG392" s="58" t="str">
        <f t="shared" ca="1" si="311"/>
        <v>False</v>
      </c>
      <c r="BH392" s="58" t="str">
        <f t="shared" ca="1" si="311"/>
        <v>False</v>
      </c>
      <c r="BI392" s="58" t="str">
        <f t="shared" ca="1" si="311"/>
        <v>False</v>
      </c>
      <c r="BJ392" s="58" t="str">
        <f t="shared" ca="1" si="311"/>
        <v>False</v>
      </c>
      <c r="BK392" s="58" t="str">
        <f t="shared" ca="1" si="311"/>
        <v>False</v>
      </c>
      <c r="BL392" s="58" t="str">
        <f t="shared" ca="1" si="311"/>
        <v>False</v>
      </c>
      <c r="BM392" s="58" t="str">
        <f t="shared" ca="1" si="311"/>
        <v>False</v>
      </c>
      <c r="BN392" s="58" t="str">
        <f t="shared" ca="1" si="311"/>
        <v>False</v>
      </c>
      <c r="BO392" s="58" t="str">
        <f t="shared" ca="1" si="311"/>
        <v>False</v>
      </c>
      <c r="BP392" s="58" t="str">
        <f t="shared" ca="1" si="311"/>
        <v>False</v>
      </c>
      <c r="BQ392" s="58" t="str">
        <f t="shared" ca="1" si="311"/>
        <v>False</v>
      </c>
      <c r="BR392" s="58" t="str">
        <f t="shared" ca="1" si="311"/>
        <v>False</v>
      </c>
      <c r="BS392" s="58" t="str">
        <f t="shared" ca="1" si="311"/>
        <v>False</v>
      </c>
      <c r="BT392" s="58" t="str">
        <f t="shared" ca="1" si="311"/>
        <v>False</v>
      </c>
      <c r="BU392" s="58"/>
      <c r="BV392" s="58"/>
      <c r="BW392" s="58" t="str">
        <f ca="1">IFERROR(INDEX(INDIRECT(BW$389&amp;"!$A$10:CC100000"),MATCH($AN392,INDIRECT(BW$389&amp;"!BH$10:BH100000"),0),MATCH(BW$391,INDIRECT(BW$389&amp;"!a10:CC10"),0)),"False")</f>
        <v>False</v>
      </c>
      <c r="BX392" s="58" t="str">
        <f ca="1">IFERROR(INDEX(INDIRECT(BX$389&amp;"!$A$10:CC100000"),MATCH($AN392,INDIRECT(BX$389&amp;"!BH$10:BH100000"),0),MATCH(BX$391,INDIRECT(BX$389&amp;"!a10:CC10"),0)),"False")</f>
        <v>False</v>
      </c>
      <c r="BY392" s="58"/>
      <c r="BZ392" s="58"/>
      <c r="CA392" s="58"/>
      <c r="CB392" s="58"/>
      <c r="CC392" s="58"/>
      <c r="CD392" s="58"/>
      <c r="CE392" s="58"/>
      <c r="CF392" s="58"/>
      <c r="CG392" s="58"/>
      <c r="CH392" s="58"/>
      <c r="CI392" s="58"/>
      <c r="CJ392" s="58"/>
      <c r="CK392" s="58"/>
      <c r="CL392" s="58"/>
    </row>
    <row r="393" spans="2:91" ht="22.5" customHeight="1" x14ac:dyDescent="0.35">
      <c r="C393" s="210" t="str">
        <f ca="1" xml:space="preserve"> "Bärbar dator (B) "  &amp; RIGHT("00" &amp; B392,2)</f>
        <v>Bärbar dator (B) 10</v>
      </c>
      <c r="D393" s="211"/>
      <c r="F393" s="92" t="str">
        <f>IF(F392="Inget antal angivet","",IFERROR(INDEX($AP$393:$BX$417,MATCH(F$389,$AN$393:$AN$417,0),MATCH("Modellbenämning",$AP$393:$BX$393,0)),""))</f>
        <v/>
      </c>
      <c r="G393" s="92" t="str">
        <f ca="1">IFERROR(INDEX($AP$393:$BX$417,MATCH(G$389,$AN$393:$AN$417,0),MATCH("Modellbenämning",$AP$393:$BX$393,0)),"")</f>
        <v>Chromebook 3110</v>
      </c>
      <c r="H393" s="92" t="str">
        <f ca="1">IFERROR(INDEX($AP$393:$BX$417,MATCH(H$389,$AN$393:$AN$417,0),MATCH("Modellbenämning",$AP$393:$BX$393,0)),"")</f>
        <v>ChromeBook 11 G9 EE</v>
      </c>
      <c r="I393" s="92" t="str">
        <f ca="1">IFERROR(INDEX($AP$393:$BX$417,MATCH(I$389,$AN$393:$AN$417,0),MATCH("Modellbenämning",$AP$393:$BX$393,0)),"")</f>
        <v>Chromebook 14 G7</v>
      </c>
      <c r="J393" s="93"/>
      <c r="K393" s="92"/>
      <c r="L393" s="92"/>
      <c r="M393" s="92"/>
      <c r="N393" s="92" t="e">
        <f ca="1">INDEX($N$394:$N$399,MATCH(Överblick!$L$2,$M$394:$M$399,0))</f>
        <v>#N/A</v>
      </c>
      <c r="O393" s="92"/>
      <c r="P393" s="92"/>
      <c r="Q393" s="92"/>
      <c r="R393" s="92">
        <v>1</v>
      </c>
      <c r="S393" s="92">
        <v>2</v>
      </c>
      <c r="T393" s="92">
        <v>3</v>
      </c>
      <c r="U393" s="92">
        <v>5</v>
      </c>
      <c r="V393" s="92">
        <v>6</v>
      </c>
      <c r="W393" s="92">
        <v>7</v>
      </c>
      <c r="X393" s="92">
        <v>8</v>
      </c>
      <c r="Y393" s="92"/>
      <c r="Z393" s="92" t="s">
        <v>122</v>
      </c>
      <c r="AA393" s="92" t="s">
        <v>2</v>
      </c>
      <c r="AB393" s="92" t="s">
        <v>4</v>
      </c>
      <c r="AC393" s="92" t="s">
        <v>119</v>
      </c>
      <c r="AD393" s="92" t="s">
        <v>16</v>
      </c>
      <c r="AE393" s="92" t="s">
        <v>7</v>
      </c>
      <c r="AF393" s="92" t="s">
        <v>67</v>
      </c>
      <c r="AG393" s="92" t="s">
        <v>74</v>
      </c>
      <c r="AH393" s="92" t="s">
        <v>103</v>
      </c>
      <c r="AI393" s="92" t="s">
        <v>75</v>
      </c>
      <c r="AJ393" s="92" t="s">
        <v>38</v>
      </c>
      <c r="AK393" s="92"/>
      <c r="AL393" s="92"/>
      <c r="AM393" s="92"/>
      <c r="AN393" s="92" t="s">
        <v>222</v>
      </c>
      <c r="AO393" s="92">
        <v>1</v>
      </c>
      <c r="AP393" s="92" t="s">
        <v>2</v>
      </c>
      <c r="AQ393" s="92" t="s">
        <v>4</v>
      </c>
      <c r="AR393" s="92" t="s">
        <v>119</v>
      </c>
      <c r="AS393" s="92" t="s">
        <v>16</v>
      </c>
      <c r="AT393" s="92" t="s">
        <v>7</v>
      </c>
      <c r="AU393" s="92" t="s">
        <v>67</v>
      </c>
      <c r="AV393" s="92" t="s">
        <v>74</v>
      </c>
      <c r="AW393" s="92" t="s">
        <v>97</v>
      </c>
      <c r="AX393" s="92" t="s">
        <v>103</v>
      </c>
      <c r="AY393" s="92" t="s">
        <v>75</v>
      </c>
      <c r="AZ393" s="92" t="s">
        <v>120</v>
      </c>
      <c r="BA393" s="92" t="s">
        <v>38</v>
      </c>
      <c r="BB393" s="92" t="s">
        <v>37</v>
      </c>
      <c r="BC393" s="92" t="s">
        <v>3</v>
      </c>
      <c r="BD393" s="92" t="s">
        <v>52</v>
      </c>
      <c r="BE393" s="92" t="s">
        <v>25</v>
      </c>
      <c r="BF393" s="92" t="s">
        <v>53</v>
      </c>
      <c r="BG393" s="92" t="s">
        <v>54</v>
      </c>
      <c r="BH393" s="92" t="s">
        <v>55</v>
      </c>
      <c r="BI393" s="92" t="s">
        <v>228</v>
      </c>
      <c r="BJ393" s="92" t="s">
        <v>229</v>
      </c>
      <c r="BK393" s="92" t="s">
        <v>230</v>
      </c>
      <c r="BL393" s="92" t="s">
        <v>231</v>
      </c>
      <c r="BM393" s="92" t="s">
        <v>340</v>
      </c>
      <c r="BN393" s="92" t="s">
        <v>341</v>
      </c>
      <c r="BO393" s="92" t="s">
        <v>342</v>
      </c>
      <c r="BP393" s="92" t="s">
        <v>343</v>
      </c>
      <c r="BQ393" s="92" t="s">
        <v>345</v>
      </c>
      <c r="BR393" s="92" t="s">
        <v>346</v>
      </c>
      <c r="BS393" s="92" t="s">
        <v>347</v>
      </c>
      <c r="BT393" s="92" t="s">
        <v>348</v>
      </c>
      <c r="BU393" s="92"/>
      <c r="BV393" s="92"/>
      <c r="BW393" s="92" t="s">
        <v>6</v>
      </c>
      <c r="BX393" s="92" t="s">
        <v>51</v>
      </c>
      <c r="BY393" s="92" t="s">
        <v>2</v>
      </c>
      <c r="BZ393" s="92" t="s">
        <v>4</v>
      </c>
      <c r="CA393" s="92" t="s">
        <v>119</v>
      </c>
      <c r="CB393" s="92" t="s">
        <v>16</v>
      </c>
      <c r="CC393" s="92" t="s">
        <v>7</v>
      </c>
      <c r="CD393" s="92" t="s">
        <v>67</v>
      </c>
      <c r="CE393" s="92" t="s">
        <v>74</v>
      </c>
      <c r="CF393" s="92" t="s">
        <v>75</v>
      </c>
      <c r="CG393" s="92" t="s">
        <v>75</v>
      </c>
      <c r="CH393" s="92" t="s">
        <v>120</v>
      </c>
      <c r="CI393" s="92" t="s">
        <v>38</v>
      </c>
      <c r="CJ393" s="92" t="s">
        <v>37</v>
      </c>
      <c r="CK393" s="92" t="s">
        <v>3</v>
      </c>
      <c r="CL393" s="92"/>
      <c r="CM393" s="92"/>
    </row>
    <row r="394" spans="2:91" ht="22.5" customHeight="1" outlineLevel="1" x14ac:dyDescent="0.35">
      <c r="C394" s="210" t="s">
        <v>261</v>
      </c>
      <c r="D394" s="211"/>
      <c r="F394" s="76" t="str">
        <f>IF(F392="Inget antal angivet","",IFERROR(INDEX($AP$393:$BX$417,MATCH(F$389,$AN$393:$AN$417,0),MATCH("Varumärke",$AP$393:$BX$393,0)),""))</f>
        <v/>
      </c>
      <c r="G394" s="77" t="str">
        <f ca="1">IFERROR(INDEX($AP$393:$BX$417,MATCH(G$389,$AN$393:$AN$417,0),MATCH("Varumärke",$AP$393:$BX$393,0)),"")</f>
        <v>Dell</v>
      </c>
      <c r="H394" s="77" t="str">
        <f ca="1">IFERROR(INDEX($AP$393:$BX$417,MATCH(H$389,$AN$393:$AN$417,0),MATCH("Varumärke",$AP$393:$BX$393,0)),"")</f>
        <v>HP</v>
      </c>
      <c r="I394" s="119" t="str">
        <f ca="1">IFERROR(INDEX($AP$393:$BX$417,MATCH(I$389,$AN$393:$AN$417,0),MATCH("Varumärke",$AP$393:$BX$393,0)),"")</f>
        <v>HP</v>
      </c>
      <c r="K394" s="185">
        <f t="shared" ref="K394:K399" ca="1" si="312">O394*$D$427</f>
        <v>0</v>
      </c>
      <c r="L394" s="185" t="b">
        <f t="shared" ref="L394:L399" si="313">IF($D$427=0,TRUE,IF(K394=0,FALSE,TRUE))</f>
        <v>1</v>
      </c>
      <c r="M394" s="185" t="s">
        <v>162</v>
      </c>
      <c r="N394" s="185" t="str">
        <f t="shared" ref="N394:N399" ca="1" si="314">INDEX($Z$394:$Z$405,MATCH(O394,$Y$394:$Y$405,0))</f>
        <v>Offererad produktnr. 05Advania Sverige AB</v>
      </c>
      <c r="O394" s="185" cm="1">
        <f t="array" aca="1" ref="O394" ca="1">MIN(IF(($BW$394:$BW$415=M394)*($AO$394:$AO$415=$O$391),$Y$394:$Y$415))</f>
        <v>3996</v>
      </c>
      <c r="P394" s="197">
        <f ca="1">SMALL($Y$394:$Y$417,1)</f>
        <v>2950</v>
      </c>
      <c r="Q394" s="185">
        <f t="shared" ref="Q394:Q403" si="315">SUM(R394:X394)</f>
        <v>0</v>
      </c>
      <c r="R394" s="185">
        <f t="shared" ref="R394:R403" si="316">IF($D$410="",0,BF394)</f>
        <v>0</v>
      </c>
      <c r="S394" s="185">
        <f t="shared" ref="S394:S403" si="317">IF($D$413="",0,BG394)</f>
        <v>0</v>
      </c>
      <c r="T394" s="185">
        <f t="shared" ref="T394:T403" si="318">IF($D$416="",0,BH394)</f>
        <v>0</v>
      </c>
      <c r="U394" s="185">
        <f t="shared" ref="U394:U403" si="319">IF($D$420="",0,BI394)</f>
        <v>0</v>
      </c>
      <c r="V394" s="185">
        <f t="shared" ref="V394:V403" si="320">IF($D$421="",0,BJ394)</f>
        <v>0</v>
      </c>
      <c r="W394" s="185">
        <f t="shared" ref="W394:W403" si="321">IF($D$422="",0,BK394)</f>
        <v>0</v>
      </c>
      <c r="X394" s="185">
        <f t="shared" ref="X394:X403" si="322">IF($D$423="",0,BL394)</f>
        <v>0</v>
      </c>
      <c r="Y394" s="185">
        <f t="shared" ref="Y394:Y403" ca="1" si="323">IF(Z394="","",SUM(BE394,R394:X394))</f>
        <v>3996</v>
      </c>
      <c r="Z394" s="185" t="str">
        <f t="shared" ref="Z394:Z403" si="324">IF(COUNTIF(AA394:AM394,FALSE)&gt;0,"",AN394)</f>
        <v>Offererad produktnr. 05Advania Sverige AB</v>
      </c>
      <c r="AA394" s="185" t="b">
        <f t="shared" ref="AA394:AA403" si="325">IF(" 1366x768"=$D$397,TRUE,IF($D$397=0,TRUE,IF($D$397=AP394,TRUE,FALSE)))</f>
        <v>1</v>
      </c>
      <c r="AB394" s="185" t="b">
        <f t="shared" ref="AB394:AB403" si="326">IF($D$398="",TRUE,IF(AQ394=$D$398,TRUE,FALSE))</f>
        <v>1</v>
      </c>
      <c r="AC394" s="185" t="b">
        <f t="shared" ref="AC394:AC403" si="327">IF($D$399="",TRUE,IF(AR394&gt;=$D$399,TRUE,FALSE))</f>
        <v>1</v>
      </c>
      <c r="AD394" s="185" t="b">
        <f t="shared" ref="AD394:AD403" si="328">IF($D$400="",TRUE,IF(AS394&gt;=$D$400,TRUE,FALSE))</f>
        <v>1</v>
      </c>
      <c r="AE394" s="185" t="b">
        <f>IF($D$396="",TRUE,IF(COUNTIF(Processor!$I$2:$I$9,$D$396)&gt;0,AND(AT394&gt;INDEX(Processor!$J$2:$J$9,MATCH($D$396,Processor!$I$2:$I$9,0)),AT394&lt;INDEX(Processor!$K$2:$K$9,MATCH($D$396,Processor!$I$2:$I$9,0))),IF(AT394=$D$396,TRUE,FALSE)))</f>
        <v>1</v>
      </c>
      <c r="AF394" s="185" t="b">
        <f t="shared" ref="AF394:AF403" si="329">IF($D$401="",TRUE,IF(AU394&gt;=$D$401,TRUE,FALSE))</f>
        <v>1</v>
      </c>
      <c r="AG394" s="185" t="b">
        <f t="shared" ref="AG394:AG403" si="330">IF($D$402="",TRUE,IF(AV394&gt;=$D$402,TRUE,FALSE))</f>
        <v>1</v>
      </c>
      <c r="AH394" s="185" t="b">
        <f t="shared" ref="AH394:AH403" si="331">IF($D$403="",TRUE,IF($D$403="802.11a/b/g/n/ac",TRUE,IF(AX394&gt;=$D$403,TRUE,FALSE)))</f>
        <v>1</v>
      </c>
      <c r="AI394" s="185" t="b">
        <f t="shared" ref="AI394:AI403" si="332">IF($D$404="",TRUE,IF(AY394&gt;=$D$404,TRUE,FALSE))</f>
        <v>1</v>
      </c>
      <c r="AJ394" s="185" t="b">
        <f>IFERROR(IF($D406="",TRUE,IF(MID(BA394,LEN(BA394)-2,1)*1&gt;=MID($D406,LEN($D406)-2,1)*1,TRUE,FALSE)),FALSE)</f>
        <v>1</v>
      </c>
      <c r="AK394" s="185"/>
      <c r="AL394" s="185"/>
      <c r="AM394" s="185"/>
      <c r="AN394" s="185" t="s">
        <v>202</v>
      </c>
      <c r="AO394" s="185">
        <v>1</v>
      </c>
      <c r="AP394" s="185" t="str">
        <f t="shared" ref="AP394:AY403" ca="1" si="333">IFERROR(INDEX(INDIRECT(AP$389&amp;"!$A$10:CC100000"),MATCH($AN394,INDIRECT(AP$389&amp;"!BH$10:BH100000"),0),MATCH(AP$391,INDIRECT(AP$389&amp;"!a10:CC10"),0)),"False")</f>
        <v>1366x768</v>
      </c>
      <c r="AQ394" s="185" t="str">
        <f t="shared" ca="1" si="333"/>
        <v>Intel Celeron</v>
      </c>
      <c r="AR394" s="185">
        <f t="shared" ca="1" si="333"/>
        <v>4</v>
      </c>
      <c r="AS394" s="185">
        <f t="shared" ca="1" si="333"/>
        <v>32</v>
      </c>
      <c r="AT394" s="185">
        <f t="shared" ca="1" si="333"/>
        <v>11.6</v>
      </c>
      <c r="AU394" s="185">
        <f t="shared" ca="1" si="333"/>
        <v>3</v>
      </c>
      <c r="AV394" s="185">
        <f t="shared" ca="1" si="333"/>
        <v>1</v>
      </c>
      <c r="AW394" s="185">
        <f t="shared" ca="1" si="333"/>
        <v>0</v>
      </c>
      <c r="AX394" s="185" t="str">
        <f t="shared" ca="1" si="333"/>
        <v>802.11a/b/g/n/ac</v>
      </c>
      <c r="AY394" s="185">
        <f t="shared" ca="1" si="333"/>
        <v>5</v>
      </c>
      <c r="AZ394" s="185">
        <f t="shared" ref="AZ394:BI403" ca="1" si="334">IFERROR(INDEX(INDIRECT(AZ$389&amp;"!$A$10:CC100000"),MATCH($AN394,INDIRECT(AZ$389&amp;"!BH$10:BH100000"),0),MATCH(AZ$391,INDIRECT(AZ$389&amp;"!a10:CC10"),0)),"False")</f>
        <v>11</v>
      </c>
      <c r="BA394" s="185" t="str">
        <f t="shared" ca="1" si="334"/>
        <v>Version 8.0</v>
      </c>
      <c r="BB394" s="185" t="str">
        <f t="shared" ca="1" si="334"/>
        <v>Ja</v>
      </c>
      <c r="BC394" s="185" t="str">
        <f t="shared" ca="1" si="334"/>
        <v>Google Chrome OS</v>
      </c>
      <c r="BD394" s="185" t="str">
        <f t="shared" ca="1" si="334"/>
        <v>ChromeBook 11 G9 EE</v>
      </c>
      <c r="BE394" s="185">
        <f t="shared" ca="1" si="334"/>
        <v>3996</v>
      </c>
      <c r="BF394" s="192">
        <f t="shared" ca="1" si="334"/>
        <v>64</v>
      </c>
      <c r="BG394" s="192">
        <f t="shared" ca="1" si="334"/>
        <v>213</v>
      </c>
      <c r="BH394" s="192">
        <f t="shared" ca="1" si="334"/>
        <v>251</v>
      </c>
      <c r="BI394" s="192">
        <f t="shared" ca="1" si="334"/>
        <v>594</v>
      </c>
      <c r="BJ394" s="192">
        <f t="shared" ref="BJ394:BT403" ca="1" si="335">IFERROR(INDEX(INDIRECT(BJ$389&amp;"!$A$10:CC100000"),MATCH($AN394,INDIRECT(BJ$389&amp;"!BH$10:BH100000"),0),MATCH(BJ$391,INDIRECT(BJ$389&amp;"!a10:CC10"),0)),"False")</f>
        <v>112</v>
      </c>
      <c r="BK394" s="192">
        <f t="shared" ca="1" si="335"/>
        <v>50</v>
      </c>
      <c r="BL394" s="192">
        <f t="shared" ca="1" si="335"/>
        <v>50</v>
      </c>
      <c r="BM394" s="192" t="str">
        <f t="shared" ca="1" si="335"/>
        <v>V7</v>
      </c>
      <c r="BN394" s="192" t="str">
        <f t="shared" ca="1" si="335"/>
        <v>PORT Designs</v>
      </c>
      <c r="BO394" s="192" t="str">
        <f t="shared" ca="1" si="335"/>
        <v>CoreParts</v>
      </c>
      <c r="BP394" s="192">
        <f t="shared" ca="1" si="335"/>
        <v>0</v>
      </c>
      <c r="BQ394" s="192" t="str">
        <f t="shared" ca="1" si="335"/>
        <v xml:space="preserve"> CSE12-BLK-3E  - Fodral för bärbar dator 12" - svart</v>
      </c>
      <c r="BR394" s="192" t="str">
        <f t="shared" ca="1" si="335"/>
        <v>900265 - Sekretessfilter till bärbar dator - 11.6" - guld</v>
      </c>
      <c r="BS394" s="192" t="str">
        <f t="shared" ca="1" si="335"/>
        <v>MBXUSBC-AC0005 - USB-C - strömadapter 45 Watt</v>
      </c>
      <c r="BT394" s="192">
        <f t="shared" ca="1" si="335"/>
        <v>0</v>
      </c>
      <c r="BU394" s="192"/>
      <c r="BV394" s="192"/>
      <c r="BW394" s="192" t="str">
        <f t="shared" ref="BW394:BX403" ca="1" si="336">IFERROR(INDEX(INDIRECT(BW$389&amp;"!$A$10:CC100000"),MATCH($AN394,INDIRECT(BW$389&amp;"!BH$10:BH100000"),0),MATCH(BW$391,INDIRECT(BW$389&amp;"!a10:CC10"),0)),"False")</f>
        <v>Advania Sverige AB</v>
      </c>
      <c r="BX394" s="192" t="str">
        <f t="shared" ca="1" si="336"/>
        <v>HP</v>
      </c>
      <c r="BY394" s="185" t="s">
        <v>706</v>
      </c>
      <c r="BZ394" s="185" t="s">
        <v>81</v>
      </c>
      <c r="CA394" s="185">
        <v>4</v>
      </c>
      <c r="CB394" s="185">
        <v>32</v>
      </c>
      <c r="CC394" s="191">
        <v>11.6</v>
      </c>
      <c r="CD394" s="185">
        <v>2</v>
      </c>
      <c r="CE394" s="185">
        <v>1</v>
      </c>
      <c r="CF394" s="185" t="s">
        <v>86</v>
      </c>
      <c r="CG394" s="186">
        <v>5</v>
      </c>
      <c r="CH394" s="186">
        <v>11</v>
      </c>
      <c r="CI394" s="185" t="s">
        <v>527</v>
      </c>
      <c r="CJ394" s="185" t="s">
        <v>69</v>
      </c>
      <c r="CK394" s="185" t="s">
        <v>82</v>
      </c>
      <c r="CL394" s="185"/>
      <c r="CM394" s="185"/>
    </row>
    <row r="395" spans="2:91" ht="22.5" customHeight="1" outlineLevel="1" x14ac:dyDescent="0.35">
      <c r="C395" s="61" t="s">
        <v>3</v>
      </c>
      <c r="D395" s="64"/>
      <c r="F395" s="78" t="str">
        <f t="shared" ref="F395:F407" si="337">IF(F$392="Inget antal angivet","",IFERROR(INDEX($AP$393:$BX$417,MATCH(F$389,$AN$393:$AN$417,0),MATCH($C395,$AP$393:$BX$393,0)),""))</f>
        <v/>
      </c>
      <c r="G395" s="79" t="str">
        <f t="shared" ref="G395:I407" ca="1" si="338">IFERROR(INDEX($AP$393:$BX$417,MATCH(G$389,$AN$393:$AN$417,0),MATCH($C395,$AP$393:$BX$393,0)),"")</f>
        <v>Google Chrome OS</v>
      </c>
      <c r="H395" s="79" t="str">
        <f t="shared" ca="1" si="338"/>
        <v>Google Chrome OS</v>
      </c>
      <c r="I395" s="120" t="str">
        <f t="shared" ca="1" si="338"/>
        <v>Google Chrome OS</v>
      </c>
      <c r="J395" s="62"/>
      <c r="K395" s="185">
        <f t="shared" ca="1" si="312"/>
        <v>0</v>
      </c>
      <c r="L395" s="185" t="b">
        <f t="shared" si="313"/>
        <v>1</v>
      </c>
      <c r="M395" s="185" t="s">
        <v>150</v>
      </c>
      <c r="N395" s="185" t="str">
        <f t="shared" ca="1" si="314"/>
        <v>Offererad produktnr. 05Atea Sverige AB</v>
      </c>
      <c r="O395" s="185" cm="1">
        <f t="array" aca="1" ref="O395" ca="1">MIN(IF(($BW$394:$BW$415=M395)*($AO$394:$AO$415=$O$391),$Y$394:$Y$415))</f>
        <v>4802</v>
      </c>
      <c r="P395" s="197">
        <f ca="1">SMALL($Y$394:$Y$417,2)</f>
        <v>3415</v>
      </c>
      <c r="Q395" s="185">
        <f t="shared" si="315"/>
        <v>0</v>
      </c>
      <c r="R395" s="185">
        <f t="shared" si="316"/>
        <v>0</v>
      </c>
      <c r="S395" s="185">
        <f t="shared" si="317"/>
        <v>0</v>
      </c>
      <c r="T395" s="185">
        <f t="shared" si="318"/>
        <v>0</v>
      </c>
      <c r="U395" s="185">
        <f t="shared" si="319"/>
        <v>0</v>
      </c>
      <c r="V395" s="185">
        <f t="shared" si="320"/>
        <v>0</v>
      </c>
      <c r="W395" s="185">
        <f t="shared" si="321"/>
        <v>0</v>
      </c>
      <c r="X395" s="185">
        <f t="shared" si="322"/>
        <v>0</v>
      </c>
      <c r="Y395" s="185">
        <f t="shared" ca="1" si="323"/>
        <v>4882</v>
      </c>
      <c r="Z395" s="185" t="str">
        <f t="shared" si="324"/>
        <v>Offererad produktnr. 06Advania Sverige AB</v>
      </c>
      <c r="AA395" s="185" t="b">
        <f t="shared" si="325"/>
        <v>1</v>
      </c>
      <c r="AB395" s="185" t="b">
        <f t="shared" si="326"/>
        <v>1</v>
      </c>
      <c r="AC395" s="185" t="b">
        <f t="shared" si="327"/>
        <v>1</v>
      </c>
      <c r="AD395" s="185" t="b">
        <f t="shared" si="328"/>
        <v>1</v>
      </c>
      <c r="AE395" s="185" t="b">
        <f>IF($D$396="",TRUE,IF(COUNTIF(Processor!$I$2:$I$9,$D$396)&gt;0,AND(AT395&gt;INDEX(Processor!$J$2:$J$9,MATCH($D$396,Processor!$I$2:$I$9,0)),AT395&lt;INDEX(Processor!$K$2:$K$9,MATCH($D$396,Processor!$I$2:$I$9,0))),IF(AT395=$D$396,TRUE,FALSE)))</f>
        <v>1</v>
      </c>
      <c r="AF395" s="185" t="b">
        <f t="shared" si="329"/>
        <v>1</v>
      </c>
      <c r="AG395" s="185" t="b">
        <f t="shared" si="330"/>
        <v>1</v>
      </c>
      <c r="AH395" s="185" t="b">
        <f t="shared" si="331"/>
        <v>1</v>
      </c>
      <c r="AI395" s="185" t="b">
        <f t="shared" si="332"/>
        <v>1</v>
      </c>
      <c r="AJ395" s="185" t="b">
        <f>IFERROR(IF($D406="",TRUE,IF(MID(BA395,LEN(BA395)-2,1)*1&gt;=MID($D406,LEN($D406)-2,1)*1,TRUE,FALSE)),FALSE)</f>
        <v>1</v>
      </c>
      <c r="AK395" s="185"/>
      <c r="AL395" s="185"/>
      <c r="AM395" s="185"/>
      <c r="AN395" s="185" t="s">
        <v>203</v>
      </c>
      <c r="AO395" s="185">
        <v>1</v>
      </c>
      <c r="AP395" s="185" t="str">
        <f t="shared" ca="1" si="333"/>
        <v>1920x1080</v>
      </c>
      <c r="AQ395" s="185" t="str">
        <f t="shared" ca="1" si="333"/>
        <v>Intel Celeron</v>
      </c>
      <c r="AR395" s="185">
        <f t="shared" ca="1" si="333"/>
        <v>8</v>
      </c>
      <c r="AS395" s="185">
        <f t="shared" ca="1" si="333"/>
        <v>64</v>
      </c>
      <c r="AT395" s="185">
        <f t="shared" ca="1" si="333"/>
        <v>14</v>
      </c>
      <c r="AU395" s="185">
        <f t="shared" ca="1" si="333"/>
        <v>3</v>
      </c>
      <c r="AV395" s="185">
        <f t="shared" ca="1" si="333"/>
        <v>1</v>
      </c>
      <c r="AW395" s="185">
        <f t="shared" ca="1" si="333"/>
        <v>0</v>
      </c>
      <c r="AX395" s="185" t="str">
        <f t="shared" ca="1" si="333"/>
        <v>802.11a/b/g/n/ac/ax</v>
      </c>
      <c r="AY395" s="185">
        <f t="shared" ca="1" si="333"/>
        <v>5</v>
      </c>
      <c r="AZ395" s="185">
        <f t="shared" ca="1" si="334"/>
        <v>11</v>
      </c>
      <c r="BA395" s="185" t="str">
        <f t="shared" ca="1" si="334"/>
        <v>Version 8.0</v>
      </c>
      <c r="BB395" s="185" t="str">
        <f t="shared" ca="1" si="334"/>
        <v>Ja</v>
      </c>
      <c r="BC395" s="185" t="str">
        <f t="shared" ca="1" si="334"/>
        <v>Google Chrome OS</v>
      </c>
      <c r="BD395" s="185" t="str">
        <f t="shared" ca="1" si="334"/>
        <v>Chromebook 14 G7</v>
      </c>
      <c r="BE395" s="185">
        <f t="shared" ca="1" si="334"/>
        <v>4882</v>
      </c>
      <c r="BF395" s="192">
        <f t="shared" ca="1" si="334"/>
        <v>60</v>
      </c>
      <c r="BG395" s="192">
        <f t="shared" ca="1" si="334"/>
        <v>218</v>
      </c>
      <c r="BH395" s="192">
        <f t="shared" ca="1" si="334"/>
        <v>251</v>
      </c>
      <c r="BI395" s="192">
        <f t="shared" ca="1" si="334"/>
        <v>244</v>
      </c>
      <c r="BJ395" s="192">
        <f t="shared" ca="1" si="335"/>
        <v>112</v>
      </c>
      <c r="BK395" s="192">
        <f t="shared" ca="1" si="335"/>
        <v>50</v>
      </c>
      <c r="BL395" s="192">
        <f t="shared" ca="1" si="335"/>
        <v>50</v>
      </c>
      <c r="BM395" s="192" t="str">
        <f t="shared" ca="1" si="335"/>
        <v>V7</v>
      </c>
      <c r="BN395" s="192" t="str">
        <f t="shared" ca="1" si="335"/>
        <v>PORT Designs</v>
      </c>
      <c r="BO395" s="192" t="str">
        <f t="shared" ca="1" si="335"/>
        <v>CoreParts</v>
      </c>
      <c r="BP395" s="192">
        <f t="shared" ca="1" si="335"/>
        <v>0</v>
      </c>
      <c r="BQ395" s="192" t="str">
        <f t="shared" ca="1" si="335"/>
        <v xml:space="preserve"> CSE14-BLK-3E  -Fodral för bärbar dator - 14" - svart</v>
      </c>
      <c r="BR395" s="192" t="str">
        <f t="shared" ca="1" si="335"/>
        <v>900003 - Professional - filter för personlig integritet - 14"</v>
      </c>
      <c r="BS395" s="192" t="str">
        <f t="shared" ca="1" si="335"/>
        <v>MBXUSBC-AC0005 - USB-C - strömadapter 45 Watt</v>
      </c>
      <c r="BT395" s="192">
        <f t="shared" ca="1" si="335"/>
        <v>0</v>
      </c>
      <c r="BU395" s="192"/>
      <c r="BV395" s="192"/>
      <c r="BW395" s="192" t="str">
        <f t="shared" ca="1" si="336"/>
        <v>Advania Sverige AB</v>
      </c>
      <c r="BX395" s="192" t="str">
        <f t="shared" ca="1" si="336"/>
        <v>HP</v>
      </c>
      <c r="BY395" s="185" t="s">
        <v>71</v>
      </c>
      <c r="BZ395" s="185" t="s">
        <v>696</v>
      </c>
      <c r="CA395" s="185">
        <v>8</v>
      </c>
      <c r="CB395" s="185">
        <v>64</v>
      </c>
      <c r="CC395" s="191">
        <v>14</v>
      </c>
      <c r="CD395" s="185">
        <v>3</v>
      </c>
      <c r="CE395" s="185">
        <v>2</v>
      </c>
      <c r="CF395" s="185" t="s">
        <v>79</v>
      </c>
      <c r="CG395" s="186">
        <v>5.0999999999999996</v>
      </c>
      <c r="CH395" s="186"/>
      <c r="CI395" s="185"/>
      <c r="CJ395" s="185"/>
      <c r="CK395" s="185"/>
      <c r="CL395" s="185"/>
      <c r="CM395" s="185"/>
    </row>
    <row r="396" spans="2:91" ht="22.5" customHeight="1" outlineLevel="1" x14ac:dyDescent="0.35">
      <c r="C396" s="61" t="s">
        <v>7</v>
      </c>
      <c r="D396" s="64"/>
      <c r="F396" s="78" t="str">
        <f t="shared" si="337"/>
        <v/>
      </c>
      <c r="G396" s="79">
        <f t="shared" ca="1" si="338"/>
        <v>11.6</v>
      </c>
      <c r="H396" s="79">
        <f t="shared" ca="1" si="338"/>
        <v>11.6</v>
      </c>
      <c r="I396" s="120">
        <f t="shared" ca="1" si="338"/>
        <v>14</v>
      </c>
      <c r="J396" s="62"/>
      <c r="K396" s="185">
        <f t="shared" ca="1" si="312"/>
        <v>0</v>
      </c>
      <c r="L396" s="185" t="b">
        <f t="shared" si="313"/>
        <v>1</v>
      </c>
      <c r="M396" s="185" t="s">
        <v>128</v>
      </c>
      <c r="N396" s="185" t="str">
        <f t="shared" ca="1" si="314"/>
        <v>Offererad produktnr. 05Dustin Sverige AB</v>
      </c>
      <c r="O396" s="185" cm="1">
        <f t="array" aca="1" ref="O396" ca="1">MIN(IF(($BW$394:$BW$415=M396)*($AO$394:$AO$415=$O$391),$Y$394:$Y$415))</f>
        <v>3415</v>
      </c>
      <c r="P396" s="197">
        <f ca="1">SMALL($Y$394:$Y$417,3)</f>
        <v>3610</v>
      </c>
      <c r="Q396" s="185">
        <f t="shared" si="315"/>
        <v>0</v>
      </c>
      <c r="R396" s="185">
        <f t="shared" si="316"/>
        <v>0</v>
      </c>
      <c r="S396" s="185">
        <f t="shared" si="317"/>
        <v>0</v>
      </c>
      <c r="T396" s="185">
        <f t="shared" si="318"/>
        <v>0</v>
      </c>
      <c r="U396" s="185">
        <f t="shared" si="319"/>
        <v>0</v>
      </c>
      <c r="V396" s="185">
        <f t="shared" si="320"/>
        <v>0</v>
      </c>
      <c r="W396" s="185">
        <f t="shared" si="321"/>
        <v>0</v>
      </c>
      <c r="X396" s="185">
        <f t="shared" si="322"/>
        <v>0</v>
      </c>
      <c r="Y396" s="185">
        <f t="shared" ca="1" si="323"/>
        <v>4802</v>
      </c>
      <c r="Z396" s="185" t="str">
        <f t="shared" si="324"/>
        <v>Offererad produktnr. 05Atea Sverige AB</v>
      </c>
      <c r="AA396" s="185" t="b">
        <f t="shared" si="325"/>
        <v>1</v>
      </c>
      <c r="AB396" s="185" t="b">
        <f t="shared" si="326"/>
        <v>1</v>
      </c>
      <c r="AC396" s="185" t="b">
        <f t="shared" si="327"/>
        <v>1</v>
      </c>
      <c r="AD396" s="185" t="b">
        <f t="shared" si="328"/>
        <v>1</v>
      </c>
      <c r="AE396" s="185" t="b">
        <f>IF($D$396="",TRUE,IF(COUNTIF(Processor!$I$2:$I$9,$D$396)&gt;0,AND(AT396&gt;INDEX(Processor!$J$2:$J$9,MATCH($D$396,Processor!$I$2:$I$9,0)),AT396&lt;INDEX(Processor!$K$2:$K$9,MATCH($D$396,Processor!$I$2:$I$9,0))),IF(AT396=$D$396,TRUE,FALSE)))</f>
        <v>1</v>
      </c>
      <c r="AF396" s="185" t="b">
        <f t="shared" si="329"/>
        <v>1</v>
      </c>
      <c r="AG396" s="185" t="b">
        <f t="shared" si="330"/>
        <v>1</v>
      </c>
      <c r="AH396" s="185" t="b">
        <f t="shared" si="331"/>
        <v>1</v>
      </c>
      <c r="AI396" s="185" t="b">
        <f t="shared" si="332"/>
        <v>1</v>
      </c>
      <c r="AJ396" s="185" t="b">
        <f>IFERROR(IF($D406="",TRUE,IF(MID(BA396,LEN(BA396)-2,1)*1&gt;=MID($D406,LEN($D406)-2,1)*1,TRUE,FALSE)),FALSE)</f>
        <v>1</v>
      </c>
      <c r="AK396" s="185"/>
      <c r="AL396" s="185"/>
      <c r="AM396" s="185"/>
      <c r="AN396" s="185" t="s">
        <v>190</v>
      </c>
      <c r="AO396" s="185">
        <v>1</v>
      </c>
      <c r="AP396" s="185" t="str">
        <f t="shared" ca="1" si="333"/>
        <v>1366x768</v>
      </c>
      <c r="AQ396" s="185" t="str">
        <f t="shared" ca="1" si="333"/>
        <v>Intel Celeron</v>
      </c>
      <c r="AR396" s="185">
        <f t="shared" ca="1" si="333"/>
        <v>4</v>
      </c>
      <c r="AS396" s="185">
        <f t="shared" ca="1" si="333"/>
        <v>32</v>
      </c>
      <c r="AT396" s="185">
        <f t="shared" ca="1" si="333"/>
        <v>11.6</v>
      </c>
      <c r="AU396" s="185">
        <f t="shared" ca="1" si="333"/>
        <v>2</v>
      </c>
      <c r="AV396" s="185">
        <f t="shared" ca="1" si="333"/>
        <v>1</v>
      </c>
      <c r="AW396" s="185">
        <f t="shared" ca="1" si="333"/>
        <v>0</v>
      </c>
      <c r="AX396" s="185" t="str">
        <f t="shared" ca="1" si="333"/>
        <v>802.11a/b/g/n/ac/ax</v>
      </c>
      <c r="AY396" s="185">
        <f t="shared" ca="1" si="333"/>
        <v>5.0999999999999996</v>
      </c>
      <c r="AZ396" s="185">
        <f t="shared" ca="1" si="334"/>
        <v>11</v>
      </c>
      <c r="BA396" s="185" t="str">
        <f t="shared" ca="1" si="334"/>
        <v>Version 8.0</v>
      </c>
      <c r="BB396" s="185" t="str">
        <f t="shared" ca="1" si="334"/>
        <v>Ja</v>
      </c>
      <c r="BC396" s="185" t="str">
        <f t="shared" ca="1" si="334"/>
        <v>Google Chrome OS</v>
      </c>
      <c r="BD396" s="185" t="str">
        <f t="shared" ca="1" si="334"/>
        <v>100e Chr Gen3</v>
      </c>
      <c r="BE396" s="185">
        <f t="shared" ca="1" si="334"/>
        <v>4802</v>
      </c>
      <c r="BF396" s="192">
        <f t="shared" ca="1" si="334"/>
        <v>145</v>
      </c>
      <c r="BG396" s="192">
        <f t="shared" ca="1" si="334"/>
        <v>431</v>
      </c>
      <c r="BH396" s="192">
        <f t="shared" ca="1" si="334"/>
        <v>361</v>
      </c>
      <c r="BI396" s="192">
        <f t="shared" ca="1" si="334"/>
        <v>728</v>
      </c>
      <c r="BJ396" s="192">
        <f t="shared" ca="1" si="335"/>
        <v>120</v>
      </c>
      <c r="BK396" s="192">
        <f t="shared" ca="1" si="335"/>
        <v>85</v>
      </c>
      <c r="BL396" s="192">
        <f t="shared" ca="1" si="335"/>
        <v>100</v>
      </c>
      <c r="BM396" s="192" t="str">
        <f t="shared" ca="1" si="335"/>
        <v xml:space="preserve">Lenovo </v>
      </c>
      <c r="BN396" s="192" t="str">
        <f t="shared" ca="1" si="335"/>
        <v>Lenovo</v>
      </c>
      <c r="BO396" s="192" t="str">
        <f t="shared" ca="1" si="335"/>
        <v>Lenovo</v>
      </c>
      <c r="BP396" s="192">
        <f t="shared" ca="1" si="335"/>
        <v>0</v>
      </c>
      <c r="BQ396" s="192" t="str">
        <f t="shared" ca="1" si="335"/>
        <v>Basic Sleeve 11"</v>
      </c>
      <c r="BR396" s="192" t="str">
        <f t="shared" ca="1" si="335"/>
        <v>Lenovo 11.6" Privacy Filter</v>
      </c>
      <c r="BS396" s="192" t="str">
        <f t="shared" ca="1" si="335"/>
        <v>Power adapter USB-C 45w</v>
      </c>
      <c r="BT396" s="192">
        <f t="shared" ca="1" si="335"/>
        <v>0</v>
      </c>
      <c r="BU396" s="192"/>
      <c r="BV396" s="192"/>
      <c r="BW396" s="192" t="str">
        <f t="shared" ca="1" si="336"/>
        <v>Atea Sverige AB</v>
      </c>
      <c r="BX396" s="192" t="str">
        <f t="shared" ca="1" si="336"/>
        <v>Lenovo</v>
      </c>
      <c r="BY396" s="185"/>
      <c r="BZ396" s="185"/>
      <c r="CA396" s="185"/>
      <c r="CB396" s="185"/>
      <c r="CC396" s="185"/>
      <c r="CD396" s="185">
        <v>4</v>
      </c>
      <c r="CE396" s="185"/>
      <c r="CF396" s="185"/>
      <c r="CG396" s="186"/>
      <c r="CH396" s="186"/>
      <c r="CI396" s="185"/>
      <c r="CJ396" s="185"/>
      <c r="CK396" s="185"/>
      <c r="CL396" s="185"/>
      <c r="CM396" s="185"/>
    </row>
    <row r="397" spans="2:91" ht="22.5" customHeight="1" outlineLevel="1" x14ac:dyDescent="0.35">
      <c r="C397" s="61" t="s">
        <v>2</v>
      </c>
      <c r="D397" s="64"/>
      <c r="F397" s="78" t="str">
        <f t="shared" si="337"/>
        <v/>
      </c>
      <c r="G397" s="79" t="str">
        <f t="shared" ca="1" si="338"/>
        <v>1366x768</v>
      </c>
      <c r="H397" s="79" t="str">
        <f t="shared" ca="1" si="338"/>
        <v>1366x768</v>
      </c>
      <c r="I397" s="120" t="str">
        <f t="shared" ca="1" si="338"/>
        <v>1920x1080</v>
      </c>
      <c r="J397" s="62"/>
      <c r="K397" s="185">
        <f t="shared" ca="1" si="312"/>
        <v>0</v>
      </c>
      <c r="L397" s="185" t="b">
        <f t="shared" si="313"/>
        <v>1</v>
      </c>
      <c r="M397" s="185" t="s">
        <v>169</v>
      </c>
      <c r="N397" s="185" t="str">
        <f t="shared" ca="1" si="314"/>
        <v>Offererad produktnr. 05Foxway Education AB</v>
      </c>
      <c r="O397" s="185" cm="1">
        <f t="array" aca="1" ref="O397" ca="1">MIN(IF(($BW$394:$BW$415=M397)*($AO$394:$AO$415=$O$391),$Y$394:$Y$415))</f>
        <v>3636</v>
      </c>
      <c r="P397" s="197"/>
      <c r="Q397" s="185">
        <f t="shared" si="315"/>
        <v>0</v>
      </c>
      <c r="R397" s="185">
        <f t="shared" si="316"/>
        <v>0</v>
      </c>
      <c r="S397" s="185">
        <f t="shared" si="317"/>
        <v>0</v>
      </c>
      <c r="T397" s="185">
        <f t="shared" si="318"/>
        <v>0</v>
      </c>
      <c r="U397" s="185">
        <f t="shared" si="319"/>
        <v>0</v>
      </c>
      <c r="V397" s="185">
        <f t="shared" si="320"/>
        <v>0</v>
      </c>
      <c r="W397" s="185">
        <f t="shared" si="321"/>
        <v>0</v>
      </c>
      <c r="X397" s="185">
        <f t="shared" si="322"/>
        <v>0</v>
      </c>
      <c r="Y397" s="185">
        <f t="shared" ca="1" si="323"/>
        <v>6392</v>
      </c>
      <c r="Z397" s="185" t="str">
        <f t="shared" si="324"/>
        <v>Offererad produktnr. 06Atea Sverige AB</v>
      </c>
      <c r="AA397" s="185" t="b">
        <f t="shared" si="325"/>
        <v>1</v>
      </c>
      <c r="AB397" s="185" t="b">
        <f t="shared" si="326"/>
        <v>1</v>
      </c>
      <c r="AC397" s="185" t="b">
        <f t="shared" si="327"/>
        <v>1</v>
      </c>
      <c r="AD397" s="185" t="b">
        <f t="shared" si="328"/>
        <v>1</v>
      </c>
      <c r="AE397" s="185" t="b">
        <f>IF($D$396="",TRUE,IF(COUNTIF(Processor!$I$2:$I$9,$D$396)&gt;0,AND(AT397&gt;INDEX(Processor!$J$2:$J$9,MATCH($D$396,Processor!$I$2:$I$9,0)),AT397&lt;INDEX(Processor!$K$2:$K$9,MATCH($D$396,Processor!$I$2:$I$9,0))),IF(AT397=$D$396,TRUE,FALSE)))</f>
        <v>1</v>
      </c>
      <c r="AF397" s="185" t="b">
        <f t="shared" si="329"/>
        <v>1</v>
      </c>
      <c r="AG397" s="185" t="b">
        <f t="shared" si="330"/>
        <v>1</v>
      </c>
      <c r="AH397" s="185" t="b">
        <f t="shared" si="331"/>
        <v>1</v>
      </c>
      <c r="AI397" s="185" t="b">
        <f t="shared" si="332"/>
        <v>1</v>
      </c>
      <c r="AJ397" s="185" t="b">
        <f>IFERROR(IF($D406="",TRUE,IF(MID(BA397,LEN(BA397)-2,1)*1&gt;=MID($D406,LEN($D406)-2,1)*1,TRUE,FALSE)),FALSE)</f>
        <v>1</v>
      </c>
      <c r="AK397" s="185"/>
      <c r="AL397" s="185"/>
      <c r="AM397" s="185"/>
      <c r="AN397" s="185" t="s">
        <v>191</v>
      </c>
      <c r="AO397" s="185">
        <v>1</v>
      </c>
      <c r="AP397" s="185" t="str">
        <f t="shared" ca="1" si="333"/>
        <v>1920x1080</v>
      </c>
      <c r="AQ397" s="185" t="str">
        <f t="shared" ca="1" si="333"/>
        <v>Intel Celeron</v>
      </c>
      <c r="AR397" s="185">
        <f t="shared" ca="1" si="333"/>
        <v>8</v>
      </c>
      <c r="AS397" s="185">
        <f t="shared" ca="1" si="333"/>
        <v>64</v>
      </c>
      <c r="AT397" s="185">
        <f t="shared" ca="1" si="333"/>
        <v>14</v>
      </c>
      <c r="AU397" s="185">
        <f t="shared" ca="1" si="333"/>
        <v>3</v>
      </c>
      <c r="AV397" s="185">
        <f t="shared" ca="1" si="333"/>
        <v>1</v>
      </c>
      <c r="AW397" s="185">
        <f t="shared" ca="1" si="333"/>
        <v>0</v>
      </c>
      <c r="AX397" s="185" t="str">
        <f t="shared" ca="1" si="333"/>
        <v>802.11a/b/g/n/ac/ax</v>
      </c>
      <c r="AY397" s="185">
        <f t="shared" ca="1" si="333"/>
        <v>5</v>
      </c>
      <c r="AZ397" s="185">
        <f t="shared" ca="1" si="334"/>
        <v>11</v>
      </c>
      <c r="BA397" s="185" t="str">
        <f t="shared" ca="1" si="334"/>
        <v>Version 8.0</v>
      </c>
      <c r="BB397" s="185" t="str">
        <f t="shared" ca="1" si="334"/>
        <v>Ja</v>
      </c>
      <c r="BC397" s="185" t="str">
        <f t="shared" ca="1" si="334"/>
        <v>Google Chrome OS</v>
      </c>
      <c r="BD397" s="185" t="str">
        <f t="shared" ca="1" si="334"/>
        <v>Chromebook 14 G7</v>
      </c>
      <c r="BE397" s="185">
        <f t="shared" ca="1" si="334"/>
        <v>6392</v>
      </c>
      <c r="BF397" s="192">
        <f t="shared" ca="1" si="334"/>
        <v>134</v>
      </c>
      <c r="BG397" s="192">
        <f t="shared" ca="1" si="334"/>
        <v>449</v>
      </c>
      <c r="BH397" s="192">
        <f t="shared" ca="1" si="334"/>
        <v>389</v>
      </c>
      <c r="BI397" s="192">
        <f t="shared" ca="1" si="334"/>
        <v>276</v>
      </c>
      <c r="BJ397" s="192">
        <f t="shared" ca="1" si="335"/>
        <v>120</v>
      </c>
      <c r="BK397" s="192">
        <f t="shared" ca="1" si="335"/>
        <v>85</v>
      </c>
      <c r="BL397" s="192">
        <f t="shared" ca="1" si="335"/>
        <v>100</v>
      </c>
      <c r="BM397" s="192" t="str">
        <f t="shared" ca="1" si="335"/>
        <v>DELTACO</v>
      </c>
      <c r="BN397" s="192" t="str">
        <f t="shared" ca="1" si="335"/>
        <v>Targus</v>
      </c>
      <c r="BO397" s="192" t="str">
        <f t="shared" ca="1" si="335"/>
        <v>HP</v>
      </c>
      <c r="BP397" s="192">
        <f t="shared" ca="1" si="335"/>
        <v>0</v>
      </c>
      <c r="BQ397" s="192" t="str">
        <f t="shared" ca="1" si="335"/>
        <v xml:space="preserve">Fodral för bärbar dator </v>
      </c>
      <c r="BR397" s="192" t="str">
        <f t="shared" ca="1" si="335"/>
        <v>Targus Privacy Screen 14"</v>
      </c>
      <c r="BS397" s="192" t="str">
        <f t="shared" ca="1" si="335"/>
        <v>HP 45W USB-C Power Adapter G2</v>
      </c>
      <c r="BT397" s="192">
        <f t="shared" ca="1" si="335"/>
        <v>0</v>
      </c>
      <c r="BU397" s="192"/>
      <c r="BV397" s="192"/>
      <c r="BW397" s="192" t="str">
        <f t="shared" ca="1" si="336"/>
        <v>Atea Sverige AB</v>
      </c>
      <c r="BX397" s="192" t="str">
        <f t="shared" ca="1" si="336"/>
        <v>HP</v>
      </c>
      <c r="BY397" s="185"/>
      <c r="BZ397" s="185"/>
      <c r="CA397" s="185"/>
      <c r="CB397" s="185"/>
      <c r="CC397" s="185"/>
      <c r="CD397" s="185"/>
      <c r="CE397" s="185"/>
      <c r="CF397" s="185"/>
      <c r="CG397" s="186"/>
      <c r="CH397" s="186"/>
      <c r="CI397" s="185"/>
      <c r="CJ397" s="185"/>
      <c r="CK397" s="185"/>
      <c r="CL397" s="185"/>
      <c r="CM397" s="185"/>
    </row>
    <row r="398" spans="2:91" ht="22.5" customHeight="1" outlineLevel="1" x14ac:dyDescent="0.35">
      <c r="C398" s="61" t="s">
        <v>4</v>
      </c>
      <c r="D398" s="64"/>
      <c r="F398" s="78" t="str">
        <f t="shared" si="337"/>
        <v/>
      </c>
      <c r="G398" s="79" t="str">
        <f t="shared" ca="1" si="338"/>
        <v>Intel Celeron</v>
      </c>
      <c r="H398" s="79" t="str">
        <f t="shared" ca="1" si="338"/>
        <v>Intel Celeron</v>
      </c>
      <c r="I398" s="120" t="str">
        <f t="shared" ca="1" si="338"/>
        <v>Intel Celeron</v>
      </c>
      <c r="J398" s="62"/>
      <c r="K398" s="185">
        <f t="shared" ca="1" si="312"/>
        <v>0</v>
      </c>
      <c r="L398" s="185" t="b">
        <f t="shared" si="313"/>
        <v>1</v>
      </c>
      <c r="M398" s="185" t="s">
        <v>167</v>
      </c>
      <c r="N398" s="185" t="e">
        <f t="shared" ca="1" si="314"/>
        <v>#N/A</v>
      </c>
      <c r="O398" s="185" cm="1">
        <f t="array" aca="1" ref="O398" ca="1">MIN(IF(($BW$394:$BW$415=M398)*($AO$394:$AO$415=$O$391),$Y$394:$Y$415))</f>
        <v>0</v>
      </c>
      <c r="P398" s="197"/>
      <c r="Q398" s="185">
        <f t="shared" si="315"/>
        <v>0</v>
      </c>
      <c r="R398" s="185">
        <f t="shared" si="316"/>
        <v>0</v>
      </c>
      <c r="S398" s="185">
        <f t="shared" si="317"/>
        <v>0</v>
      </c>
      <c r="T398" s="185">
        <f t="shared" si="318"/>
        <v>0</v>
      </c>
      <c r="U398" s="185">
        <f t="shared" si="319"/>
        <v>0</v>
      </c>
      <c r="V398" s="185">
        <f t="shared" si="320"/>
        <v>0</v>
      </c>
      <c r="W398" s="185">
        <f t="shared" si="321"/>
        <v>0</v>
      </c>
      <c r="X398" s="185">
        <f t="shared" si="322"/>
        <v>0</v>
      </c>
      <c r="Y398" s="185">
        <f t="shared" ca="1" si="323"/>
        <v>3415</v>
      </c>
      <c r="Z398" s="185" t="str">
        <f t="shared" si="324"/>
        <v>Offererad produktnr. 05Dustin Sverige AB</v>
      </c>
      <c r="AA398" s="185" t="b">
        <f t="shared" si="325"/>
        <v>1</v>
      </c>
      <c r="AB398" s="185" t="b">
        <f t="shared" si="326"/>
        <v>1</v>
      </c>
      <c r="AC398" s="185" t="b">
        <f t="shared" si="327"/>
        <v>1</v>
      </c>
      <c r="AD398" s="185" t="b">
        <f t="shared" si="328"/>
        <v>1</v>
      </c>
      <c r="AE398" s="185" t="b">
        <f>IF($D$396="",TRUE,IF(COUNTIF(Processor!$I$2:$I$9,$D$396)&gt;0,AND(AT398&gt;INDEX(Processor!$J$2:$J$9,MATCH($D$396,Processor!$I$2:$I$9,0)),AT398&lt;INDEX(Processor!$K$2:$K$9,MATCH($D$396,Processor!$I$2:$I$9,0))),IF(AT398=$D$396,TRUE,FALSE)))</f>
        <v>1</v>
      </c>
      <c r="AF398" s="185" t="b">
        <f t="shared" si="329"/>
        <v>1</v>
      </c>
      <c r="AG398" s="185" t="b">
        <f t="shared" si="330"/>
        <v>1</v>
      </c>
      <c r="AH398" s="185" t="b">
        <f t="shared" si="331"/>
        <v>1</v>
      </c>
      <c r="AI398" s="185" t="b">
        <f t="shared" si="332"/>
        <v>1</v>
      </c>
      <c r="AJ398" s="185" t="b">
        <f>IFERROR(IF($D406="",TRUE,IF(MID(BA398,LEN(BA398)-2,1)*1&gt;=MID($D406,LEN($D406)-2,1)*1,TRUE,FALSE)),FALSE)</f>
        <v>1</v>
      </c>
      <c r="AK398" s="185"/>
      <c r="AL398" s="185"/>
      <c r="AM398" s="185"/>
      <c r="AN398" s="185" t="s">
        <v>178</v>
      </c>
      <c r="AO398" s="185">
        <v>1</v>
      </c>
      <c r="AP398" s="185" t="str">
        <f t="shared" ca="1" si="333"/>
        <v>1366x768</v>
      </c>
      <c r="AQ398" s="185" t="str">
        <f t="shared" ca="1" si="333"/>
        <v>Intel Celeron</v>
      </c>
      <c r="AR398" s="185">
        <f t="shared" ca="1" si="333"/>
        <v>4</v>
      </c>
      <c r="AS398" s="185">
        <f t="shared" ca="1" si="333"/>
        <v>32</v>
      </c>
      <c r="AT398" s="185">
        <f t="shared" ca="1" si="333"/>
        <v>11.6</v>
      </c>
      <c r="AU398" s="185">
        <f t="shared" ca="1" si="333"/>
        <v>4</v>
      </c>
      <c r="AV398" s="185">
        <f t="shared" ca="1" si="333"/>
        <v>2</v>
      </c>
      <c r="AW398" s="185">
        <f t="shared" ca="1" si="333"/>
        <v>0</v>
      </c>
      <c r="AX398" s="185" t="str">
        <f t="shared" ca="1" si="333"/>
        <v>802.11a/b/g/n/ac/ax</v>
      </c>
      <c r="AY398" s="185">
        <f t="shared" ca="1" si="333"/>
        <v>5</v>
      </c>
      <c r="AZ398" s="185">
        <f t="shared" ca="1" si="334"/>
        <v>11</v>
      </c>
      <c r="BA398" s="185" t="str">
        <f t="shared" ca="1" si="334"/>
        <v>Version 8.0</v>
      </c>
      <c r="BB398" s="185" t="str">
        <f t="shared" ca="1" si="334"/>
        <v>Ja</v>
      </c>
      <c r="BC398" s="185" t="str">
        <f t="shared" ca="1" si="334"/>
        <v>Google Chrome OS</v>
      </c>
      <c r="BD398" s="185" t="str">
        <f t="shared" ca="1" si="334"/>
        <v>ChromeBook 11 G9 EE</v>
      </c>
      <c r="BE398" s="185">
        <f t="shared" ca="1" si="334"/>
        <v>3415</v>
      </c>
      <c r="BF398" s="192">
        <f t="shared" ca="1" si="334"/>
        <v>87</v>
      </c>
      <c r="BG398" s="192">
        <f t="shared" ca="1" si="334"/>
        <v>123</v>
      </c>
      <c r="BH398" s="192">
        <f t="shared" ca="1" si="334"/>
        <v>249</v>
      </c>
      <c r="BI398" s="192">
        <f t="shared" ca="1" si="334"/>
        <v>131</v>
      </c>
      <c r="BJ398" s="192">
        <f t="shared" ca="1" si="335"/>
        <v>133</v>
      </c>
      <c r="BK398" s="192">
        <f t="shared" ca="1" si="335"/>
        <v>20</v>
      </c>
      <c r="BL398" s="192">
        <f t="shared" ca="1" si="335"/>
        <v>20</v>
      </c>
      <c r="BM398" s="192" t="str">
        <f t="shared" ca="1" si="335"/>
        <v>Cirafon</v>
      </c>
      <c r="BN398" s="192" t="str">
        <f t="shared" ca="1" si="335"/>
        <v>Cirafon</v>
      </c>
      <c r="BO398" s="192" t="str">
        <f t="shared" ca="1" si="335"/>
        <v>HP</v>
      </c>
      <c r="BP398" s="192">
        <f t="shared" ca="1" si="335"/>
        <v>0</v>
      </c>
      <c r="BQ398" s="192" t="str">
        <f t="shared" ca="1" si="335"/>
        <v>LSN9117-11</v>
      </c>
      <c r="BR398" s="192" t="str">
        <f t="shared" ca="1" si="335"/>
        <v>DPF11.6-9</v>
      </c>
      <c r="BS398" s="192" t="str">
        <f t="shared" ca="1" si="335"/>
        <v>1MZ01AA</v>
      </c>
      <c r="BT398" s="192">
        <f t="shared" ca="1" si="335"/>
        <v>0</v>
      </c>
      <c r="BU398" s="192"/>
      <c r="BV398" s="192"/>
      <c r="BW398" s="192" t="str">
        <f t="shared" ca="1" si="336"/>
        <v>Dustin Sverige AB</v>
      </c>
      <c r="BX398" s="192" t="str">
        <f t="shared" ca="1" si="336"/>
        <v>HP</v>
      </c>
      <c r="BY398" s="185"/>
      <c r="BZ398" s="185"/>
      <c r="CA398" s="185"/>
      <c r="CB398" s="185"/>
      <c r="CC398" s="185">
        <v>0</v>
      </c>
      <c r="CD398" s="185"/>
      <c r="CE398" s="185"/>
      <c r="CF398" s="185"/>
      <c r="CG398" s="186">
        <v>0</v>
      </c>
      <c r="CH398" s="185"/>
      <c r="CI398" s="185"/>
      <c r="CJ398" s="185"/>
      <c r="CK398" s="185"/>
      <c r="CL398" s="185"/>
      <c r="CM398" s="185"/>
    </row>
    <row r="399" spans="2:91" ht="22.5" customHeight="1" outlineLevel="1" x14ac:dyDescent="0.35">
      <c r="C399" s="61" t="s">
        <v>119</v>
      </c>
      <c r="D399" s="64"/>
      <c r="F399" s="78" t="str">
        <f t="shared" si="337"/>
        <v/>
      </c>
      <c r="G399" s="79">
        <f t="shared" ca="1" si="338"/>
        <v>4</v>
      </c>
      <c r="H399" s="79">
        <f t="shared" ca="1" si="338"/>
        <v>4</v>
      </c>
      <c r="I399" s="120">
        <f t="shared" ca="1" si="338"/>
        <v>8</v>
      </c>
      <c r="J399" s="62"/>
      <c r="K399" s="185">
        <f t="shared" ca="1" si="312"/>
        <v>0</v>
      </c>
      <c r="L399" s="185" t="b">
        <f t="shared" si="313"/>
        <v>1</v>
      </c>
      <c r="M399" s="185" t="s">
        <v>546</v>
      </c>
      <c r="N399" s="185" t="str">
        <f t="shared" ca="1" si="314"/>
        <v>Offererad produktnr. 05Qlosr Göteborg AB</v>
      </c>
      <c r="O399" s="185" cm="1">
        <f t="array" aca="1" ref="O399" ca="1">MIN(IF(($BW$394:$BW$415=M399)*($AO$394:$AO$415=$O$391),$Y$394:$Y$415))</f>
        <v>2950</v>
      </c>
      <c r="P399" s="197"/>
      <c r="Q399" s="185">
        <f t="shared" si="315"/>
        <v>0</v>
      </c>
      <c r="R399" s="185">
        <f t="shared" si="316"/>
        <v>0</v>
      </c>
      <c r="S399" s="185">
        <f t="shared" si="317"/>
        <v>0</v>
      </c>
      <c r="T399" s="185">
        <f t="shared" si="318"/>
        <v>0</v>
      </c>
      <c r="U399" s="185">
        <f t="shared" si="319"/>
        <v>0</v>
      </c>
      <c r="V399" s="185">
        <f t="shared" si="320"/>
        <v>0</v>
      </c>
      <c r="W399" s="185">
        <f t="shared" si="321"/>
        <v>0</v>
      </c>
      <c r="X399" s="185">
        <f t="shared" si="322"/>
        <v>0</v>
      </c>
      <c r="Y399" s="185">
        <f t="shared" ca="1" si="323"/>
        <v>4088</v>
      </c>
      <c r="Z399" s="185" t="str">
        <f t="shared" si="324"/>
        <v>Offererad produktnr. 06Dustin Sverige AB</v>
      </c>
      <c r="AA399" s="185" t="b">
        <f t="shared" si="325"/>
        <v>1</v>
      </c>
      <c r="AB399" s="185" t="b">
        <f t="shared" si="326"/>
        <v>1</v>
      </c>
      <c r="AC399" s="185" t="b">
        <f t="shared" si="327"/>
        <v>1</v>
      </c>
      <c r="AD399" s="185" t="b">
        <f t="shared" si="328"/>
        <v>1</v>
      </c>
      <c r="AE399" s="185" t="b">
        <f>IF($D$396="",TRUE,IF(COUNTIF(Processor!$I$2:$I$9,$D$396)&gt;0,AND(AT399&gt;INDEX(Processor!$J$2:$J$9,MATCH($D$396,Processor!$I$2:$I$9,0)),AT399&lt;INDEX(Processor!$K$2:$K$9,MATCH($D$396,Processor!$I$2:$I$9,0))),IF(AT399=$D$396,TRUE,FALSE)))</f>
        <v>1</v>
      </c>
      <c r="AF399" s="185" t="b">
        <f t="shared" si="329"/>
        <v>1</v>
      </c>
      <c r="AG399" s="185" t="b">
        <f t="shared" si="330"/>
        <v>1</v>
      </c>
      <c r="AH399" s="185" t="b">
        <f t="shared" si="331"/>
        <v>1</v>
      </c>
      <c r="AI399" s="185" t="b">
        <f t="shared" si="332"/>
        <v>1</v>
      </c>
      <c r="AJ399" s="185" t="b">
        <f>IFERROR(IF($D406="",TRUE,IF(MID(BA399,LEN(BA399)-2,1)*1&gt;=MID($D406,LEN($D406)-2,1)*1,TRUE,FALSE)),FALSE)</f>
        <v>1</v>
      </c>
      <c r="AK399" s="185"/>
      <c r="AL399" s="185"/>
      <c r="AM399" s="185"/>
      <c r="AN399" s="185" t="s">
        <v>179</v>
      </c>
      <c r="AO399" s="185">
        <v>1</v>
      </c>
      <c r="AP399" s="185" t="str">
        <f t="shared" ca="1" si="333"/>
        <v>1920x1080</v>
      </c>
      <c r="AQ399" s="185" t="str">
        <f t="shared" ca="1" si="333"/>
        <v>Intel Celeron</v>
      </c>
      <c r="AR399" s="185">
        <f t="shared" ca="1" si="333"/>
        <v>8</v>
      </c>
      <c r="AS399" s="185">
        <f t="shared" ca="1" si="333"/>
        <v>64</v>
      </c>
      <c r="AT399" s="185">
        <f t="shared" ca="1" si="333"/>
        <v>14</v>
      </c>
      <c r="AU399" s="185">
        <f t="shared" ca="1" si="333"/>
        <v>3</v>
      </c>
      <c r="AV399" s="185">
        <f t="shared" ca="1" si="333"/>
        <v>1</v>
      </c>
      <c r="AW399" s="185">
        <f t="shared" ca="1" si="333"/>
        <v>0</v>
      </c>
      <c r="AX399" s="185" t="str">
        <f t="shared" ca="1" si="333"/>
        <v>802.11a/b/g/n/ac/ax</v>
      </c>
      <c r="AY399" s="185">
        <f t="shared" ca="1" si="333"/>
        <v>5.0999999999999996</v>
      </c>
      <c r="AZ399" s="185">
        <f t="shared" ca="1" si="334"/>
        <v>11</v>
      </c>
      <c r="BA399" s="185" t="str">
        <f t="shared" ca="1" si="334"/>
        <v>Version 8.0</v>
      </c>
      <c r="BB399" s="185" t="str">
        <f t="shared" ca="1" si="334"/>
        <v>Ja</v>
      </c>
      <c r="BC399" s="185" t="str">
        <f t="shared" ca="1" si="334"/>
        <v>Google Chrome OS</v>
      </c>
      <c r="BD399" s="185" t="str">
        <f t="shared" ca="1" si="334"/>
        <v>Chromebook 14 G7</v>
      </c>
      <c r="BE399" s="185">
        <f t="shared" ca="1" si="334"/>
        <v>4088</v>
      </c>
      <c r="BF399" s="192">
        <f t="shared" ca="1" si="334"/>
        <v>123</v>
      </c>
      <c r="BG399" s="192">
        <f t="shared" ca="1" si="334"/>
        <v>425</v>
      </c>
      <c r="BH399" s="192">
        <f t="shared" ca="1" si="334"/>
        <v>249</v>
      </c>
      <c r="BI399" s="192">
        <f t="shared" ca="1" si="334"/>
        <v>131</v>
      </c>
      <c r="BJ399" s="192">
        <f t="shared" ca="1" si="335"/>
        <v>133</v>
      </c>
      <c r="BK399" s="192">
        <f t="shared" ca="1" si="335"/>
        <v>20</v>
      </c>
      <c r="BL399" s="192">
        <f t="shared" ca="1" si="335"/>
        <v>20</v>
      </c>
      <c r="BM399" s="192" t="str">
        <f t="shared" ca="1" si="335"/>
        <v>Cirafon</v>
      </c>
      <c r="BN399" s="192" t="str">
        <f t="shared" ca="1" si="335"/>
        <v>Cirafon</v>
      </c>
      <c r="BO399" s="192" t="str">
        <f t="shared" ca="1" si="335"/>
        <v>HP</v>
      </c>
      <c r="BP399" s="192">
        <f t="shared" ca="1" si="335"/>
        <v>0</v>
      </c>
      <c r="BQ399" s="192" t="str">
        <f t="shared" ca="1" si="335"/>
        <v>LSN8696R2-14.1</v>
      </c>
      <c r="BR399" s="192" t="str">
        <f t="shared" ca="1" si="335"/>
        <v>DPF14-9</v>
      </c>
      <c r="BS399" s="192" t="str">
        <f t="shared" ca="1" si="335"/>
        <v>1MZ01AA</v>
      </c>
      <c r="BT399" s="192">
        <f t="shared" ca="1" si="335"/>
        <v>0</v>
      </c>
      <c r="BU399" s="192"/>
      <c r="BV399" s="192"/>
      <c r="BW399" s="192" t="str">
        <f t="shared" ca="1" si="336"/>
        <v>Dustin Sverige AB</v>
      </c>
      <c r="BX399" s="192" t="str">
        <f t="shared" ca="1" si="336"/>
        <v>HP</v>
      </c>
      <c r="BY399" s="185"/>
      <c r="BZ399" s="185"/>
      <c r="CA399" s="185"/>
      <c r="CB399" s="185"/>
      <c r="CC399" s="185"/>
      <c r="CD399" s="185"/>
      <c r="CE399" s="185"/>
      <c r="CF399" s="185"/>
      <c r="CG399" s="185"/>
      <c r="CH399" s="185"/>
      <c r="CI399" s="185"/>
      <c r="CJ399" s="185"/>
      <c r="CK399" s="185"/>
      <c r="CL399" s="185"/>
      <c r="CM399" s="185"/>
    </row>
    <row r="400" spans="2:91" ht="22.5" customHeight="1" outlineLevel="1" x14ac:dyDescent="0.35">
      <c r="C400" s="61" t="s">
        <v>16</v>
      </c>
      <c r="D400" s="64"/>
      <c r="F400" s="78" t="str">
        <f t="shared" si="337"/>
        <v/>
      </c>
      <c r="G400" s="79">
        <f t="shared" ca="1" si="338"/>
        <v>32</v>
      </c>
      <c r="H400" s="79">
        <f t="shared" ca="1" si="338"/>
        <v>32</v>
      </c>
      <c r="I400" s="120">
        <f t="shared" ca="1" si="338"/>
        <v>64</v>
      </c>
      <c r="J400" s="62"/>
      <c r="Q400" s="185">
        <f t="shared" si="315"/>
        <v>0</v>
      </c>
      <c r="R400" s="185">
        <f t="shared" si="316"/>
        <v>0</v>
      </c>
      <c r="S400" s="185">
        <f t="shared" si="317"/>
        <v>0</v>
      </c>
      <c r="T400" s="185">
        <f t="shared" si="318"/>
        <v>0</v>
      </c>
      <c r="U400" s="185">
        <f t="shared" si="319"/>
        <v>0</v>
      </c>
      <c r="V400" s="185">
        <f t="shared" si="320"/>
        <v>0</v>
      </c>
      <c r="W400" s="185">
        <f t="shared" si="321"/>
        <v>0</v>
      </c>
      <c r="X400" s="185">
        <f t="shared" si="322"/>
        <v>0</v>
      </c>
      <c r="Y400" s="185">
        <f t="shared" ca="1" si="323"/>
        <v>3636</v>
      </c>
      <c r="Z400" s="185" t="str">
        <f t="shared" si="324"/>
        <v>Offererad produktnr. 05Foxway Education AB</v>
      </c>
      <c r="AA400" s="185" t="b">
        <f t="shared" si="325"/>
        <v>1</v>
      </c>
      <c r="AB400" s="185" t="b">
        <f t="shared" si="326"/>
        <v>1</v>
      </c>
      <c r="AC400" s="185" t="b">
        <f t="shared" si="327"/>
        <v>1</v>
      </c>
      <c r="AD400" s="185" t="b">
        <f t="shared" si="328"/>
        <v>1</v>
      </c>
      <c r="AE400" s="185" t="b">
        <f>IF($D$396="",TRUE,IF(COUNTIF(Processor!$I$2:$I$9,$D$396)&gt;0,AND(AT400&gt;INDEX(Processor!$J$2:$J$9,MATCH($D$396,Processor!$I$2:$I$9,0)),AT400&lt;INDEX(Processor!$K$2:$K$9,MATCH($D$396,Processor!$I$2:$I$9,0))),IF(AT400=$D$396,TRUE,FALSE)))</f>
        <v>1</v>
      </c>
      <c r="AF400" s="185" t="b">
        <f t="shared" si="329"/>
        <v>1</v>
      </c>
      <c r="AG400" s="185" t="b">
        <f t="shared" si="330"/>
        <v>1</v>
      </c>
      <c r="AH400" s="185" t="b">
        <f t="shared" si="331"/>
        <v>1</v>
      </c>
      <c r="AI400" s="185" t="b">
        <f t="shared" si="332"/>
        <v>1</v>
      </c>
      <c r="AJ400" s="185" t="b">
        <f>IFERROR(IF($D406="",TRUE,IF(MID(BA400,LEN(BA400)-2,1)*1&gt;=MID($D406,LEN($D406)-2,1)*1,TRUE,FALSE)),FALSE)</f>
        <v>1</v>
      </c>
      <c r="AK400" s="185"/>
      <c r="AL400" s="185"/>
      <c r="AM400" s="185"/>
      <c r="AN400" s="185" t="s">
        <v>214</v>
      </c>
      <c r="AO400" s="185">
        <v>1</v>
      </c>
      <c r="AP400" s="185" t="str">
        <f t="shared" ca="1" si="333"/>
        <v>1366x768</v>
      </c>
      <c r="AQ400" s="185" t="str">
        <f t="shared" ca="1" si="333"/>
        <v>MT8186</v>
      </c>
      <c r="AR400" s="185">
        <f t="shared" ca="1" si="333"/>
        <v>4</v>
      </c>
      <c r="AS400" s="185">
        <f t="shared" ca="1" si="333"/>
        <v>32</v>
      </c>
      <c r="AT400" s="185">
        <f t="shared" ca="1" si="333"/>
        <v>11.6</v>
      </c>
      <c r="AU400" s="185">
        <f t="shared" ca="1" si="333"/>
        <v>3</v>
      </c>
      <c r="AV400" s="185">
        <f t="shared" ca="1" si="333"/>
        <v>1</v>
      </c>
      <c r="AW400" s="185">
        <f t="shared" ca="1" si="333"/>
        <v>0</v>
      </c>
      <c r="AX400" s="185" t="str">
        <f t="shared" ca="1" si="333"/>
        <v>802.11a/b/g/n/ac</v>
      </c>
      <c r="AY400" s="185">
        <f t="shared" ca="1" si="333"/>
        <v>5.0999999999999996</v>
      </c>
      <c r="AZ400" s="185">
        <f t="shared" ca="1" si="334"/>
        <v>11</v>
      </c>
      <c r="BA400" s="185" t="str">
        <f t="shared" ca="1" si="334"/>
        <v>Version 8.0</v>
      </c>
      <c r="BB400" s="185" t="str">
        <f t="shared" ca="1" si="334"/>
        <v>Ja</v>
      </c>
      <c r="BC400" s="185" t="str">
        <f t="shared" ca="1" si="334"/>
        <v>Google Chrome OS</v>
      </c>
      <c r="BD400" s="185" t="str">
        <f t="shared" ca="1" si="334"/>
        <v>100e Chr Gen4</v>
      </c>
      <c r="BE400" s="185">
        <f t="shared" ca="1" si="334"/>
        <v>3636</v>
      </c>
      <c r="BF400" s="192">
        <f t="shared" ca="1" si="334"/>
        <v>78</v>
      </c>
      <c r="BG400" s="192">
        <f t="shared" ca="1" si="334"/>
        <v>240</v>
      </c>
      <c r="BH400" s="192">
        <f t="shared" ca="1" si="334"/>
        <v>210</v>
      </c>
      <c r="BI400" s="192">
        <f t="shared" ca="1" si="334"/>
        <v>405</v>
      </c>
      <c r="BJ400" s="192">
        <f t="shared" ca="1" si="335"/>
        <v>185</v>
      </c>
      <c r="BK400" s="192">
        <f t="shared" ca="1" si="335"/>
        <v>60</v>
      </c>
      <c r="BL400" s="192">
        <f t="shared" ca="1" si="335"/>
        <v>50</v>
      </c>
      <c r="BM400" s="192" t="str">
        <f t="shared" ca="1" si="335"/>
        <v>V7</v>
      </c>
      <c r="BN400" s="192" t="str">
        <f t="shared" ca="1" si="335"/>
        <v>Lenovo</v>
      </c>
      <c r="BO400" s="192" t="str">
        <f t="shared" ca="1" si="335"/>
        <v>Lenovo</v>
      </c>
      <c r="BP400" s="192">
        <f t="shared" ca="1" si="335"/>
        <v>0</v>
      </c>
      <c r="BQ400" s="192" t="str">
        <f t="shared" ca="1" si="335"/>
        <v>V7 Elite Sleeve 12"</v>
      </c>
      <c r="BR400" s="192" t="str">
        <f t="shared" ca="1" si="335"/>
        <v>Lenovo 11.6" Privacy Filter</v>
      </c>
      <c r="BS400" s="192" t="str">
        <f t="shared" ca="1" si="335"/>
        <v>Power adapter USB-C 45w</v>
      </c>
      <c r="BT400" s="192">
        <f t="shared" ca="1" si="335"/>
        <v>0</v>
      </c>
      <c r="BU400" s="192"/>
      <c r="BV400" s="192"/>
      <c r="BW400" s="192" t="str">
        <f t="shared" ca="1" si="336"/>
        <v>Foxway Education AB</v>
      </c>
      <c r="BX400" s="192" t="str">
        <f t="shared" ca="1" si="336"/>
        <v>Lenovo</v>
      </c>
      <c r="BY400" s="185"/>
      <c r="BZ400" s="185"/>
      <c r="CA400" s="185"/>
      <c r="CB400" s="185"/>
      <c r="CC400" s="185"/>
      <c r="CD400" s="185"/>
      <c r="CE400" s="185"/>
      <c r="CF400" s="185"/>
      <c r="CG400" s="185"/>
      <c r="CH400" s="185"/>
      <c r="CI400" s="185"/>
      <c r="CJ400" s="185"/>
      <c r="CK400" s="185"/>
      <c r="CL400" s="185"/>
      <c r="CM400" s="185"/>
    </row>
    <row r="401" spans="2:91" ht="22.5" customHeight="1" outlineLevel="1" x14ac:dyDescent="0.35">
      <c r="C401" s="61" t="s">
        <v>67</v>
      </c>
      <c r="D401" s="64"/>
      <c r="F401" s="78" t="str">
        <f t="shared" si="337"/>
        <v/>
      </c>
      <c r="G401" s="79">
        <f t="shared" ca="1" si="338"/>
        <v>2</v>
      </c>
      <c r="H401" s="79">
        <f t="shared" ca="1" si="338"/>
        <v>4</v>
      </c>
      <c r="I401" s="120">
        <f t="shared" ca="1" si="338"/>
        <v>3</v>
      </c>
      <c r="J401" s="62"/>
      <c r="Q401" s="185">
        <f t="shared" si="315"/>
        <v>0</v>
      </c>
      <c r="R401" s="185">
        <f t="shared" si="316"/>
        <v>0</v>
      </c>
      <c r="S401" s="185">
        <f t="shared" si="317"/>
        <v>0</v>
      </c>
      <c r="T401" s="185">
        <f t="shared" si="318"/>
        <v>0</v>
      </c>
      <c r="U401" s="185">
        <f t="shared" si="319"/>
        <v>0</v>
      </c>
      <c r="V401" s="185">
        <f t="shared" si="320"/>
        <v>0</v>
      </c>
      <c r="W401" s="185">
        <f t="shared" si="321"/>
        <v>0</v>
      </c>
      <c r="X401" s="185">
        <f t="shared" si="322"/>
        <v>0</v>
      </c>
      <c r="Y401" s="185">
        <f t="shared" ca="1" si="323"/>
        <v>5133</v>
      </c>
      <c r="Z401" s="185" t="str">
        <f t="shared" si="324"/>
        <v>Offererad produktnr. 06Foxway Education AB</v>
      </c>
      <c r="AA401" s="185" t="b">
        <f t="shared" si="325"/>
        <v>1</v>
      </c>
      <c r="AB401" s="185" t="b">
        <f t="shared" si="326"/>
        <v>1</v>
      </c>
      <c r="AC401" s="185" t="b">
        <f t="shared" si="327"/>
        <v>1</v>
      </c>
      <c r="AD401" s="185" t="b">
        <f t="shared" si="328"/>
        <v>1</v>
      </c>
      <c r="AE401" s="185" t="b">
        <f>IF($D$396="",TRUE,IF(COUNTIF(Processor!$I$2:$I$9,$D$396)&gt;0,AND(AT401&gt;INDEX(Processor!$J$2:$J$9,MATCH($D$396,Processor!$I$2:$I$9,0)),AT401&lt;INDEX(Processor!$K$2:$K$9,MATCH($D$396,Processor!$I$2:$I$9,0))),IF(AT401=$D$396,TRUE,FALSE)))</f>
        <v>1</v>
      </c>
      <c r="AF401" s="185" t="b">
        <f t="shared" si="329"/>
        <v>1</v>
      </c>
      <c r="AG401" s="185" t="b">
        <f t="shared" si="330"/>
        <v>1</v>
      </c>
      <c r="AH401" s="185" t="b">
        <f t="shared" si="331"/>
        <v>1</v>
      </c>
      <c r="AI401" s="185" t="b">
        <f t="shared" si="332"/>
        <v>1</v>
      </c>
      <c r="AJ401" s="185" t="b">
        <f>IFERROR(IF($D406="",TRUE,IF(MID(BA401,LEN(BA401)-2,1)*1&gt;=MID($D406,LEN($D406)-2,1)*1,TRUE,FALSE)),FALSE)</f>
        <v>1</v>
      </c>
      <c r="AK401" s="185"/>
      <c r="AL401" s="185"/>
      <c r="AM401" s="185"/>
      <c r="AN401" s="185" t="s">
        <v>215</v>
      </c>
      <c r="AO401" s="185">
        <v>1</v>
      </c>
      <c r="AP401" s="185" t="str">
        <f t="shared" ca="1" si="333"/>
        <v>1920x1080</v>
      </c>
      <c r="AQ401" s="185" t="str">
        <f t="shared" ca="1" si="333"/>
        <v>Intel Celeron</v>
      </c>
      <c r="AR401" s="185">
        <f t="shared" ca="1" si="333"/>
        <v>8</v>
      </c>
      <c r="AS401" s="185">
        <f t="shared" ca="1" si="333"/>
        <v>64</v>
      </c>
      <c r="AT401" s="185">
        <f t="shared" ca="1" si="333"/>
        <v>14</v>
      </c>
      <c r="AU401" s="185">
        <f t="shared" ca="1" si="333"/>
        <v>3</v>
      </c>
      <c r="AV401" s="185">
        <f t="shared" ca="1" si="333"/>
        <v>1</v>
      </c>
      <c r="AW401" s="185">
        <f t="shared" ca="1" si="333"/>
        <v>0</v>
      </c>
      <c r="AX401" s="185" t="str">
        <f t="shared" ca="1" si="333"/>
        <v>802.11a/b/g/n/ac/ax</v>
      </c>
      <c r="AY401" s="185">
        <f t="shared" ca="1" si="333"/>
        <v>5</v>
      </c>
      <c r="AZ401" s="185">
        <f t="shared" ca="1" si="334"/>
        <v>11</v>
      </c>
      <c r="BA401" s="185" t="str">
        <f t="shared" ca="1" si="334"/>
        <v>Version 8.0</v>
      </c>
      <c r="BB401" s="185" t="str">
        <f t="shared" ca="1" si="334"/>
        <v>Ja</v>
      </c>
      <c r="BC401" s="185" t="str">
        <f t="shared" ca="1" si="334"/>
        <v>Google Chrome OS</v>
      </c>
      <c r="BD401" s="185" t="str">
        <f t="shared" ca="1" si="334"/>
        <v>Chromebook 14 G7</v>
      </c>
      <c r="BE401" s="185">
        <f t="shared" ca="1" si="334"/>
        <v>5133</v>
      </c>
      <c r="BF401" s="192">
        <f t="shared" ca="1" si="334"/>
        <v>78</v>
      </c>
      <c r="BG401" s="192">
        <f t="shared" ca="1" si="334"/>
        <v>276</v>
      </c>
      <c r="BH401" s="192">
        <f t="shared" ca="1" si="334"/>
        <v>240</v>
      </c>
      <c r="BI401" s="192">
        <f t="shared" ca="1" si="334"/>
        <v>162</v>
      </c>
      <c r="BJ401" s="192">
        <f t="shared" ca="1" si="335"/>
        <v>185</v>
      </c>
      <c r="BK401" s="192">
        <f t="shared" ca="1" si="335"/>
        <v>60</v>
      </c>
      <c r="BL401" s="192">
        <f t="shared" ca="1" si="335"/>
        <v>50</v>
      </c>
      <c r="BM401" s="192" t="str">
        <f t="shared" ca="1" si="335"/>
        <v>V7</v>
      </c>
      <c r="BN401" s="192" t="str">
        <f t="shared" ca="1" si="335"/>
        <v>Targus</v>
      </c>
      <c r="BO401" s="192" t="str">
        <f t="shared" ca="1" si="335"/>
        <v>HP</v>
      </c>
      <c r="BP401" s="192">
        <f t="shared" ca="1" si="335"/>
        <v>0</v>
      </c>
      <c r="BQ401" s="192" t="str">
        <f t="shared" ca="1" si="335"/>
        <v>V7 Elite Sleeve 12"</v>
      </c>
      <c r="BR401" s="192" t="str">
        <f t="shared" ca="1" si="335"/>
        <v>Targus Privacy Screen 14"</v>
      </c>
      <c r="BS401" s="192" t="str">
        <f t="shared" ca="1" si="335"/>
        <v>HP 45W USB-C Power Adapter G2</v>
      </c>
      <c r="BT401" s="192">
        <f t="shared" ca="1" si="335"/>
        <v>0</v>
      </c>
      <c r="BU401" s="192"/>
      <c r="BV401" s="192"/>
      <c r="BW401" s="192" t="str">
        <f t="shared" ca="1" si="336"/>
        <v>Foxway Education AB</v>
      </c>
      <c r="BX401" s="192" t="str">
        <f t="shared" ca="1" si="336"/>
        <v>HP</v>
      </c>
      <c r="BY401" s="185"/>
      <c r="BZ401" s="185"/>
      <c r="CA401" s="185"/>
      <c r="CB401" s="185"/>
      <c r="CC401" s="185"/>
      <c r="CD401" s="185"/>
      <c r="CE401" s="185"/>
      <c r="CF401" s="185"/>
      <c r="CG401" s="185"/>
      <c r="CH401" s="185"/>
      <c r="CI401" s="185"/>
      <c r="CJ401" s="185"/>
      <c r="CK401" s="185"/>
      <c r="CL401" s="185"/>
      <c r="CM401" s="185"/>
    </row>
    <row r="402" spans="2:91" ht="22.5" customHeight="1" outlineLevel="1" x14ac:dyDescent="0.35">
      <c r="C402" s="61" t="s">
        <v>74</v>
      </c>
      <c r="D402" s="64"/>
      <c r="F402" s="78" t="str">
        <f t="shared" si="337"/>
        <v/>
      </c>
      <c r="G402" s="79">
        <f t="shared" ca="1" si="338"/>
        <v>1</v>
      </c>
      <c r="H402" s="79">
        <f t="shared" ca="1" si="338"/>
        <v>2</v>
      </c>
      <c r="I402" s="120">
        <f t="shared" ca="1" si="338"/>
        <v>1</v>
      </c>
      <c r="J402" s="62"/>
      <c r="Q402" s="185">
        <f t="shared" si="315"/>
        <v>0</v>
      </c>
      <c r="R402" s="185">
        <f t="shared" si="316"/>
        <v>0</v>
      </c>
      <c r="S402" s="185">
        <f t="shared" si="317"/>
        <v>0</v>
      </c>
      <c r="T402" s="185">
        <f t="shared" si="318"/>
        <v>0</v>
      </c>
      <c r="U402" s="185">
        <f t="shared" si="319"/>
        <v>0</v>
      </c>
      <c r="V402" s="185">
        <f t="shared" si="320"/>
        <v>0</v>
      </c>
      <c r="W402" s="185">
        <f t="shared" si="321"/>
        <v>0</v>
      </c>
      <c r="X402" s="185">
        <f t="shared" si="322"/>
        <v>0</v>
      </c>
      <c r="Y402" s="185">
        <f t="shared" ca="1" si="323"/>
        <v>2950</v>
      </c>
      <c r="Z402" s="185" t="str">
        <f t="shared" si="324"/>
        <v>Offererad produktnr. 05Qlosr Göteborg AB</v>
      </c>
      <c r="AA402" s="185" t="b">
        <f t="shared" si="325"/>
        <v>1</v>
      </c>
      <c r="AB402" s="185" t="b">
        <f t="shared" si="326"/>
        <v>1</v>
      </c>
      <c r="AC402" s="185" t="b">
        <f t="shared" si="327"/>
        <v>1</v>
      </c>
      <c r="AD402" s="185" t="b">
        <f t="shared" si="328"/>
        <v>1</v>
      </c>
      <c r="AE402" s="185" t="b">
        <f>IF($D$396="",TRUE,IF(COUNTIF(Processor!$I$2:$I$9,$D$396)&gt;0,AND(AT402&gt;INDEX(Processor!$J$2:$J$9,MATCH($D$396,Processor!$I$2:$I$9,0)),AT402&lt;INDEX(Processor!$K$2:$K$9,MATCH($D$396,Processor!$I$2:$I$9,0))),IF(AT402=$D$396,TRUE,FALSE)))</f>
        <v>1</v>
      </c>
      <c r="AF402" s="185" t="b">
        <f t="shared" si="329"/>
        <v>1</v>
      </c>
      <c r="AG402" s="185" t="b">
        <f t="shared" si="330"/>
        <v>1</v>
      </c>
      <c r="AH402" s="185" t="b">
        <f t="shared" si="331"/>
        <v>1</v>
      </c>
      <c r="AI402" s="185" t="b">
        <f t="shared" si="332"/>
        <v>1</v>
      </c>
      <c r="AJ402" s="185" t="b">
        <f>IFERROR(IF($D406="",TRUE,IF(MID(BA402,LEN(BA402)-2,1)*1&gt;=MID($D406,LEN($D406)-2,1)*1,TRUE,FALSE)),FALSE)</f>
        <v>1</v>
      </c>
      <c r="AK402" s="185"/>
      <c r="AL402" s="185"/>
      <c r="AM402" s="185"/>
      <c r="AN402" s="185" t="s">
        <v>556</v>
      </c>
      <c r="AO402" s="185">
        <v>1</v>
      </c>
      <c r="AP402" s="185" t="str">
        <f t="shared" ca="1" si="333"/>
        <v>1366x768</v>
      </c>
      <c r="AQ402" s="185" t="str">
        <f t="shared" ca="1" si="333"/>
        <v>Intel Celeron</v>
      </c>
      <c r="AR402" s="185">
        <f t="shared" ca="1" si="333"/>
        <v>4</v>
      </c>
      <c r="AS402" s="185">
        <f t="shared" ca="1" si="333"/>
        <v>32</v>
      </c>
      <c r="AT402" s="185">
        <f t="shared" ca="1" si="333"/>
        <v>11.6</v>
      </c>
      <c r="AU402" s="185">
        <f t="shared" ca="1" si="333"/>
        <v>2</v>
      </c>
      <c r="AV402" s="185">
        <f t="shared" ca="1" si="333"/>
        <v>1</v>
      </c>
      <c r="AW402" s="185">
        <f t="shared" ca="1" si="333"/>
        <v>0</v>
      </c>
      <c r="AX402" s="185" t="str">
        <f t="shared" ca="1" si="333"/>
        <v>802.11a/b/g/n/ac/ax</v>
      </c>
      <c r="AY402" s="185">
        <f t="shared" ca="1" si="333"/>
        <v>5.0999999999999996</v>
      </c>
      <c r="AZ402" s="185">
        <f t="shared" ca="1" si="334"/>
        <v>11</v>
      </c>
      <c r="BA402" s="185" t="str">
        <f t="shared" ca="1" si="334"/>
        <v>Version 8.0</v>
      </c>
      <c r="BB402" s="185" t="str">
        <f t="shared" ca="1" si="334"/>
        <v>Ja</v>
      </c>
      <c r="BC402" s="185" t="str">
        <f t="shared" ca="1" si="334"/>
        <v>Google Chrome OS</v>
      </c>
      <c r="BD402" s="185" t="str">
        <f t="shared" ca="1" si="334"/>
        <v>Chromebook 3110</v>
      </c>
      <c r="BE402" s="185">
        <f t="shared" ca="1" si="334"/>
        <v>2950</v>
      </c>
      <c r="BF402" s="192">
        <f t="shared" ca="1" si="334"/>
        <v>59</v>
      </c>
      <c r="BG402" s="192">
        <f t="shared" ca="1" si="334"/>
        <v>287</v>
      </c>
      <c r="BH402" s="192">
        <f t="shared" ca="1" si="334"/>
        <v>240</v>
      </c>
      <c r="BI402" s="192">
        <f t="shared" ca="1" si="334"/>
        <v>275</v>
      </c>
      <c r="BJ402" s="192">
        <f t="shared" ca="1" si="335"/>
        <v>70</v>
      </c>
      <c r="BK402" s="192">
        <f t="shared" ca="1" si="335"/>
        <v>25</v>
      </c>
      <c r="BL402" s="192">
        <f t="shared" ca="1" si="335"/>
        <v>25</v>
      </c>
      <c r="BM402" s="192" t="str">
        <f t="shared" ca="1" si="335"/>
        <v>HP</v>
      </c>
      <c r="BN402" s="192" t="str">
        <f t="shared" ca="1" si="335"/>
        <v>Kapsolo</v>
      </c>
      <c r="BO402" s="192" t="str">
        <f t="shared" ca="1" si="335"/>
        <v>Dell</v>
      </c>
      <c r="BP402" s="192">
        <f t="shared" ca="1" si="335"/>
        <v>0</v>
      </c>
      <c r="BQ402" s="192" t="str">
        <f t="shared" ca="1" si="335"/>
        <v>GBX77E81AA</v>
      </c>
      <c r="BR402" s="192" t="str">
        <f t="shared" ca="1" si="335"/>
        <v>GBXKAP10145</v>
      </c>
      <c r="BS402" s="192" t="str">
        <f t="shared" ca="1" si="335"/>
        <v>DELL-921CW</v>
      </c>
      <c r="BT402" s="192">
        <f t="shared" ca="1" si="335"/>
        <v>0</v>
      </c>
      <c r="BU402" s="192"/>
      <c r="BV402" s="192"/>
      <c r="BW402" s="192" t="str">
        <f t="shared" ca="1" si="336"/>
        <v>Qlosr Göteborg AB</v>
      </c>
      <c r="BX402" s="192" t="str">
        <f t="shared" ca="1" si="336"/>
        <v>Dell</v>
      </c>
      <c r="BY402" s="185"/>
      <c r="BZ402" s="185"/>
      <c r="CA402" s="185"/>
      <c r="CB402" s="185"/>
      <c r="CC402" s="185"/>
      <c r="CD402" s="185"/>
      <c r="CE402" s="185"/>
      <c r="CF402" s="185"/>
      <c r="CG402" s="185"/>
      <c r="CH402" s="185"/>
      <c r="CI402" s="185"/>
      <c r="CJ402" s="185"/>
      <c r="CK402" s="185"/>
      <c r="CL402" s="185"/>
      <c r="CM402" s="185"/>
    </row>
    <row r="403" spans="2:91" ht="22.5" customHeight="1" outlineLevel="1" x14ac:dyDescent="0.35">
      <c r="C403" s="61" t="s">
        <v>103</v>
      </c>
      <c r="D403" s="64"/>
      <c r="F403" s="78" t="str">
        <f t="shared" si="337"/>
        <v/>
      </c>
      <c r="G403" s="79" t="str">
        <f t="shared" ca="1" si="338"/>
        <v>802.11a/b/g/n/ac/ax</v>
      </c>
      <c r="H403" s="79" t="str">
        <f t="shared" ca="1" si="338"/>
        <v>802.11a/b/g/n/ac/ax</v>
      </c>
      <c r="I403" s="120" t="str">
        <f t="shared" ca="1" si="338"/>
        <v>802.11a/b/g/n/ac/ax</v>
      </c>
      <c r="J403" s="62"/>
      <c r="Q403" s="185">
        <f t="shared" si="315"/>
        <v>0</v>
      </c>
      <c r="R403" s="185">
        <f t="shared" si="316"/>
        <v>0</v>
      </c>
      <c r="S403" s="185">
        <f t="shared" si="317"/>
        <v>0</v>
      </c>
      <c r="T403" s="185">
        <f t="shared" si="318"/>
        <v>0</v>
      </c>
      <c r="U403" s="185">
        <f t="shared" si="319"/>
        <v>0</v>
      </c>
      <c r="V403" s="185">
        <f t="shared" si="320"/>
        <v>0</v>
      </c>
      <c r="W403" s="185">
        <f t="shared" si="321"/>
        <v>0</v>
      </c>
      <c r="X403" s="185">
        <f t="shared" si="322"/>
        <v>0</v>
      </c>
      <c r="Y403" s="185">
        <f t="shared" ca="1" si="323"/>
        <v>3610</v>
      </c>
      <c r="Z403" s="185" t="str">
        <f t="shared" si="324"/>
        <v>Offererad produktnr. 06Qlosr Göteborg AB</v>
      </c>
      <c r="AA403" s="185" t="b">
        <f t="shared" si="325"/>
        <v>1</v>
      </c>
      <c r="AB403" s="185" t="b">
        <f t="shared" si="326"/>
        <v>1</v>
      </c>
      <c r="AC403" s="185" t="b">
        <f t="shared" si="327"/>
        <v>1</v>
      </c>
      <c r="AD403" s="185" t="b">
        <f t="shared" si="328"/>
        <v>1</v>
      </c>
      <c r="AE403" s="185" t="b">
        <f>IF($D$396="",TRUE,IF(COUNTIF(Processor!$I$2:$I$9,$D$396)&gt;0,AND(AT403&gt;INDEX(Processor!$J$2:$J$9,MATCH($D$396,Processor!$I$2:$I$9,0)),AT403&lt;INDEX(Processor!$K$2:$K$9,MATCH($D$396,Processor!$I$2:$I$9,0))),IF(AT403=$D$396,TRUE,FALSE)))</f>
        <v>1</v>
      </c>
      <c r="AF403" s="185" t="b">
        <f t="shared" si="329"/>
        <v>1</v>
      </c>
      <c r="AG403" s="185" t="b">
        <f t="shared" si="330"/>
        <v>1</v>
      </c>
      <c r="AH403" s="185" t="b">
        <f t="shared" si="331"/>
        <v>1</v>
      </c>
      <c r="AI403" s="185" t="b">
        <f t="shared" si="332"/>
        <v>1</v>
      </c>
      <c r="AJ403" s="185" t="b">
        <f>IFERROR(IF($D406="",TRUE,IF(MID(BA403,LEN(BA403)-2,1)*1&gt;=MID($D406,LEN($D406)-2,1)*1,TRUE,FALSE)),FALSE)</f>
        <v>1</v>
      </c>
      <c r="AK403" s="185"/>
      <c r="AL403" s="185"/>
      <c r="AM403" s="185"/>
      <c r="AN403" s="185" t="s">
        <v>557</v>
      </c>
      <c r="AO403" s="185">
        <v>1</v>
      </c>
      <c r="AP403" s="185" t="str">
        <f t="shared" ca="1" si="333"/>
        <v>1920x1080</v>
      </c>
      <c r="AQ403" s="185" t="str">
        <f t="shared" ca="1" si="333"/>
        <v>Intel Celeron</v>
      </c>
      <c r="AR403" s="185">
        <f t="shared" ca="1" si="333"/>
        <v>8</v>
      </c>
      <c r="AS403" s="185">
        <f t="shared" ca="1" si="333"/>
        <v>64</v>
      </c>
      <c r="AT403" s="185">
        <f t="shared" ca="1" si="333"/>
        <v>14</v>
      </c>
      <c r="AU403" s="185">
        <f t="shared" ca="1" si="333"/>
        <v>3</v>
      </c>
      <c r="AV403" s="185">
        <f t="shared" ca="1" si="333"/>
        <v>1</v>
      </c>
      <c r="AW403" s="185">
        <f t="shared" ca="1" si="333"/>
        <v>0</v>
      </c>
      <c r="AX403" s="185" t="str">
        <f t="shared" ca="1" si="333"/>
        <v>802.11a/b/g/n/ac/ax</v>
      </c>
      <c r="AY403" s="185">
        <f t="shared" ca="1" si="333"/>
        <v>5</v>
      </c>
      <c r="AZ403" s="185">
        <f t="shared" ca="1" si="334"/>
        <v>11</v>
      </c>
      <c r="BA403" s="185" t="str">
        <f t="shared" ca="1" si="334"/>
        <v>Version 8.0</v>
      </c>
      <c r="BB403" s="185" t="str">
        <f t="shared" ca="1" si="334"/>
        <v>Ja</v>
      </c>
      <c r="BC403" s="185" t="str">
        <f t="shared" ca="1" si="334"/>
        <v>Google Chrome OS</v>
      </c>
      <c r="BD403" s="185" t="str">
        <f t="shared" ca="1" si="334"/>
        <v>Chromebook 14 G7</v>
      </c>
      <c r="BE403" s="185">
        <f t="shared" ca="1" si="334"/>
        <v>3610</v>
      </c>
      <c r="BF403" s="192">
        <f t="shared" ca="1" si="334"/>
        <v>64</v>
      </c>
      <c r="BG403" s="192">
        <f t="shared" ca="1" si="334"/>
        <v>298</v>
      </c>
      <c r="BH403" s="192">
        <f t="shared" ca="1" si="334"/>
        <v>198</v>
      </c>
      <c r="BI403" s="192">
        <f t="shared" ca="1" si="334"/>
        <v>125</v>
      </c>
      <c r="BJ403" s="192">
        <f t="shared" ca="1" si="335"/>
        <v>70</v>
      </c>
      <c r="BK403" s="192">
        <f t="shared" ca="1" si="335"/>
        <v>25</v>
      </c>
      <c r="BL403" s="192">
        <f t="shared" ca="1" si="335"/>
        <v>25</v>
      </c>
      <c r="BM403" s="192" t="str">
        <f t="shared" ca="1" si="335"/>
        <v>HP</v>
      </c>
      <c r="BN403" s="192" t="str">
        <f t="shared" ca="1" si="335"/>
        <v>Kapsolo</v>
      </c>
      <c r="BO403" s="192" t="str">
        <f t="shared" ca="1" si="335"/>
        <v>HP</v>
      </c>
      <c r="BP403" s="192">
        <f t="shared" ca="1" si="335"/>
        <v>0</v>
      </c>
      <c r="BQ403" s="192" t="str">
        <f t="shared" ca="1" si="335"/>
        <v>GBX2UW01AA</v>
      </c>
      <c r="BR403" s="192" t="str">
        <f t="shared" ca="1" si="335"/>
        <v>GBXKAP10478</v>
      </c>
      <c r="BS403" s="192" t="str">
        <f t="shared" ca="1" si="335"/>
        <v>GBX1HE07AA</v>
      </c>
      <c r="BT403" s="192">
        <f t="shared" ca="1" si="335"/>
        <v>0</v>
      </c>
      <c r="BU403" s="192"/>
      <c r="BV403" s="192"/>
      <c r="BW403" s="192" t="str">
        <f t="shared" ca="1" si="336"/>
        <v>Qlosr Göteborg AB</v>
      </c>
      <c r="BX403" s="192" t="str">
        <f t="shared" ca="1" si="336"/>
        <v>HP</v>
      </c>
      <c r="BY403" s="185"/>
      <c r="BZ403" s="185"/>
      <c r="CA403" s="185"/>
      <c r="CB403" s="185"/>
      <c r="CC403" s="185"/>
      <c r="CD403" s="185"/>
      <c r="CE403" s="185"/>
      <c r="CF403" s="185"/>
      <c r="CG403" s="185"/>
      <c r="CH403" s="185"/>
      <c r="CI403" s="185"/>
      <c r="CJ403" s="185"/>
      <c r="CK403" s="185"/>
      <c r="CL403" s="185"/>
      <c r="CM403" s="185"/>
    </row>
    <row r="404" spans="2:91" ht="33.75" customHeight="1" outlineLevel="1" x14ac:dyDescent="0.35">
      <c r="C404" s="61" t="s">
        <v>75</v>
      </c>
      <c r="D404" s="110"/>
      <c r="F404" s="78" t="str">
        <f t="shared" si="337"/>
        <v/>
      </c>
      <c r="G404" s="79">
        <f t="shared" ca="1" si="338"/>
        <v>5.0999999999999996</v>
      </c>
      <c r="H404" s="79">
        <f t="shared" ca="1" si="338"/>
        <v>5</v>
      </c>
      <c r="I404" s="120">
        <f t="shared" ca="1" si="338"/>
        <v>5</v>
      </c>
      <c r="J404" s="94"/>
      <c r="BF404" s="63"/>
      <c r="BG404" s="63"/>
      <c r="BH404" s="63"/>
      <c r="BI404" s="63"/>
      <c r="BJ404" s="63"/>
      <c r="BK404" s="63"/>
      <c r="BL404" s="63"/>
      <c r="BM404" s="63"/>
      <c r="BN404" s="63"/>
      <c r="BO404" s="63"/>
      <c r="BP404" s="63"/>
      <c r="BQ404" s="63"/>
      <c r="BR404" s="63"/>
      <c r="BS404" s="63"/>
      <c r="BT404" s="63"/>
      <c r="BU404" s="63"/>
      <c r="BV404" s="63"/>
      <c r="BW404" s="63"/>
      <c r="BX404" s="63"/>
    </row>
    <row r="405" spans="2:91" ht="33.75" customHeight="1" outlineLevel="1" x14ac:dyDescent="0.35">
      <c r="C405" s="61" t="s">
        <v>120</v>
      </c>
      <c r="D405" s="65"/>
      <c r="F405" s="80" t="str">
        <f t="shared" si="337"/>
        <v/>
      </c>
      <c r="G405" s="81">
        <f t="shared" ca="1" si="338"/>
        <v>11</v>
      </c>
      <c r="H405" s="81">
        <f t="shared" ca="1" si="338"/>
        <v>11</v>
      </c>
      <c r="I405" s="121">
        <f t="shared" ca="1" si="338"/>
        <v>11</v>
      </c>
      <c r="J405" s="62"/>
      <c r="BF405" s="63"/>
      <c r="BG405" s="63"/>
      <c r="BH405" s="63"/>
      <c r="BI405" s="63"/>
      <c r="BJ405" s="63"/>
      <c r="BK405" s="63"/>
      <c r="BL405" s="63"/>
      <c r="BM405" s="63"/>
      <c r="BN405" s="63"/>
      <c r="BO405" s="63"/>
      <c r="BP405" s="63"/>
      <c r="BQ405" s="63"/>
      <c r="BR405" s="63"/>
      <c r="BS405" s="63"/>
      <c r="BT405" s="63"/>
      <c r="BU405" s="63"/>
      <c r="BV405" s="63"/>
      <c r="BW405" s="63"/>
      <c r="BX405" s="63"/>
    </row>
    <row r="406" spans="2:91" ht="33.75" customHeight="1" outlineLevel="1" x14ac:dyDescent="0.35">
      <c r="C406" s="61" t="s">
        <v>38</v>
      </c>
      <c r="D406" s="64"/>
      <c r="F406" s="78" t="str">
        <f t="shared" si="337"/>
        <v/>
      </c>
      <c r="G406" s="81" t="str">
        <f t="shared" ca="1" si="338"/>
        <v>Version 8.0</v>
      </c>
      <c r="H406" s="81" t="str">
        <f t="shared" ca="1" si="338"/>
        <v>Version 8.0</v>
      </c>
      <c r="I406" s="121" t="str">
        <f t="shared" ca="1" si="338"/>
        <v>Version 8.0</v>
      </c>
      <c r="J406" s="62"/>
      <c r="BF406" s="63"/>
      <c r="BG406" s="63"/>
      <c r="BH406" s="63"/>
      <c r="BI406" s="63"/>
      <c r="BJ406" s="63"/>
      <c r="BK406" s="63"/>
      <c r="BL406" s="63"/>
      <c r="BM406" s="63"/>
      <c r="BN406" s="63"/>
      <c r="BO406" s="63"/>
      <c r="BP406" s="63"/>
      <c r="BQ406" s="63"/>
      <c r="BR406" s="63"/>
      <c r="BS406" s="63"/>
      <c r="BT406" s="63"/>
      <c r="BU406" s="63"/>
      <c r="BV406" s="63"/>
      <c r="BW406" s="63"/>
      <c r="BX406" s="63"/>
    </row>
    <row r="407" spans="2:91" ht="33.75" customHeight="1" outlineLevel="1" x14ac:dyDescent="0.35">
      <c r="C407" s="61" t="s">
        <v>37</v>
      </c>
      <c r="D407" s="64"/>
      <c r="F407" s="78" t="str">
        <f t="shared" si="337"/>
        <v/>
      </c>
      <c r="G407" s="79" t="str">
        <f t="shared" ca="1" si="338"/>
        <v>Ja</v>
      </c>
      <c r="H407" s="79" t="str">
        <f t="shared" ca="1" si="338"/>
        <v>Ja</v>
      </c>
      <c r="I407" s="120" t="str">
        <f t="shared" ca="1" si="338"/>
        <v>Ja</v>
      </c>
      <c r="J407" s="62"/>
      <c r="BF407" s="63"/>
      <c r="BG407" s="63"/>
      <c r="BH407" s="63"/>
      <c r="BI407" s="63"/>
      <c r="BJ407" s="63"/>
      <c r="BK407" s="63"/>
      <c r="BL407" s="63"/>
      <c r="BM407" s="63"/>
      <c r="BN407" s="63"/>
      <c r="BO407" s="63"/>
      <c r="BP407" s="63"/>
      <c r="BQ407" s="63"/>
      <c r="BR407" s="63"/>
      <c r="BS407" s="63"/>
      <c r="BT407" s="63"/>
      <c r="BU407" s="63"/>
      <c r="BV407" s="63"/>
      <c r="BW407" s="63"/>
      <c r="BX407" s="63"/>
    </row>
    <row r="408" spans="2:91" ht="23.25" customHeight="1" outlineLevel="1" x14ac:dyDescent="0.35">
      <c r="C408" s="66"/>
      <c r="D408" s="67"/>
      <c r="G408" s="62"/>
      <c r="H408" s="62"/>
      <c r="I408" s="62"/>
      <c r="J408" s="62"/>
      <c r="BF408" s="63"/>
      <c r="BG408" s="63"/>
      <c r="BH408" s="63"/>
      <c r="BI408" s="63"/>
      <c r="BJ408" s="63"/>
      <c r="BK408" s="63"/>
      <c r="BL408" s="63"/>
      <c r="BM408" s="63"/>
      <c r="BN408" s="63"/>
      <c r="BO408" s="63"/>
      <c r="BP408" s="63"/>
      <c r="BQ408" s="63"/>
      <c r="BR408" s="63"/>
      <c r="BS408" s="63"/>
      <c r="BT408" s="63"/>
      <c r="BU408" s="63"/>
      <c r="BV408" s="63"/>
      <c r="BW408" s="63"/>
      <c r="BX408" s="63"/>
    </row>
    <row r="409" spans="2:91" ht="23.25" customHeight="1" outlineLevel="1" x14ac:dyDescent="0.35">
      <c r="C409" s="212" t="s">
        <v>366</v>
      </c>
      <c r="D409" s="213"/>
      <c r="E409" s="213"/>
      <c r="F409" s="213"/>
      <c r="G409" s="213"/>
      <c r="H409" s="213"/>
      <c r="I409" s="214"/>
      <c r="J409" s="62"/>
      <c r="BF409" s="63"/>
      <c r="BG409" s="63"/>
      <c r="BH409" s="63"/>
      <c r="BI409" s="63"/>
      <c r="BJ409" s="63"/>
      <c r="BK409" s="63"/>
      <c r="BL409" s="63"/>
      <c r="BM409" s="63"/>
      <c r="BN409" s="63"/>
      <c r="BO409" s="63"/>
      <c r="BP409" s="63"/>
      <c r="BQ409" s="63"/>
      <c r="BR409" s="63"/>
      <c r="BS409" s="63"/>
      <c r="BT409" s="63"/>
      <c r="BU409" s="63"/>
      <c r="BV409" s="63"/>
      <c r="BW409" s="63"/>
      <c r="BX409" s="63"/>
    </row>
    <row r="410" spans="2:91" ht="23.25" customHeight="1" outlineLevel="1" x14ac:dyDescent="0.35">
      <c r="B410" s="69" t="s">
        <v>53</v>
      </c>
      <c r="C410" s="95" t="s">
        <v>363</v>
      </c>
      <c r="D410" s="70"/>
      <c r="F410" s="159" t="str">
        <f t="shared" ref="F410:F418" si="339">IF(F$392="Inget antal angivet","",IFERROR(INDEX($AP$393:$BX$417,MATCH(F$389,$AN$393:$AN$417,0),MATCH($B410,$AP$393:$BX$393,0)),""))</f>
        <v/>
      </c>
      <c r="G410" s="160">
        <f t="shared" ref="G410:I418" ca="1" si="340">IFERROR(INDEX($AP$393:$BX$417,MATCH(G$389,$AN$393:$AN$417,0),MATCH($B410,$AP$393:$BX$393,0)),"")</f>
        <v>59</v>
      </c>
      <c r="H410" s="160">
        <f t="shared" ca="1" si="340"/>
        <v>87</v>
      </c>
      <c r="I410" s="160">
        <f t="shared" ca="1" si="340"/>
        <v>64</v>
      </c>
      <c r="J410" s="73"/>
      <c r="BF410" s="63"/>
      <c r="BG410" s="63"/>
      <c r="BH410" s="63"/>
      <c r="BI410" s="63"/>
      <c r="BJ410" s="63"/>
      <c r="BK410" s="63"/>
      <c r="BL410" s="63"/>
      <c r="BM410" s="63"/>
      <c r="BN410" s="63"/>
      <c r="BO410" s="63"/>
      <c r="BP410" s="63"/>
      <c r="BQ410" s="63"/>
      <c r="BR410" s="63"/>
      <c r="BS410" s="63"/>
      <c r="BT410" s="63"/>
      <c r="BU410" s="63"/>
      <c r="BV410" s="63"/>
      <c r="BW410" s="63"/>
      <c r="BX410" s="63"/>
    </row>
    <row r="411" spans="2:91" ht="23.25" customHeight="1" outlineLevel="1" x14ac:dyDescent="0.35">
      <c r="B411" s="69" t="s">
        <v>340</v>
      </c>
      <c r="C411" s="96" t="s">
        <v>51</v>
      </c>
      <c r="D411" s="131" t="str">
        <f>IF("Ska Ingå"=D410,"Ska Ingå","")</f>
        <v/>
      </c>
      <c r="F411" s="84" t="str">
        <f t="shared" si="339"/>
        <v/>
      </c>
      <c r="G411" s="85" t="str">
        <f t="shared" ca="1" si="340"/>
        <v>HP</v>
      </c>
      <c r="H411" s="85" t="str">
        <f t="shared" ca="1" si="340"/>
        <v>Cirafon</v>
      </c>
      <c r="I411" s="85" t="str">
        <f t="shared" ca="1" si="340"/>
        <v>HP</v>
      </c>
      <c r="J411" s="54"/>
      <c r="BF411" s="63"/>
      <c r="BG411" s="63"/>
      <c r="BH411" s="63"/>
      <c r="BI411" s="63"/>
      <c r="BJ411" s="63"/>
      <c r="BK411" s="63"/>
      <c r="BL411" s="63"/>
      <c r="BM411" s="63"/>
      <c r="BN411" s="63"/>
      <c r="BO411" s="63"/>
      <c r="BP411" s="63"/>
      <c r="BQ411" s="63"/>
      <c r="BR411" s="63"/>
      <c r="BS411" s="63"/>
      <c r="BT411" s="63"/>
      <c r="BU411" s="63"/>
      <c r="BV411" s="63"/>
      <c r="BW411" s="63"/>
      <c r="BX411" s="63"/>
    </row>
    <row r="412" spans="2:91" ht="67.5" customHeight="1" outlineLevel="1" x14ac:dyDescent="0.35">
      <c r="B412" s="69" t="s">
        <v>345</v>
      </c>
      <c r="C412" s="97" t="s">
        <v>52</v>
      </c>
      <c r="D412" s="132" t="str">
        <f>IF("Ska Ingå"=D410,"Ska Ingå","")</f>
        <v/>
      </c>
      <c r="F412" s="86" t="str">
        <f t="shared" si="339"/>
        <v/>
      </c>
      <c r="G412" s="87" t="str">
        <f t="shared" ca="1" si="340"/>
        <v>GBX77E81AA</v>
      </c>
      <c r="H412" s="87" t="str">
        <f t="shared" ca="1" si="340"/>
        <v>LSN9117-11</v>
      </c>
      <c r="I412" s="87" t="str">
        <f t="shared" ca="1" si="340"/>
        <v>GBX2UW01AA</v>
      </c>
      <c r="J412" s="73"/>
      <c r="BF412" s="63"/>
      <c r="BG412" s="63"/>
      <c r="BH412" s="63"/>
      <c r="BI412" s="63"/>
      <c r="BJ412" s="63"/>
      <c r="BK412" s="63"/>
      <c r="BL412" s="63"/>
      <c r="BM412" s="63"/>
      <c r="BN412" s="63"/>
      <c r="BO412" s="63"/>
      <c r="BP412" s="63"/>
      <c r="BQ412" s="63"/>
      <c r="BR412" s="63"/>
      <c r="BS412" s="63"/>
      <c r="BT412" s="63"/>
      <c r="BU412" s="63"/>
      <c r="BV412" s="63"/>
      <c r="BW412" s="63"/>
      <c r="BX412" s="63"/>
    </row>
    <row r="413" spans="2:91" ht="23.25" customHeight="1" outlineLevel="1" x14ac:dyDescent="0.35">
      <c r="B413" s="69" t="s">
        <v>54</v>
      </c>
      <c r="C413" s="98" t="s">
        <v>77</v>
      </c>
      <c r="D413" s="70"/>
      <c r="F413" s="157" t="str">
        <f t="shared" si="339"/>
        <v/>
      </c>
      <c r="G413" s="158">
        <f t="shared" ca="1" si="340"/>
        <v>287</v>
      </c>
      <c r="H413" s="158">
        <f t="shared" ca="1" si="340"/>
        <v>123</v>
      </c>
      <c r="I413" s="158">
        <f t="shared" ca="1" si="340"/>
        <v>298</v>
      </c>
      <c r="J413" s="54"/>
      <c r="BF413" s="63"/>
      <c r="BG413" s="63"/>
      <c r="BH413" s="63"/>
      <c r="BI413" s="63"/>
      <c r="BJ413" s="63"/>
      <c r="BK413" s="63"/>
      <c r="BL413" s="63"/>
      <c r="BM413" s="63"/>
      <c r="BN413" s="63"/>
      <c r="BO413" s="63"/>
      <c r="BP413" s="63"/>
      <c r="BQ413" s="63"/>
      <c r="BR413" s="63"/>
      <c r="BS413" s="63"/>
      <c r="BT413" s="63"/>
      <c r="BU413" s="63"/>
      <c r="BV413" s="63"/>
      <c r="BW413" s="63"/>
      <c r="BX413" s="63"/>
    </row>
    <row r="414" spans="2:91" ht="23.25" customHeight="1" outlineLevel="1" x14ac:dyDescent="0.35">
      <c r="B414" s="69" t="s">
        <v>341</v>
      </c>
      <c r="C414" s="61" t="s">
        <v>51</v>
      </c>
      <c r="D414" s="131" t="str">
        <f>IF("Ska Ingå"=D413,"Ska Ingå","")</f>
        <v/>
      </c>
      <c r="F414" s="88" t="str">
        <f t="shared" si="339"/>
        <v/>
      </c>
      <c r="G414" s="89" t="str">
        <f t="shared" ca="1" si="340"/>
        <v>Kapsolo</v>
      </c>
      <c r="H414" s="89" t="str">
        <f t="shared" ca="1" si="340"/>
        <v>Cirafon</v>
      </c>
      <c r="I414" s="89" t="str">
        <f t="shared" ca="1" si="340"/>
        <v>Kapsolo</v>
      </c>
      <c r="J414" s="73"/>
      <c r="BF414" s="63"/>
      <c r="BG414" s="63"/>
      <c r="BH414" s="63"/>
      <c r="BI414" s="63"/>
      <c r="BJ414" s="63"/>
      <c r="BK414" s="63"/>
      <c r="BL414" s="63"/>
      <c r="BM414" s="63"/>
      <c r="BN414" s="63"/>
      <c r="BO414" s="63"/>
      <c r="BP414" s="63"/>
      <c r="BQ414" s="63"/>
      <c r="BR414" s="63"/>
      <c r="BS414" s="63"/>
      <c r="BT414" s="63"/>
      <c r="BU414" s="63"/>
      <c r="BV414" s="63"/>
      <c r="BW414" s="63"/>
      <c r="BX414" s="63"/>
    </row>
    <row r="415" spans="2:91" ht="68.25" customHeight="1" outlineLevel="1" x14ac:dyDescent="0.35">
      <c r="B415" s="69" t="s">
        <v>346</v>
      </c>
      <c r="C415" s="99" t="s">
        <v>52</v>
      </c>
      <c r="D415" s="132" t="str">
        <f>IF("Ska Ingå"=D413,"Ska Ingå","")</f>
        <v/>
      </c>
      <c r="F415" s="90" t="str">
        <f t="shared" si="339"/>
        <v/>
      </c>
      <c r="G415" s="91" t="str">
        <f t="shared" ca="1" si="340"/>
        <v>GBXKAP10145</v>
      </c>
      <c r="H415" s="91" t="str">
        <f t="shared" ca="1" si="340"/>
        <v>DPF11.6-9</v>
      </c>
      <c r="I415" s="91" t="str">
        <f t="shared" ca="1" si="340"/>
        <v>GBXKAP10478</v>
      </c>
      <c r="J415" s="54"/>
      <c r="BF415" s="63"/>
      <c r="BG415" s="63"/>
      <c r="BH415" s="63"/>
      <c r="BI415" s="63"/>
      <c r="BJ415" s="63"/>
      <c r="BK415" s="63"/>
      <c r="BL415" s="63"/>
      <c r="BM415" s="63"/>
      <c r="BN415" s="63"/>
      <c r="BO415" s="63"/>
      <c r="BP415" s="63"/>
      <c r="BQ415" s="63"/>
      <c r="BR415" s="63"/>
      <c r="BS415" s="63"/>
      <c r="BT415" s="63"/>
      <c r="BU415" s="63"/>
      <c r="BV415" s="63"/>
      <c r="BW415" s="63"/>
      <c r="BX415" s="63"/>
    </row>
    <row r="416" spans="2:91" ht="31.5" customHeight="1" outlineLevel="1" x14ac:dyDescent="0.35">
      <c r="B416" s="69" t="s">
        <v>55</v>
      </c>
      <c r="C416" s="95" t="s">
        <v>371</v>
      </c>
      <c r="D416" s="70"/>
      <c r="F416" s="159" t="str">
        <f t="shared" si="339"/>
        <v/>
      </c>
      <c r="G416" s="160">
        <f t="shared" ca="1" si="340"/>
        <v>240</v>
      </c>
      <c r="H416" s="160">
        <f t="shared" ca="1" si="340"/>
        <v>249</v>
      </c>
      <c r="I416" s="160">
        <f t="shared" ca="1" si="340"/>
        <v>198</v>
      </c>
      <c r="BF416" s="63"/>
      <c r="BG416" s="63"/>
      <c r="BH416" s="63"/>
      <c r="BI416" s="63"/>
      <c r="BJ416" s="63"/>
      <c r="BK416" s="63"/>
      <c r="BL416" s="63"/>
      <c r="BM416" s="63"/>
      <c r="BN416" s="63"/>
      <c r="BO416" s="63"/>
      <c r="BP416" s="63"/>
      <c r="BQ416" s="63"/>
      <c r="BR416" s="63"/>
      <c r="BS416" s="63"/>
      <c r="BT416" s="63"/>
      <c r="BU416" s="63"/>
      <c r="BV416" s="63"/>
      <c r="BW416" s="63"/>
      <c r="BX416" s="63"/>
    </row>
    <row r="417" spans="2:76" ht="23.25" customHeight="1" outlineLevel="1" x14ac:dyDescent="0.35">
      <c r="B417" s="69" t="s">
        <v>342</v>
      </c>
      <c r="C417" s="96" t="s">
        <v>51</v>
      </c>
      <c r="D417" s="131" t="str">
        <f>IF("Ska Ingå"=D416,"Ska Ingå","")</f>
        <v/>
      </c>
      <c r="F417" s="84" t="str">
        <f t="shared" si="339"/>
        <v/>
      </c>
      <c r="G417" s="85" t="str">
        <f t="shared" ca="1" si="340"/>
        <v>Dell</v>
      </c>
      <c r="H417" s="85" t="str">
        <f t="shared" ca="1" si="340"/>
        <v>HP</v>
      </c>
      <c r="I417" s="85" t="str">
        <f t="shared" ca="1" si="340"/>
        <v>HP</v>
      </c>
      <c r="BF417" s="63"/>
      <c r="BG417" s="63"/>
      <c r="BH417" s="63"/>
      <c r="BI417" s="63"/>
      <c r="BJ417" s="63"/>
      <c r="BK417" s="63"/>
      <c r="BL417" s="63"/>
      <c r="BM417" s="63"/>
      <c r="BN417" s="63"/>
      <c r="BO417" s="63"/>
      <c r="BP417" s="63"/>
      <c r="BQ417" s="63"/>
      <c r="BR417" s="63"/>
      <c r="BS417" s="63"/>
      <c r="BT417" s="63"/>
      <c r="BU417" s="63"/>
      <c r="BV417" s="63"/>
      <c r="BW417" s="63"/>
      <c r="BX417" s="63"/>
    </row>
    <row r="418" spans="2:76" ht="66.75" customHeight="1" outlineLevel="1" x14ac:dyDescent="0.35">
      <c r="B418" s="69" t="s">
        <v>347</v>
      </c>
      <c r="C418" s="97" t="s">
        <v>52</v>
      </c>
      <c r="D418" s="132" t="str">
        <f>IF("Ska Ingå"=D416,"Ska Ingå","")</f>
        <v/>
      </c>
      <c r="F418" s="86" t="str">
        <f t="shared" si="339"/>
        <v/>
      </c>
      <c r="G418" s="87" t="str">
        <f t="shared" ca="1" si="340"/>
        <v>DELL-921CW</v>
      </c>
      <c r="H418" s="87" t="str">
        <f t="shared" ca="1" si="340"/>
        <v>1MZ01AA</v>
      </c>
      <c r="I418" s="87" t="str">
        <f t="shared" ca="1" si="340"/>
        <v>GBX1HE07AA</v>
      </c>
    </row>
    <row r="419" spans="2:76" ht="23.25" customHeight="1" outlineLevel="1" x14ac:dyDescent="0.35">
      <c r="B419" s="69"/>
      <c r="C419" s="220" t="s">
        <v>365</v>
      </c>
      <c r="D419" s="220"/>
      <c r="E419" s="220"/>
      <c r="F419" s="220"/>
      <c r="G419" s="220"/>
      <c r="H419" s="220"/>
      <c r="I419" s="220"/>
    </row>
    <row r="420" spans="2:76" ht="23.25" customHeight="1" outlineLevel="1" x14ac:dyDescent="0.35">
      <c r="B420" s="71" t="s">
        <v>228</v>
      </c>
      <c r="C420" s="96" t="s">
        <v>367</v>
      </c>
      <c r="D420" s="70"/>
      <c r="F420" s="163" t="str">
        <f>IF(F$392="Inget antal angivet","",IFERROR(INDEX($AP$393:$BX$417,MATCH(F$389,$AN$393:$AN$417,0),MATCH($B420,$AP$393:$BX$393,0)),""))</f>
        <v/>
      </c>
      <c r="G420" s="164">
        <f t="shared" ref="G420:I423" ca="1" si="341">IFERROR(INDEX($AP$393:$BX$417,MATCH(G$389,$AN$393:$AN$417,0),MATCH($B420,$AP$393:$BX$393,0)),"")</f>
        <v>275</v>
      </c>
      <c r="H420" s="164">
        <f t="shared" ca="1" si="341"/>
        <v>131</v>
      </c>
      <c r="I420" s="164">
        <f t="shared" ca="1" si="341"/>
        <v>125</v>
      </c>
    </row>
    <row r="421" spans="2:76" ht="23.25" customHeight="1" outlineLevel="1" x14ac:dyDescent="0.35">
      <c r="B421" s="71" t="s">
        <v>229</v>
      </c>
      <c r="C421" s="61" t="s">
        <v>368</v>
      </c>
      <c r="D421" s="70"/>
      <c r="F421" s="165" t="str">
        <f>IF(F$392="Inget antal angivet","",IFERROR(INDEX($AP$393:$BX$417,MATCH(F$389,$AN$393:$AN$417,0),MATCH($B421,$AP$393:$BX$393,0)),""))</f>
        <v/>
      </c>
      <c r="G421" s="166">
        <f t="shared" ca="1" si="341"/>
        <v>70</v>
      </c>
      <c r="H421" s="166">
        <f t="shared" ca="1" si="341"/>
        <v>133</v>
      </c>
      <c r="I421" s="166">
        <f t="shared" ca="1" si="341"/>
        <v>70</v>
      </c>
    </row>
    <row r="422" spans="2:76" ht="23.25" customHeight="1" outlineLevel="1" x14ac:dyDescent="0.35">
      <c r="B422" s="71" t="s">
        <v>230</v>
      </c>
      <c r="C422" s="96" t="s">
        <v>369</v>
      </c>
      <c r="D422" s="70"/>
      <c r="F422" s="163" t="str">
        <f>IF(F$392="Inget antal angivet","",IFERROR(INDEX($AP$393:$BX$417,MATCH(F$389,$AN$393:$AN$417,0),MATCH($B422,$AP$393:$BX$393,0)),""))</f>
        <v/>
      </c>
      <c r="G422" s="164">
        <f t="shared" ca="1" si="341"/>
        <v>25</v>
      </c>
      <c r="H422" s="164">
        <f t="shared" ca="1" si="341"/>
        <v>20</v>
      </c>
      <c r="I422" s="164">
        <f t="shared" ca="1" si="341"/>
        <v>25</v>
      </c>
    </row>
    <row r="423" spans="2:76" ht="23.25" customHeight="1" outlineLevel="1" x14ac:dyDescent="0.35">
      <c r="B423" s="71" t="s">
        <v>231</v>
      </c>
      <c r="C423" s="61" t="s">
        <v>370</v>
      </c>
      <c r="D423" s="70"/>
      <c r="F423" s="165" t="str">
        <f>IF(F$392="Inget antal angivet","",IFERROR(INDEX($AP$393:$BX$417,MATCH(F$389,$AN$393:$AN$417,0),MATCH($B423,$AP$393:$BX$393,0)),""))</f>
        <v/>
      </c>
      <c r="G423" s="166">
        <f t="shared" ca="1" si="341"/>
        <v>25</v>
      </c>
      <c r="H423" s="166">
        <f t="shared" ca="1" si="341"/>
        <v>20</v>
      </c>
      <c r="I423" s="166">
        <f t="shared" ca="1" si="341"/>
        <v>25</v>
      </c>
    </row>
    <row r="424" spans="2:76" ht="23.25" customHeight="1" outlineLevel="1" x14ac:dyDescent="0.35"/>
    <row r="425" spans="2:76" ht="23.25" customHeight="1" collapsed="1" x14ac:dyDescent="0.35"/>
    <row r="426" spans="2:76" ht="23.25" customHeight="1" x14ac:dyDescent="0.35">
      <c r="D426" s="72" t="s">
        <v>233</v>
      </c>
      <c r="E426" s="1"/>
      <c r="F426" s="221" t="s">
        <v>252</v>
      </c>
      <c r="G426" s="221"/>
      <c r="H426" s="221"/>
      <c r="I426" s="222"/>
    </row>
    <row r="427" spans="2:76" ht="23.25" customHeight="1" x14ac:dyDescent="0.35">
      <c r="D427" s="74"/>
      <c r="F427" s="202" t="str">
        <f ca="1">IFERROR(INDEX($Y$394:$Y$405,MATCH(F389,$Z$394:$Z$405,0)) *D427,"")</f>
        <v/>
      </c>
      <c r="G427" s="202">
        <f ca="1">IFERROR(P394 *D427,"")</f>
        <v>0</v>
      </c>
      <c r="H427" s="202">
        <f ca="1">IFERROR(P395 *D427,"")</f>
        <v>0</v>
      </c>
      <c r="I427" s="202">
        <f ca="1">IFERROR(P396 * D427,"")</f>
        <v>0</v>
      </c>
    </row>
    <row r="429" spans="2:76" ht="15" thickBot="1" x14ac:dyDescent="0.4">
      <c r="C429" s="174"/>
      <c r="D429" s="174"/>
      <c r="E429" s="174"/>
      <c r="F429" s="174"/>
      <c r="G429" s="174"/>
      <c r="H429" s="174"/>
      <c r="I429" s="174"/>
    </row>
    <row r="430" spans="2:76" ht="15" thickTop="1" x14ac:dyDescent="0.35"/>
  </sheetData>
  <sheetProtection algorithmName="SHA-512" hashValue="id9oJ3zJS6jdqd/vMlRQohjZ1cD1pbqnLzTq9t0igKx1TXW2oJx06eYA30xN6w7GkJ/xDV/z1PnnG7zbyPveFw==" saltValue="WCpq/1xSDqRf747fEEwnLQ==" spinCount="100000" sheet="1" formatRows="0"/>
  <autoFilter ref="AN11:BE76" xr:uid="{00000000-0009-0000-0000-000003000000}"/>
  <mergeCells count="80">
    <mergeCell ref="G8:I8"/>
    <mergeCell ref="C37:I37"/>
    <mergeCell ref="C11:D11"/>
    <mergeCell ref="F9:I9"/>
    <mergeCell ref="F44:I44"/>
    <mergeCell ref="C12:D12"/>
    <mergeCell ref="C27:I27"/>
    <mergeCell ref="C9:D9"/>
    <mergeCell ref="C79:I79"/>
    <mergeCell ref="F86:I86"/>
    <mergeCell ref="G50:I50"/>
    <mergeCell ref="C51:D51"/>
    <mergeCell ref="F51:I51"/>
    <mergeCell ref="C53:D53"/>
    <mergeCell ref="C54:D54"/>
    <mergeCell ref="C69:I69"/>
    <mergeCell ref="C121:I121"/>
    <mergeCell ref="F128:I128"/>
    <mergeCell ref="G92:I92"/>
    <mergeCell ref="C93:D93"/>
    <mergeCell ref="F93:I93"/>
    <mergeCell ref="C95:D95"/>
    <mergeCell ref="C96:D96"/>
    <mergeCell ref="C111:I111"/>
    <mergeCell ref="C180:D180"/>
    <mergeCell ref="C181:D181"/>
    <mergeCell ref="C196:I196"/>
    <mergeCell ref="C206:I206"/>
    <mergeCell ref="F213:I213"/>
    <mergeCell ref="C178:D178"/>
    <mergeCell ref="F178:I178"/>
    <mergeCell ref="G134:I134"/>
    <mergeCell ref="C135:D135"/>
    <mergeCell ref="F135:I135"/>
    <mergeCell ref="C137:D137"/>
    <mergeCell ref="C138:D138"/>
    <mergeCell ref="C153:I153"/>
    <mergeCell ref="C163:I163"/>
    <mergeCell ref="F170:I170"/>
    <mergeCell ref="G177:I177"/>
    <mergeCell ref="C409:I409"/>
    <mergeCell ref="C419:I419"/>
    <mergeCell ref="F426:I426"/>
    <mergeCell ref="F383:I383"/>
    <mergeCell ref="G390:I390"/>
    <mergeCell ref="C391:D391"/>
    <mergeCell ref="F391:I391"/>
    <mergeCell ref="C393:D393"/>
    <mergeCell ref="C394:D394"/>
    <mergeCell ref="C376:I376"/>
    <mergeCell ref="C308:D308"/>
    <mergeCell ref="C309:D309"/>
    <mergeCell ref="C324:I324"/>
    <mergeCell ref="C334:I334"/>
    <mergeCell ref="F341:I341"/>
    <mergeCell ref="G347:I347"/>
    <mergeCell ref="C348:D348"/>
    <mergeCell ref="F348:I348"/>
    <mergeCell ref="C350:D350"/>
    <mergeCell ref="C351:D351"/>
    <mergeCell ref="C366:I366"/>
    <mergeCell ref="C306:D306"/>
    <mergeCell ref="F306:I306"/>
    <mergeCell ref="C249:I249"/>
    <mergeCell ref="F256:I256"/>
    <mergeCell ref="G262:I262"/>
    <mergeCell ref="C263:D263"/>
    <mergeCell ref="F263:I263"/>
    <mergeCell ref="C265:D265"/>
    <mergeCell ref="C266:D266"/>
    <mergeCell ref="C281:I281"/>
    <mergeCell ref="C291:I291"/>
    <mergeCell ref="F298:I298"/>
    <mergeCell ref="G305:I305"/>
    <mergeCell ref="C239:I239"/>
    <mergeCell ref="G220:I220"/>
    <mergeCell ref="C221:D221"/>
    <mergeCell ref="F221:I221"/>
    <mergeCell ref="C223:D223"/>
    <mergeCell ref="C224:D224"/>
  </mergeCells>
  <phoneticPr fontId="7" type="noConversion"/>
  <conditionalFormatting sqref="C9:D9">
    <cfRule type="expression" dxfId="72" priority="10">
      <formula>C9= ""</formula>
    </cfRule>
  </conditionalFormatting>
  <conditionalFormatting sqref="C51:D51">
    <cfRule type="expression" dxfId="71" priority="9">
      <formula>C51= ""</formula>
    </cfRule>
  </conditionalFormatting>
  <conditionalFormatting sqref="C93:D93">
    <cfRule type="expression" dxfId="70" priority="8">
      <formula>C93= ""</formula>
    </cfRule>
  </conditionalFormatting>
  <conditionalFormatting sqref="C135:D135">
    <cfRule type="expression" dxfId="69" priority="7">
      <formula>C135= ""</formula>
    </cfRule>
  </conditionalFormatting>
  <conditionalFormatting sqref="C178:D178">
    <cfRule type="expression" dxfId="68" priority="6">
      <formula>C178= ""</formula>
    </cfRule>
  </conditionalFormatting>
  <conditionalFormatting sqref="C221:D221">
    <cfRule type="expression" dxfId="67" priority="5">
      <formula>C221= ""</formula>
    </cfRule>
  </conditionalFormatting>
  <conditionalFormatting sqref="C263:D263">
    <cfRule type="expression" dxfId="66" priority="4">
      <formula>C263= ""</formula>
    </cfRule>
  </conditionalFormatting>
  <conditionalFormatting sqref="C306:D306">
    <cfRule type="expression" dxfId="65" priority="3">
      <formula>C306= ""</formula>
    </cfRule>
  </conditionalFormatting>
  <conditionalFormatting sqref="C348:D348">
    <cfRule type="expression" dxfId="64" priority="2">
      <formula>C348= ""</formula>
    </cfRule>
  </conditionalFormatting>
  <conditionalFormatting sqref="C391:D391">
    <cfRule type="expression" dxfId="63" priority="1">
      <formula>C391= ""</formula>
    </cfRule>
  </conditionalFormatting>
  <dataValidations disablePrompts="1" count="17">
    <dataValidation type="whole" allowBlank="1" showInputMessage="1" showErrorMessage="1" sqref="D45 D129 D171 D214 D257 D299 D342 D384 D427 D87" xr:uid="{00000000-0002-0000-0300-000000000000}">
      <formula1>0</formula1>
      <formula2>10000</formula2>
    </dataValidation>
    <dataValidation type="list" allowBlank="1" showInputMessage="1" showErrorMessage="1" sqref="D42:D43 D385 D84:D85 D48 D126:D127 D88 D168:D169 D130 D211:D212 D172 D254:D255 D215 D296:D297 D260 D339:D340 D300 D381:D382 D343 D424:D425 D46 D258 D428" xr:uid="{00000000-0002-0000-0300-000001000000}">
      <formula1>BY$12:BY$19</formula1>
    </dataValidation>
    <dataValidation type="list" allowBlank="1" showInputMessage="1" showErrorMessage="1" sqref="D18 D357 D60 D102 D144 D187 D230 D272 D315 D400" xr:uid="{00000000-0002-0000-0300-000002000000}">
      <formula1>$CB$12:$CB$13</formula1>
    </dataValidation>
    <dataValidation type="list" allowBlank="1" showInputMessage="1" showErrorMessage="1" sqref="D17 D356 D59 D101 D143 D186 D229 D271 D314 D399" xr:uid="{00000000-0002-0000-0300-000003000000}">
      <formula1>$CA$12:$CA$13</formula1>
    </dataValidation>
    <dataValidation type="list" allowBlank="1" showInputMessage="1" showErrorMessage="1" sqref="D15 D354 D57 D99 D141 D184 D227 D269 D312 D397" xr:uid="{00000000-0002-0000-0300-000004000000}">
      <formula1>$BY$12:$BY$13</formula1>
    </dataValidation>
    <dataValidation type="list" allowBlank="1" showInputMessage="1" showErrorMessage="1" sqref="D20 D359 D62 D104 D146 D189 D232 D274 D317 D402" xr:uid="{00000000-0002-0000-0300-000005000000}">
      <formula1>$CE$12:$CE$13</formula1>
    </dataValidation>
    <dataValidation type="list" allowBlank="1" showInputMessage="1" showErrorMessage="1" sqref="D23 D362 D65 D107 D149 D192 D235 D277 D320 D405" xr:uid="{00000000-0002-0000-0300-000006000000}">
      <formula1>$CH$12:$CH$13</formula1>
    </dataValidation>
    <dataValidation type="list" allowBlank="1" showInputMessage="1" showErrorMessage="1" sqref="D21 D360 D63 D105 D147 D190 D233 D275 D318 D403" xr:uid="{00000000-0002-0000-0300-000008000000}">
      <formula1>$CF$12:$CF$13</formula1>
    </dataValidation>
    <dataValidation type="list" allowBlank="1" showInputMessage="1" showErrorMessage="1" sqref="D24 D363 D66 D108 D150 D193 D236 D278 D321 D406" xr:uid="{00000000-0002-0000-0300-000009000000}">
      <formula1>$CI$12:$CI$13</formula1>
    </dataValidation>
    <dataValidation type="list" allowBlank="1" showInputMessage="1" showErrorMessage="1" sqref="D26 D68 D110 D152 D195 D238 D280 D323 D365 D408" xr:uid="{00000000-0002-0000-0300-00000A000000}">
      <formula1>$CL$12</formula1>
    </dataValidation>
    <dataValidation type="list" allowBlank="1" showInputMessage="1" showErrorMessage="1" sqref="D25 D364 D67 D109 D151 D194 D237 D279 D322 D407" xr:uid="{00000000-0002-0000-0300-00000B000000}">
      <formula1>$CJ$12</formula1>
    </dataValidation>
    <dataValidation type="list" allowBlank="1" showInputMessage="1" showErrorMessage="1" sqref="D38:D41 D28 D31 D34 D80:D83 D70 D73 D76 D122:D125 D112 D115 D118 D164:D167 D154 D157 D160 D207:D210 D197 D200 D203 D250:D253 D240 D243 D246 D292:D295 D282 D285 D288 D335:D338 D325 D328 D331 D377:D380 D367 D370 D373 D420:D423 D410 D413 D416" xr:uid="{00000000-0002-0000-0300-00000C000000}">
      <formula1>"Ska Ingå,"</formula1>
    </dataValidation>
    <dataValidation type="list" allowBlank="1" showInputMessage="1" showErrorMessage="1" sqref="D14 D353 D56 D98 D140 D183 D226 D268 D311 D396" xr:uid="{00000000-0002-0000-0300-00000D000000}">
      <formula1>$CC$12:$CC$15</formula1>
    </dataValidation>
    <dataValidation type="list" allowBlank="1" showInputMessage="1" showErrorMessage="1" sqref="D19 D358 D61 D103 D145 D188 D231 D273 D316 D401" xr:uid="{00000000-0002-0000-0300-00000E000000}">
      <formula1>$CD$12:$CD$14</formula1>
    </dataValidation>
    <dataValidation type="list" allowBlank="1" showInputMessage="1" showErrorMessage="1" sqref="D22 D361 D64 D106 D148 D191 D234 D276 D319 D404" xr:uid="{00000000-0002-0000-0300-00000F000000}">
      <formula1>$CG$12:$CG$15</formula1>
    </dataValidation>
    <dataValidation type="list" allowBlank="1" showInputMessage="1" showErrorMessage="1" sqref="D16 D355 D58 D100 D142 D185 D228 D270 D313 D398" xr:uid="{00000000-0002-0000-0300-000010000000}">
      <formula1>$BZ$12:$BZ$14</formula1>
    </dataValidation>
    <dataValidation type="list" allowBlank="1" showInputMessage="1" showErrorMessage="1" sqref="D13 D55 D97 D139 D182 D225 D267 D310 D352 D395" xr:uid="{5ACBF439-B364-4959-9D00-7200851B3347}">
      <formula1>$CK$12</formula1>
    </dataValidation>
  </dataValidations>
  <pageMargins left="0.7" right="0.7" top="0.75" bottom="0.75" header="0.3" footer="0.3"/>
  <pageSetup scale="57" fitToHeight="0" orientation="landscape" r:id="rId1"/>
  <ignoredErrors>
    <ignoredError sqref="G12:I1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FFF2CC"/>
    <outlinePr summaryBelow="0" summaryRight="0"/>
    <pageSetUpPr fitToPage="1"/>
  </sheetPr>
  <dimension ref="B1:CT437"/>
  <sheetViews>
    <sheetView showGridLines="0" topLeftCell="A6" zoomScaleNormal="100" workbookViewId="0">
      <selection activeCell="A6" sqref="A6"/>
    </sheetView>
  </sheetViews>
  <sheetFormatPr defaultColWidth="9.1796875" defaultRowHeight="14.5" outlineLevelRow="1" x14ac:dyDescent="0.35"/>
  <cols>
    <col min="1" max="1" width="2.81640625" customWidth="1"/>
    <col min="2" max="2" width="14" hidden="1" customWidth="1"/>
    <col min="3" max="3" width="23.54296875" customWidth="1" collapsed="1"/>
    <col min="4" max="4" width="23.54296875" customWidth="1"/>
    <col min="5" max="5" width="2.81640625" customWidth="1"/>
    <col min="6" max="9" width="28.7265625" customWidth="1"/>
    <col min="10" max="10" width="4.26953125" customWidth="1"/>
    <col min="11" max="26" width="12.1796875" hidden="1" customWidth="1"/>
    <col min="27" max="27" width="13.7265625" hidden="1" customWidth="1"/>
    <col min="28" max="35" width="12.1796875" hidden="1" customWidth="1"/>
    <col min="36" max="37" width="4.26953125" hidden="1" customWidth="1"/>
    <col min="38" max="38" width="38.7265625" hidden="1" customWidth="1"/>
    <col min="39" max="77" width="4.26953125" hidden="1" customWidth="1"/>
    <col min="78" max="78" width="4.26953125" hidden="1" customWidth="1" collapsed="1"/>
    <col min="79" max="93" width="15.1796875" hidden="1" customWidth="1"/>
    <col min="94" max="94" width="4.26953125" hidden="1" customWidth="1"/>
    <col min="95" max="97" width="13" hidden="1" customWidth="1"/>
    <col min="98" max="98" width="0" hidden="1" customWidth="1" collapsed="1"/>
    <col min="99" max="99" width="0" hidden="1" customWidth="1"/>
  </cols>
  <sheetData>
    <row r="1" spans="2:92" ht="21" hidden="1" customHeight="1" x14ac:dyDescent="0.35">
      <c r="M1" s="92" t="s">
        <v>162</v>
      </c>
      <c r="O1" s="196">
        <f t="shared" ref="O1:O6" ca="1" si="0">SUMIF($M:$M,M1,K:K)</f>
        <v>0</v>
      </c>
      <c r="P1" s="185" t="b">
        <f t="shared" ref="P1:P6" si="1">IF(COUNTIFS(L:L,FALSE,M:M,M1)&gt;0,FALSE,TRUE)</f>
        <v>1</v>
      </c>
    </row>
    <row r="2" spans="2:92" ht="21" hidden="1" customHeight="1" x14ac:dyDescent="0.35">
      <c r="M2" s="92" t="s">
        <v>150</v>
      </c>
      <c r="O2" s="196">
        <f t="shared" ca="1" si="0"/>
        <v>0</v>
      </c>
      <c r="P2" s="185" t="b">
        <f t="shared" si="1"/>
        <v>1</v>
      </c>
    </row>
    <row r="3" spans="2:92" ht="21" hidden="1" customHeight="1" x14ac:dyDescent="0.35">
      <c r="M3" s="92" t="s">
        <v>128</v>
      </c>
      <c r="O3" s="196">
        <f t="shared" ca="1" si="0"/>
        <v>0</v>
      </c>
      <c r="P3" s="185" t="b">
        <f t="shared" si="1"/>
        <v>1</v>
      </c>
    </row>
    <row r="4" spans="2:92" ht="21" hidden="1" customHeight="1" x14ac:dyDescent="0.35">
      <c r="M4" s="92" t="s">
        <v>169</v>
      </c>
      <c r="O4" s="196">
        <f t="shared" ca="1" si="0"/>
        <v>0</v>
      </c>
      <c r="P4" s="185" t="b">
        <f t="shared" si="1"/>
        <v>1</v>
      </c>
    </row>
    <row r="5" spans="2:92" ht="21" hidden="1" customHeight="1" x14ac:dyDescent="0.35">
      <c r="M5" s="92" t="s">
        <v>167</v>
      </c>
      <c r="O5" s="196">
        <f t="shared" ca="1" si="0"/>
        <v>0</v>
      </c>
      <c r="P5" s="185" t="b">
        <f t="shared" si="1"/>
        <v>1</v>
      </c>
    </row>
    <row r="6" spans="2:92" ht="21" customHeight="1" x14ac:dyDescent="0.35">
      <c r="M6" s="92" t="s">
        <v>546</v>
      </c>
      <c r="O6" s="196">
        <f t="shared" ca="1" si="0"/>
        <v>0</v>
      </c>
      <c r="P6" s="185" t="b">
        <f t="shared" si="1"/>
        <v>1</v>
      </c>
    </row>
    <row r="7" spans="2:92" ht="21" customHeight="1" collapsed="1" x14ac:dyDescent="0.35">
      <c r="C7" s="53"/>
      <c r="D7" s="53"/>
      <c r="F7" s="50" t="e">
        <f ca="1">N11</f>
        <v>#N/A</v>
      </c>
      <c r="G7" s="50" t="str">
        <f ca="1">INDEX(AA12:AA37,MATCH(P12,Z12:Z37,0))</f>
        <v>Offererad produktnr. 07Qlosr Göteborg AB</v>
      </c>
      <c r="H7" s="50" t="str">
        <f ca="1">INDEX(AA11:AA36,MATCH(P13,Z11:Z36,0))</f>
        <v>Offererad produktnr. 07Advania Sverige AB</v>
      </c>
      <c r="I7" s="50" t="str">
        <f ca="1">INDEX(AA11:AA36,MATCH(P14,Z11:Z36,0))</f>
        <v>Offererad produktnr. 08Qlosr Göteborg AB</v>
      </c>
      <c r="AN7" s="12" t="s">
        <v>124</v>
      </c>
      <c r="AO7" s="12" t="s">
        <v>124</v>
      </c>
      <c r="AP7" s="12" t="s">
        <v>124</v>
      </c>
      <c r="AQ7" s="12" t="s">
        <v>124</v>
      </c>
      <c r="AR7" s="12" t="s">
        <v>124</v>
      </c>
      <c r="AS7" s="12" t="s">
        <v>124</v>
      </c>
      <c r="AT7" s="12" t="s">
        <v>124</v>
      </c>
      <c r="AU7" s="12" t="s">
        <v>124</v>
      </c>
      <c r="AV7" s="12" t="s">
        <v>124</v>
      </c>
      <c r="AW7" s="12" t="s">
        <v>124</v>
      </c>
      <c r="AX7" s="12" t="s">
        <v>124</v>
      </c>
      <c r="AY7" s="12" t="s">
        <v>124</v>
      </c>
      <c r="AZ7" s="12" t="s">
        <v>124</v>
      </c>
      <c r="BA7" s="12" t="s">
        <v>124</v>
      </c>
      <c r="BB7" s="12" t="s">
        <v>124</v>
      </c>
      <c r="BC7" s="12" t="s">
        <v>124</v>
      </c>
      <c r="BD7" s="12" t="s">
        <v>124</v>
      </c>
      <c r="BE7" s="12" t="s">
        <v>124</v>
      </c>
      <c r="BF7" s="12" t="s">
        <v>124</v>
      </c>
      <c r="BG7" s="12" t="s">
        <v>124</v>
      </c>
      <c r="BH7" s="12" t="s">
        <v>124</v>
      </c>
      <c r="BI7" s="12" t="s">
        <v>124</v>
      </c>
      <c r="BJ7" s="12" t="s">
        <v>124</v>
      </c>
      <c r="BK7" s="12" t="s">
        <v>124</v>
      </c>
      <c r="BL7" s="12" t="s">
        <v>124</v>
      </c>
      <c r="BM7" s="12" t="s">
        <v>124</v>
      </c>
      <c r="BN7" s="12" t="s">
        <v>124</v>
      </c>
      <c r="BO7" s="12" t="s">
        <v>124</v>
      </c>
      <c r="BP7" s="12" t="s">
        <v>124</v>
      </c>
      <c r="BQ7" s="12" t="s">
        <v>124</v>
      </c>
      <c r="BR7" s="12" t="s">
        <v>124</v>
      </c>
      <c r="BS7" s="12" t="s">
        <v>124</v>
      </c>
      <c r="BT7" s="12" t="s">
        <v>124</v>
      </c>
      <c r="BU7" s="12" t="s">
        <v>124</v>
      </c>
      <c r="BV7" s="12" t="s">
        <v>124</v>
      </c>
      <c r="BW7" s="12"/>
      <c r="BX7" s="12"/>
      <c r="BY7" s="12" t="s">
        <v>124</v>
      </c>
      <c r="BZ7" s="12" t="s">
        <v>124</v>
      </c>
      <c r="CA7" s="12"/>
      <c r="CB7" s="12"/>
      <c r="CC7" s="12"/>
      <c r="CD7" s="12"/>
      <c r="CE7" s="12"/>
      <c r="CF7" s="12"/>
      <c r="CG7" s="12"/>
      <c r="CH7" s="12"/>
      <c r="CI7" s="12"/>
      <c r="CJ7" s="12"/>
      <c r="CK7" s="12"/>
      <c r="CL7" s="12"/>
      <c r="CM7" s="12"/>
      <c r="CN7" s="12"/>
    </row>
    <row r="8" spans="2:92" ht="25.5" customHeight="1" thickBot="1" x14ac:dyDescent="0.4">
      <c r="C8" s="53"/>
      <c r="D8" s="53"/>
      <c r="F8" s="140" t="s">
        <v>446</v>
      </c>
      <c r="G8" s="205" t="s">
        <v>447</v>
      </c>
      <c r="H8" s="205"/>
      <c r="I8" s="205"/>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row>
    <row r="9" spans="2:92" ht="22.5" customHeight="1" thickBot="1" x14ac:dyDescent="0.4">
      <c r="B9" t="str">
        <f ca="1" xml:space="preserve"> "Produkt "  &amp; B10</f>
        <v>Produkt 1</v>
      </c>
      <c r="C9" s="206" t="str">
        <f>IF(F10="Ingen produkt motsvarar","Felmeddelande",IF(COUNTIF($P$1:$P$6,TRUE)&gt;0,"","Felmeddelande"))</f>
        <v/>
      </c>
      <c r="D9" s="207"/>
      <c r="F9" s="218" t="s">
        <v>271</v>
      </c>
      <c r="G9" s="218"/>
      <c r="H9" s="218"/>
      <c r="I9" s="219"/>
      <c r="O9">
        <v>1</v>
      </c>
      <c r="AN9" s="13" t="str">
        <f>AN11</f>
        <v>Operativsystem</v>
      </c>
      <c r="AO9" s="13" t="str">
        <f t="shared" ref="AO9:BB9" si="2">AO11</f>
        <v>Skärmstorlek (tum)</v>
      </c>
      <c r="AP9" s="13" t="str">
        <f t="shared" si="2"/>
        <v>Upplösning</v>
      </c>
      <c r="AQ9" s="13" t="str">
        <f t="shared" si="2"/>
        <v>Lagringsutrymme</v>
      </c>
      <c r="AR9" s="13" t="str">
        <f t="shared" si="2"/>
        <v>Kommunikation Bluetooth</v>
      </c>
      <c r="AS9" s="13" t="str">
        <f t="shared" si="2"/>
        <v>Kommunikation WLAN</v>
      </c>
      <c r="AT9" s="13" t="str">
        <f t="shared" si="2"/>
        <v>Batteritid (tim)</v>
      </c>
      <c r="AU9" s="13" t="str">
        <f t="shared" si="2"/>
        <v>Miljömärkning</v>
      </c>
      <c r="AV9" s="13" t="str">
        <f t="shared" si="2"/>
        <v>Kommunikation WLAN</v>
      </c>
      <c r="AW9" s="13" t="str">
        <f t="shared" si="2"/>
        <v>Kommunikation Bluetooth</v>
      </c>
      <c r="AX9" s="13" t="str">
        <f t="shared" si="2"/>
        <v>Batteritid (tim)</v>
      </c>
      <c r="AY9" s="13" t="s">
        <v>52</v>
      </c>
      <c r="AZ9" s="13" t="str">
        <f t="shared" si="2"/>
        <v>Låsskydd</v>
      </c>
      <c r="BA9" s="13" t="str">
        <f t="shared" si="2"/>
        <v>Operativsystem</v>
      </c>
      <c r="BB9" s="13" t="str">
        <f t="shared" si="2"/>
        <v>Pris</v>
      </c>
      <c r="BC9" t="s">
        <v>224</v>
      </c>
      <c r="BD9" s="100" t="s">
        <v>340</v>
      </c>
      <c r="BE9" s="100" t="s">
        <v>341</v>
      </c>
      <c r="BF9" s="100" t="s">
        <v>342</v>
      </c>
      <c r="BG9" s="100" t="s">
        <v>343</v>
      </c>
      <c r="BH9" s="100" t="s">
        <v>344</v>
      </c>
      <c r="BI9" s="100" t="s">
        <v>345</v>
      </c>
      <c r="BJ9" s="100" t="s">
        <v>346</v>
      </c>
      <c r="BK9" s="100" t="s">
        <v>347</v>
      </c>
      <c r="BL9" s="100" t="s">
        <v>348</v>
      </c>
      <c r="BM9" s="100" t="s">
        <v>349</v>
      </c>
      <c r="BN9" s="56" t="s">
        <v>53</v>
      </c>
      <c r="BO9" s="56" t="s">
        <v>54</v>
      </c>
      <c r="BP9" s="56" t="s">
        <v>55</v>
      </c>
      <c r="BQ9" s="56" t="s">
        <v>59</v>
      </c>
      <c r="BR9" s="56" t="s">
        <v>227</v>
      </c>
      <c r="BS9" s="57" t="s">
        <v>228</v>
      </c>
      <c r="BT9" s="57" t="s">
        <v>229</v>
      </c>
      <c r="BU9" s="57" t="s">
        <v>230</v>
      </c>
      <c r="BV9" s="57" t="s">
        <v>231</v>
      </c>
      <c r="BW9" s="57"/>
      <c r="BX9" s="57"/>
      <c r="BY9" s="57" t="s">
        <v>6</v>
      </c>
      <c r="BZ9" s="4" t="s">
        <v>51</v>
      </c>
      <c r="CA9" s="13"/>
      <c r="CB9" s="13"/>
      <c r="CC9" s="13"/>
      <c r="CD9" s="13"/>
      <c r="CE9" s="13"/>
      <c r="CF9" s="13"/>
      <c r="CG9" s="13"/>
      <c r="CH9" s="13"/>
      <c r="CI9" s="13"/>
      <c r="CJ9" s="13"/>
      <c r="CK9" s="13"/>
      <c r="CL9" s="13"/>
      <c r="CM9" s="13"/>
      <c r="CN9" s="13"/>
    </row>
    <row r="10" spans="2:92" ht="22.5" customHeight="1" x14ac:dyDescent="0.35">
      <c r="B10">
        <f ca="1">COUNTIF($F$7:F13,"Produkt I varukorg*")</f>
        <v>1</v>
      </c>
      <c r="F10" s="51" t="str">
        <f>IF(D45&lt;1,"Inget antal angivet",IFERROR(INDEX($Z$12:$Z$35,MATCH(F7,$AA$12:$AA$35,0)),"Ingen produkt motsvarar"))</f>
        <v>Inget antal angivet</v>
      </c>
      <c r="G10" s="52">
        <f ca="1">IFERROR(P12,"Ingen produkt motsvarar")</f>
        <v>1700</v>
      </c>
      <c r="H10" s="52">
        <f ca="1">IFERROR(P13,"")</f>
        <v>2084</v>
      </c>
      <c r="I10" s="52">
        <f ca="1">IFERROR(P14,"")</f>
        <v>3205</v>
      </c>
      <c r="AA10" t="str">
        <f>IF(COUNTIF(AB10:AI10,FALSE)&gt;0,AL10,"")</f>
        <v/>
      </c>
      <c r="AB10" t="b">
        <f>IF($D$15="",TRUE,IF(AN10=$D$15,TRUE,FALSE))</f>
        <v>1</v>
      </c>
      <c r="AC10" t="b">
        <f>IF(D12="",TRUE,IF(AO10=$D$16,TRUE,FALSE))</f>
        <v>1</v>
      </c>
      <c r="AD10" t="b">
        <f>IF(D15="",TRUE,IF(AP10=D15,TRUE,FALSE))</f>
        <v>1</v>
      </c>
      <c r="AE10" t="b">
        <f>IF(D16="",TRUE,IF(AQ10=D16,TRUE,FALSE))</f>
        <v>1</v>
      </c>
      <c r="AF10" t="b">
        <f>IF(D17="",TRUE,IF(AR10=D17,TRUE,FALSE))</f>
        <v>1</v>
      </c>
      <c r="AG10" t="b">
        <f>IF(D18="",TRUE,IF(AS10=D18,TRUE,FALSE))</f>
        <v>1</v>
      </c>
      <c r="AH10" t="b">
        <f>IF(D14="",TRUE,IF(AT10=D14,TRUE,FALSE))</f>
        <v>1</v>
      </c>
      <c r="AI10" t="b">
        <f>IF(D13="",TRUE,IF(AV10=D13,TRUE,FALSE))</f>
        <v>1</v>
      </c>
      <c r="AL10" t="s">
        <v>126</v>
      </c>
      <c r="AN10" s="58" t="str">
        <f t="shared" ref="AN10:BL10" ca="1" si="3">IFERROR(INDEX(INDIRECT(AN$7&amp;"!$A$10:CC100000"),MATCH($AL10,INDIRECT(AN$7&amp;"!BH$10:BH100000"),0),MATCH(AN$9,INDIRECT(AN$7&amp;"!a10:CC10"),0)),"False")</f>
        <v>False</v>
      </c>
      <c r="AO10" s="58" t="str">
        <f t="shared" ca="1" si="3"/>
        <v>False</v>
      </c>
      <c r="AP10" s="58" t="str">
        <f t="shared" ca="1" si="3"/>
        <v>False</v>
      </c>
      <c r="AQ10" s="58" t="str">
        <f t="shared" ca="1" si="3"/>
        <v>False</v>
      </c>
      <c r="AR10" s="58" t="str">
        <f t="shared" ca="1" si="3"/>
        <v>False</v>
      </c>
      <c r="AS10" s="58" t="str">
        <f t="shared" ca="1" si="3"/>
        <v>False</v>
      </c>
      <c r="AT10" s="58" t="str">
        <f t="shared" ca="1" si="3"/>
        <v>False</v>
      </c>
      <c r="AU10" s="58" t="str">
        <f t="shared" ca="1" si="3"/>
        <v>False</v>
      </c>
      <c r="AV10" s="58" t="str">
        <f t="shared" ca="1" si="3"/>
        <v>False</v>
      </c>
      <c r="AW10" s="58" t="str">
        <f t="shared" ca="1" si="3"/>
        <v>False</v>
      </c>
      <c r="AX10" s="58" t="str">
        <f t="shared" ca="1" si="3"/>
        <v>False</v>
      </c>
      <c r="AY10" s="58" t="str">
        <f t="shared" ca="1" si="3"/>
        <v>False</v>
      </c>
      <c r="AZ10" s="58" t="str">
        <f t="shared" ca="1" si="3"/>
        <v>False</v>
      </c>
      <c r="BA10" s="58" t="str">
        <f t="shared" ca="1" si="3"/>
        <v>False</v>
      </c>
      <c r="BB10" s="58" t="str">
        <f t="shared" ca="1" si="3"/>
        <v>False</v>
      </c>
      <c r="BC10" s="58" t="str">
        <f t="shared" ca="1" si="3"/>
        <v>False</v>
      </c>
      <c r="BD10" s="58" t="str">
        <f t="shared" ca="1" si="3"/>
        <v>False</v>
      </c>
      <c r="BE10" s="58" t="str">
        <f t="shared" ca="1" si="3"/>
        <v>False</v>
      </c>
      <c r="BF10" s="58" t="str">
        <f t="shared" ca="1" si="3"/>
        <v>False</v>
      </c>
      <c r="BG10" s="58" t="str">
        <f t="shared" ca="1" si="3"/>
        <v>False</v>
      </c>
      <c r="BH10" s="58" t="str">
        <f t="shared" ca="1" si="3"/>
        <v>False</v>
      </c>
      <c r="BI10" s="58" t="str">
        <f t="shared" ca="1" si="3"/>
        <v>False</v>
      </c>
      <c r="BJ10" s="58" t="str">
        <f t="shared" ca="1" si="3"/>
        <v>False</v>
      </c>
      <c r="BK10" s="58" t="str">
        <f t="shared" ca="1" si="3"/>
        <v>False</v>
      </c>
      <c r="BL10" s="58" t="str">
        <f t="shared" ca="1" si="3"/>
        <v>False</v>
      </c>
      <c r="BM10" s="58"/>
      <c r="BN10" s="58" t="str">
        <f t="shared" ref="BN10:BV10" ca="1" si="4">IFERROR(INDEX(INDIRECT(BN$7&amp;"!$A$10:CC100000"),MATCH($AL10,INDIRECT(BN$7&amp;"!BH$10:BH100000"),0),MATCH(BN$9,INDIRECT(BN$7&amp;"!a10:CC10"),0)),"False")</f>
        <v>False</v>
      </c>
      <c r="BO10" s="58" t="str">
        <f t="shared" ca="1" si="4"/>
        <v>False</v>
      </c>
      <c r="BP10" s="58" t="str">
        <f t="shared" ca="1" si="4"/>
        <v>False</v>
      </c>
      <c r="BQ10" s="58" t="str">
        <f t="shared" ca="1" si="4"/>
        <v>False</v>
      </c>
      <c r="BR10" s="58" t="str">
        <f t="shared" ca="1" si="4"/>
        <v>False</v>
      </c>
      <c r="BS10" s="58" t="str">
        <f t="shared" ca="1" si="4"/>
        <v>False</v>
      </c>
      <c r="BT10" s="58" t="str">
        <f t="shared" ca="1" si="4"/>
        <v>False</v>
      </c>
      <c r="BU10" s="58" t="str">
        <f t="shared" ca="1" si="4"/>
        <v>False</v>
      </c>
      <c r="BV10" s="58" t="str">
        <f t="shared" ca="1" si="4"/>
        <v>False</v>
      </c>
      <c r="BW10" s="58"/>
      <c r="BX10" s="58"/>
      <c r="BY10" s="58" t="str">
        <f ca="1">IFERROR(INDEX(INDIRECT(BY$7&amp;"!$A$10:CC100000"),MATCH($AL10,INDIRECT(BY$7&amp;"!BH$10:BH100000"),0),MATCH(BY$9,INDIRECT(BY$7&amp;"!a10:CC10"),0)),"False")</f>
        <v>False</v>
      </c>
      <c r="BZ10" s="58" t="str">
        <f ca="1">IFERROR(INDEX(INDIRECT(BZ$7&amp;"!$A$10:CC100000"),MATCH($AL10,INDIRECT(BZ$7&amp;"!BH$10:BH100000"),0),MATCH(BZ$9,INDIRECT(BZ$7&amp;"!a10:CC10"),0)),"False")</f>
        <v>False</v>
      </c>
      <c r="CA10" s="58"/>
      <c r="CB10" s="58"/>
      <c r="CC10" s="58"/>
      <c r="CD10" s="58"/>
      <c r="CE10" s="58"/>
      <c r="CF10" s="58"/>
      <c r="CG10" s="58"/>
      <c r="CH10" s="58"/>
      <c r="CI10" s="58"/>
      <c r="CJ10" s="58"/>
      <c r="CK10" s="58"/>
      <c r="CL10" s="58"/>
      <c r="CM10" s="58"/>
      <c r="CN10" s="58"/>
    </row>
    <row r="11" spans="2:92" ht="22.5" customHeight="1" x14ac:dyDescent="0.35">
      <c r="C11" s="210" t="str">
        <f ca="1" xml:space="preserve"> "Surfplatta "  &amp; RIGHT("00" &amp; B10,2)</f>
        <v>Surfplatta 01</v>
      </c>
      <c r="D11" s="211"/>
      <c r="F11" s="92" t="str">
        <f>IF(F10="Inget antal angivet","",IFERROR(INDEX($AN$11:$BZ$37,MATCH(F$7,$AL$11:$AL$37,0),MATCH("Modellbenämning",$AN$11:$BZ$11,0)),""))</f>
        <v/>
      </c>
      <c r="G11" s="92" t="str">
        <f ca="1">IFERROR(INDEX($AN$11:$BZ$37,MATCH(G$7,$AL$11:$AL$37,0),MATCH("Modellbenämning",$AN$11:$BZ$11,0)),"")</f>
        <v>M10 FHD G2</v>
      </c>
      <c r="H11" s="92" t="str">
        <f ca="1">IFERROR(INDEX($AN$11:$BZ$37,MATCH(H$7,$AL$11:$AL$37,0),MATCH("Modellbenämning",$AN$11:$BZ$11,0)),"")</f>
        <v>Tab M10 (3rd Gen)</v>
      </c>
      <c r="I11" s="92" t="str">
        <f ca="1">IFERROR(INDEX($AN$11:$BZ$37,MATCH(I$7,$AL$11:$AL$37,0),MATCH("Modellbenämning",$AN$11:$BZ$11,0)),"")</f>
        <v>iPad 9th gen (2021)</v>
      </c>
      <c r="J11" s="93"/>
      <c r="K11" s="92"/>
      <c r="L11" s="92"/>
      <c r="M11" s="92"/>
      <c r="N11" s="92" t="e">
        <f ca="1">INDEX($N$12:$N$17,MATCH(Överblick!$L$2,$M$12:$M$17,0))</f>
        <v>#N/A</v>
      </c>
      <c r="O11" s="92"/>
      <c r="P11" s="92"/>
      <c r="Q11" s="92"/>
      <c r="R11" s="92">
        <v>1</v>
      </c>
      <c r="S11" s="92">
        <v>2</v>
      </c>
      <c r="T11" s="92">
        <v>3</v>
      </c>
      <c r="U11" s="92">
        <v>5</v>
      </c>
      <c r="V11" s="92">
        <v>6</v>
      </c>
      <c r="W11" s="92">
        <v>7</v>
      </c>
      <c r="X11" s="92">
        <v>8</v>
      </c>
      <c r="Y11" s="92">
        <v>9</v>
      </c>
      <c r="Z11" s="92"/>
      <c r="AA11" s="92" t="s">
        <v>122</v>
      </c>
      <c r="AB11" s="92" t="s">
        <v>3</v>
      </c>
      <c r="AC11" s="92" t="s">
        <v>7</v>
      </c>
      <c r="AD11" s="92" t="s">
        <v>2</v>
      </c>
      <c r="AE11" s="92" t="s">
        <v>17</v>
      </c>
      <c r="AF11" s="92" t="s">
        <v>75</v>
      </c>
      <c r="AG11" s="92" t="s">
        <v>103</v>
      </c>
      <c r="AH11" s="92" t="s">
        <v>120</v>
      </c>
      <c r="AI11" s="92" t="s">
        <v>39</v>
      </c>
      <c r="AJ11" s="92"/>
      <c r="AK11" s="92"/>
      <c r="AL11" s="92" t="s">
        <v>222</v>
      </c>
      <c r="AM11" s="92">
        <v>1</v>
      </c>
      <c r="AN11" s="92" t="s">
        <v>3</v>
      </c>
      <c r="AO11" s="92" t="s">
        <v>7</v>
      </c>
      <c r="AP11" s="92" t="s">
        <v>2</v>
      </c>
      <c r="AQ11" s="92" t="s">
        <v>17</v>
      </c>
      <c r="AR11" s="92" t="s">
        <v>75</v>
      </c>
      <c r="AS11" s="92" t="s">
        <v>103</v>
      </c>
      <c r="AT11" s="92" t="s">
        <v>120</v>
      </c>
      <c r="AU11" s="92" t="s">
        <v>39</v>
      </c>
      <c r="AV11" s="92" t="s">
        <v>103</v>
      </c>
      <c r="AW11" s="92" t="s">
        <v>75</v>
      </c>
      <c r="AX11" s="92" t="s">
        <v>120</v>
      </c>
      <c r="AY11" s="92" t="s">
        <v>52</v>
      </c>
      <c r="AZ11" s="92" t="s">
        <v>37</v>
      </c>
      <c r="BA11" s="92" t="s">
        <v>3</v>
      </c>
      <c r="BB11" s="92" t="s">
        <v>25</v>
      </c>
      <c r="BC11" s="92" t="s">
        <v>25</v>
      </c>
      <c r="BD11" s="92" t="s">
        <v>340</v>
      </c>
      <c r="BE11" s="92" t="s">
        <v>341</v>
      </c>
      <c r="BF11" s="92" t="s">
        <v>342</v>
      </c>
      <c r="BG11" s="92" t="s">
        <v>343</v>
      </c>
      <c r="BH11" s="92" t="s">
        <v>344</v>
      </c>
      <c r="BI11" s="92" t="s">
        <v>345</v>
      </c>
      <c r="BJ11" s="92" t="s">
        <v>346</v>
      </c>
      <c r="BK11" s="92" t="s">
        <v>347</v>
      </c>
      <c r="BL11" s="92" t="s">
        <v>348</v>
      </c>
      <c r="BM11" s="92" t="s">
        <v>349</v>
      </c>
      <c r="BN11" s="92" t="s">
        <v>53</v>
      </c>
      <c r="BO11" s="92" t="s">
        <v>54</v>
      </c>
      <c r="BP11" s="92" t="s">
        <v>55</v>
      </c>
      <c r="BQ11" s="92" t="s">
        <v>59</v>
      </c>
      <c r="BR11" s="92" t="s">
        <v>227</v>
      </c>
      <c r="BS11" s="92" t="s">
        <v>228</v>
      </c>
      <c r="BT11" s="92" t="s">
        <v>229</v>
      </c>
      <c r="BU11" s="92" t="s">
        <v>230</v>
      </c>
      <c r="BV11" s="92" t="s">
        <v>231</v>
      </c>
      <c r="BW11" s="92"/>
      <c r="BX11" s="92"/>
      <c r="BY11" s="92" t="s">
        <v>6</v>
      </c>
      <c r="BZ11" s="92" t="s">
        <v>51</v>
      </c>
      <c r="CA11" s="92" t="s">
        <v>2</v>
      </c>
      <c r="CB11" s="92" t="s">
        <v>17</v>
      </c>
      <c r="CC11" s="92" t="s">
        <v>75</v>
      </c>
      <c r="CD11" s="92" t="s">
        <v>103</v>
      </c>
      <c r="CE11" s="92" t="s">
        <v>7</v>
      </c>
      <c r="CF11" s="92" t="s">
        <v>120</v>
      </c>
      <c r="CG11" s="92" t="s">
        <v>3</v>
      </c>
      <c r="CH11" s="92" t="s">
        <v>39</v>
      </c>
      <c r="CI11" s="92" t="s">
        <v>103</v>
      </c>
      <c r="CJ11" s="92" t="s">
        <v>75</v>
      </c>
      <c r="CK11" s="92" t="s">
        <v>120</v>
      </c>
      <c r="CL11" s="92" t="s">
        <v>38</v>
      </c>
      <c r="CM11" s="92" t="s">
        <v>37</v>
      </c>
      <c r="CN11" s="92" t="s">
        <v>3</v>
      </c>
    </row>
    <row r="12" spans="2:92" ht="22.5" customHeight="1" outlineLevel="1" x14ac:dyDescent="0.35">
      <c r="C12" s="210" t="s">
        <v>261</v>
      </c>
      <c r="D12" s="211"/>
      <c r="F12" s="76" t="str">
        <f>IF(F10="Inget antal angivet","",IFERROR(INDEX($AN$11:$BZ$37,MATCH(F$7,$AL$11:$AL$37,0),MATCH("Varumärke",$AN$11:$BZ$11,0)),""))</f>
        <v/>
      </c>
      <c r="G12" s="77" t="str">
        <f ca="1">IFERROR(INDEX($AN$11:$BZ$37,MATCH(G$7,$AL$11:$AL$37,0),MATCH("Varumärke",$AN$11:$BZ$11,0)),"")</f>
        <v>Lenovo</v>
      </c>
      <c r="H12" s="77" t="str">
        <f ca="1">IFERROR(INDEX($AN$11:$BZ$37,MATCH(H$7,$AL$11:$AL$37,0),MATCH("Varumärke",$AN$11:$BZ$11,0)),"")</f>
        <v>Lenovo</v>
      </c>
      <c r="I12" s="119" t="str">
        <f ca="1">IFERROR(INDEX($AN$11:$BZ$37,MATCH(I$7,$AL$11:$AL$37,0),MATCH("Varumärke",$AN$11:$BZ$11,0)),"")</f>
        <v>Apple</v>
      </c>
      <c r="K12" s="185">
        <f t="shared" ref="K12:K17" ca="1" si="5">O12*$D$45</f>
        <v>0</v>
      </c>
      <c r="L12" s="185" t="b">
        <f t="shared" ref="L12:L17" si="6">IF($D$45=0,TRUE,IF(K12=0,FALSE,TRUE))</f>
        <v>1</v>
      </c>
      <c r="M12" s="185" t="s">
        <v>162</v>
      </c>
      <c r="N12" s="185" t="str">
        <f ca="1">IFERROR(INDEX($AA$12:$AA$37,MATCH(O12,$Z$12:$Z$37,0)),"")</f>
        <v>Offererad produktnr. 07Advania Sverige AB</v>
      </c>
      <c r="O12" s="185" cm="1">
        <f t="array" aca="1" ref="O12" ca="1">MIN(IF(($BY$12:$BY$35=M12)*($AM$12:$AM$35=$O$9),$Z$12:$Z$35))</f>
        <v>2084</v>
      </c>
      <c r="P12" s="197">
        <f ca="1">SMALL($Z$12:$Z$37,1)</f>
        <v>1700</v>
      </c>
      <c r="Q12" s="185">
        <f>SUM(R12:Y12)</f>
        <v>0</v>
      </c>
      <c r="R12" s="185">
        <f>IF($D$23="",0,BN12)</f>
        <v>0</v>
      </c>
      <c r="S12" s="185">
        <f t="shared" ref="S12:S27" si="7">IF($D$26="",0,BO12)</f>
        <v>0</v>
      </c>
      <c r="T12" s="185">
        <f t="shared" ref="T12:T27" si="8">IF($D$29="",0,BP12)</f>
        <v>0</v>
      </c>
      <c r="U12" s="185">
        <f t="shared" ref="U12:U27" si="9">IF($D$32="",0,BQ12)</f>
        <v>0</v>
      </c>
      <c r="V12" s="185">
        <f t="shared" ref="V12:V27" si="10">IF($D$35="",0,BR12)</f>
        <v>0</v>
      </c>
      <c r="W12" s="185">
        <f t="shared" ref="W12:W27" si="11">IF($D$39="",0,BS12)</f>
        <v>0</v>
      </c>
      <c r="X12" s="185">
        <f t="shared" ref="X12:X27" si="12">IF($D$40="",0,BT12)</f>
        <v>0</v>
      </c>
      <c r="Y12" s="185">
        <f t="shared" ref="Y12:Y27" si="13">IF($D$41="",0,BU12)</f>
        <v>0</v>
      </c>
      <c r="Z12" s="196">
        <f t="shared" ref="Z12:Z27" ca="1" si="14">IF(AA12="","",SUM(BC12,R12:Y12))</f>
        <v>2084</v>
      </c>
      <c r="AA12" s="185" t="str">
        <f t="shared" ref="AA12:AA27" si="15">IF(COUNTIF(AB12:AK12,FALSE)&gt;0,"",AL12)</f>
        <v>Offererad produktnr. 07Advania Sverige AB</v>
      </c>
      <c r="AB12" s="185" t="b">
        <f>IF(D13="",TRUE,IF(COUNTIF(Processor!$M$2:$M$3,D13)=0,IF(AN12=D13,TRUE,FALSE),IF(COUNTIF(AN12,INDEX(Processor!$N$2:$N$3,MATCH(Surfplattor!D13,Processor!$M$2:$M$3,0)))&gt;0,TRUE,FALSE)))</f>
        <v>1</v>
      </c>
      <c r="AC12" s="185" t="b">
        <f>IF($D$14="",TRUE,IF(COUNTIF(Processor!$I$2:$I$9,$D$14)&gt;0,AND(AO12&gt;INDEX(Processor!$J$2:$J$9,MATCH($D$14,Processor!$I$2:$I$9,0)),AO12&lt;INDEX(Processor!$K$2:$K$9,MATCH($D$14,Processor!$I$2:$I$9,0))),IF(AO12=$D$14,TRUE,FALSE)))</f>
        <v>1</v>
      </c>
      <c r="AD12" s="185" t="b">
        <f t="shared" ref="AD12:AD19" si="16">IFERROR(IF($D$15="",TRUE,IF(AND(IF(LEFT($D$15,4)*1&lt;=1*LEFT(AP12,4),TRUE,FALSE),IF(RIGHT(AP12,4)*1&gt;=1*RIGHT($D$15,4),TRUE,FALSE)),TRUE,FALSE)),0)</f>
        <v>1</v>
      </c>
      <c r="AE12" s="185" t="b">
        <f t="shared" ref="AE12" si="17">IF($D$16="",TRUE,IF(AQ12&gt;=$D$16,TRUE,FALSE))</f>
        <v>1</v>
      </c>
      <c r="AF12" s="185" t="b">
        <f t="shared" ref="AF12" si="18">IF($D$17="",TRUE,IF(AR12&gt;=$D$17,TRUE,FALSE))</f>
        <v>1</v>
      </c>
      <c r="AG12" s="185" t="b">
        <f>IF($D$18="",TRUE,IF($D$18="802.11a/b/g/n/ac",TRUE,IF(AS12&gt;=$D$18,TRUE,FALSE)))</f>
        <v>1</v>
      </c>
      <c r="AH12" s="185" t="b">
        <f>IF($D$19="",TRUE,IF(INDEX(Processor!$C$14:$C$20,MATCH(LEFT(AT12,10)&amp;"",Processor!$A$14:$A$20,0))&gt;=INDEX(Processor!$C$14:$C$20,MATCH(LEFT($D$19,10)&amp;"",Processor!$A$14:$A$20,0)),TRUE,FALSE))</f>
        <v>1</v>
      </c>
      <c r="AI12" s="185" t="b">
        <f>IF($D$20="",TRUE,IF($D$20="Miljömärkt",IF(AU12="Ej miljömärkt",FALSE,TRUE),IF(AU12=$D$20,TRUE,FALSE)))</f>
        <v>1</v>
      </c>
      <c r="AJ12" s="185"/>
      <c r="AK12" s="185"/>
      <c r="AL12" s="185" t="s">
        <v>204</v>
      </c>
      <c r="AM12" s="185">
        <v>1</v>
      </c>
      <c r="AN12" s="185" t="str">
        <f t="shared" ref="AN12:AW21" ca="1" si="19">IFERROR(INDEX(INDIRECT(AN$7&amp;"!$A$10:CC100000"),MATCH($AL12,INDIRECT(AN$7&amp;"!BH$10:BH100000"),0),MATCH(AN$9,INDIRECT(AN$7&amp;"!a10:CC10"),0)),"False")</f>
        <v>Android 11</v>
      </c>
      <c r="AO12" s="185">
        <f t="shared" ca="1" si="19"/>
        <v>10.1</v>
      </c>
      <c r="AP12" s="185" t="str">
        <f t="shared" ca="1" si="19"/>
        <v>1920x1200</v>
      </c>
      <c r="AQ12" s="185">
        <f t="shared" ca="1" si="19"/>
        <v>64</v>
      </c>
      <c r="AR12" s="185">
        <f t="shared" ca="1" si="19"/>
        <v>5</v>
      </c>
      <c r="AS12" s="185" t="str">
        <f t="shared" ca="1" si="19"/>
        <v>802.11a/b/g/n/ac</v>
      </c>
      <c r="AT12" s="185">
        <f t="shared" ca="1" si="19"/>
        <v>9</v>
      </c>
      <c r="AU12" s="185" t="str">
        <f t="shared" ca="1" si="19"/>
        <v>Ej miljömärkt</v>
      </c>
      <c r="AV12" s="185" t="str">
        <f t="shared" ca="1" si="19"/>
        <v>802.11a/b/g/n/ac</v>
      </c>
      <c r="AW12" s="185">
        <f t="shared" ca="1" si="19"/>
        <v>5</v>
      </c>
      <c r="AX12" s="185">
        <f t="shared" ref="AX12:BG21" ca="1" si="20">IFERROR(INDEX(INDIRECT(AX$7&amp;"!$A$10:CC100000"),MATCH($AL12,INDIRECT(AX$7&amp;"!BH$10:BH100000"),0),MATCH(AX$9,INDIRECT(AX$7&amp;"!a10:CC10"),0)),"False")</f>
        <v>9</v>
      </c>
      <c r="AY12" s="185" t="str">
        <f t="shared" ca="1" si="20"/>
        <v>Tab M10 (3rd Gen)</v>
      </c>
      <c r="AZ12" s="185">
        <f t="shared" ca="1" si="20"/>
        <v>0</v>
      </c>
      <c r="BA12" s="185" t="str">
        <f t="shared" ca="1" si="20"/>
        <v>Android 11</v>
      </c>
      <c r="BB12" s="185">
        <f t="shared" ca="1" si="20"/>
        <v>2084</v>
      </c>
      <c r="BC12" s="185">
        <f t="shared" ca="1" si="20"/>
        <v>2084</v>
      </c>
      <c r="BD12" s="192" t="str">
        <f t="shared" ca="1" si="20"/>
        <v>eSTUFF</v>
      </c>
      <c r="BE12" s="192" t="str">
        <f t="shared" ca="1" si="20"/>
        <v>eSTUFF</v>
      </c>
      <c r="BF12" s="192" t="str">
        <f t="shared" ca="1" si="20"/>
        <v>CoreParts</v>
      </c>
      <c r="BG12" s="192" t="str">
        <f t="shared" ca="1" si="20"/>
        <v>DELTACO</v>
      </c>
      <c r="BH12" s="192" t="str">
        <f t="shared" ref="BH12:BV21" ca="1" si="21">IFERROR(INDEX(INDIRECT(BH$7&amp;"!$A$10:CC100000"),MATCH($AL12,INDIRECT(BH$7&amp;"!BH$10:BH100000"),0),MATCH(BH$9,INDIRECT(BH$7&amp;"!a10:CC10"),0)),"False")</f>
        <v xml:space="preserve">ZAGG </v>
      </c>
      <c r="BI12" s="192" t="str">
        <f t="shared" ca="1" si="21"/>
        <v>ES685307-BULK - Vikbart fodral för surfplatta - polyuretan, polykarbonat, konstläder, mikrofiber - svart - för Lenovo Tab M10 (3rd Gen)</v>
      </c>
      <c r="BJ12" s="192" t="str">
        <f t="shared" ca="1" si="21"/>
        <v>ES517003 - Skärmskydd för surfplatta - glas - klar - för Lenovo Tab M10 (3rd Gen)</v>
      </c>
      <c r="BK12" s="192" t="str">
        <f t="shared" ca="1" si="21"/>
        <v>MBXUSB-AC0011 - Strömadapter - 12 Watt - 2.4 A (USB) - på kabel: USB-C - vit - med USB-C cable (2m)</v>
      </c>
      <c r="BL12" s="192" t="str">
        <f t="shared" ca="1" si="21"/>
        <v>TB-631</v>
      </c>
      <c r="BM12" s="192" t="str">
        <f t="shared" ca="1" si="21"/>
        <v>109912139 - Pro Stylus 2 - Aktiv penna - grå</v>
      </c>
      <c r="BN12" s="192">
        <f t="shared" ca="1" si="21"/>
        <v>251</v>
      </c>
      <c r="BO12" s="192">
        <f t="shared" ca="1" si="21"/>
        <v>251</v>
      </c>
      <c r="BP12" s="192">
        <f t="shared" ca="1" si="21"/>
        <v>108</v>
      </c>
      <c r="BQ12" s="192">
        <f t="shared" ca="1" si="21"/>
        <v>169</v>
      </c>
      <c r="BR12" s="192">
        <f t="shared" ca="1" si="21"/>
        <v>595</v>
      </c>
      <c r="BS12" s="192">
        <f t="shared" ca="1" si="21"/>
        <v>781</v>
      </c>
      <c r="BT12" s="192">
        <f t="shared" ca="1" si="21"/>
        <v>50</v>
      </c>
      <c r="BU12" s="192">
        <f t="shared" ca="1" si="21"/>
        <v>50</v>
      </c>
      <c r="BV12" s="192">
        <f t="shared" ca="1" si="21"/>
        <v>0</v>
      </c>
      <c r="BW12" s="192"/>
      <c r="BX12" s="192"/>
      <c r="BY12" s="192" t="str">
        <f t="shared" ref="BY12:BZ31" ca="1" si="22">IFERROR(INDEX(INDIRECT(BY$7&amp;"!$A$10:CC100000"),MATCH($AL12,INDIRECT(BY$7&amp;"!BH$10:BH100000"),0),MATCH(BY$9,INDIRECT(BY$7&amp;"!a10:CC10"),0)),"False")</f>
        <v>Advania Sverige AB</v>
      </c>
      <c r="BZ12" s="192" t="str">
        <f t="shared" ca="1" si="22"/>
        <v>Lenovo</v>
      </c>
      <c r="CA12" s="199" t="s">
        <v>163</v>
      </c>
      <c r="CB12" s="192">
        <v>64</v>
      </c>
      <c r="CC12" s="185">
        <v>4.2</v>
      </c>
      <c r="CD12" s="192" t="s">
        <v>79</v>
      </c>
      <c r="CE12" s="185">
        <v>10.1</v>
      </c>
      <c r="CF12" s="185">
        <v>8</v>
      </c>
      <c r="CG12" s="185" t="s">
        <v>165</v>
      </c>
      <c r="CH12" s="192" t="s">
        <v>142</v>
      </c>
      <c r="CI12" s="192" t="s">
        <v>79</v>
      </c>
      <c r="CJ12" s="185">
        <v>4</v>
      </c>
      <c r="CK12" s="185">
        <v>8</v>
      </c>
      <c r="CL12" s="192">
        <v>0</v>
      </c>
      <c r="CM12" s="192">
        <v>0</v>
      </c>
      <c r="CN12" s="185" t="s">
        <v>165</v>
      </c>
    </row>
    <row r="13" spans="2:92" ht="22.5" customHeight="1" outlineLevel="1" x14ac:dyDescent="0.35">
      <c r="C13" s="61" t="s">
        <v>3</v>
      </c>
      <c r="D13" s="64"/>
      <c r="F13" s="78" t="str">
        <f t="shared" ref="F13:F20" si="23">IF(F$10="Inget antal angivet","",IFERROR(INDEX($AN$11:$BZ$37,MATCH(F$7,$AL$11:$AL$37,0),MATCH($C13,$AN$11:$BZ$11,0)),""))</f>
        <v/>
      </c>
      <c r="G13" s="79" t="str">
        <f ca="1">IFERROR(INDEX($AN$11:$BZ$37,MATCH(G$7,$AL$11:$AL$37,0),MATCH($C13,$AN$11:$BZ$11,0)),"")</f>
        <v>Android 9</v>
      </c>
      <c r="H13" s="79" t="str">
        <f t="shared" ref="G13:I20" ca="1" si="24">IFERROR(INDEX($AN$11:$BZ$37,MATCH(H$7,$AL$11:$AL$37,0),MATCH($C13,$AN$11:$BZ$11,0)),"")</f>
        <v>Android 11</v>
      </c>
      <c r="I13" s="120" t="str">
        <f t="shared" ca="1" si="24"/>
        <v>iPadOS 15</v>
      </c>
      <c r="J13" s="62"/>
      <c r="K13" s="185">
        <f t="shared" ca="1" si="5"/>
        <v>0</v>
      </c>
      <c r="L13" s="185" t="b">
        <f t="shared" si="6"/>
        <v>1</v>
      </c>
      <c r="M13" s="185" t="s">
        <v>150</v>
      </c>
      <c r="N13" s="185" t="str">
        <f t="shared" ref="N13:N17" ca="1" si="25">IFERROR(INDEX($AA$12:$AA$37,MATCH(O13,$Z$12:$Z$37,0)),"")</f>
        <v>Offererad produktnr. 08Atea Sverige AB</v>
      </c>
      <c r="O13" s="185" cm="1">
        <f t="array" aca="1" ref="O13" ca="1">MIN(IF(($BY$12:$BY$35=M13)*($AM$12:$AM$35=$O$9),$Z$12:$Z$35))</f>
        <v>5254</v>
      </c>
      <c r="P13" s="197">
        <f ca="1">SMALL($Z$12:$Z$37,2)</f>
        <v>2084</v>
      </c>
      <c r="Q13" s="185">
        <f t="shared" ref="Q13:Q27" si="26">SUM(R13:Y13)</f>
        <v>0</v>
      </c>
      <c r="R13" s="185">
        <f t="shared" ref="R13:R27" si="27">IF($D$23="",0,BN13)</f>
        <v>0</v>
      </c>
      <c r="S13" s="185">
        <f t="shared" si="7"/>
        <v>0</v>
      </c>
      <c r="T13" s="185">
        <f t="shared" si="8"/>
        <v>0</v>
      </c>
      <c r="U13" s="185">
        <f t="shared" si="9"/>
        <v>0</v>
      </c>
      <c r="V13" s="185">
        <f t="shared" si="10"/>
        <v>0</v>
      </c>
      <c r="W13" s="185">
        <f t="shared" si="11"/>
        <v>0</v>
      </c>
      <c r="X13" s="185">
        <f t="shared" si="12"/>
        <v>0</v>
      </c>
      <c r="Y13" s="185">
        <f t="shared" si="13"/>
        <v>0</v>
      </c>
      <c r="Z13" s="196">
        <f t="shared" ca="1" si="14"/>
        <v>4238</v>
      </c>
      <c r="AA13" s="185" t="str">
        <f t="shared" si="15"/>
        <v>Offererad produktnr. 08Advania Sverige AB</v>
      </c>
      <c r="AB13" s="185" t="b">
        <f>IF(D13="",TRUE,IF(COUNTIF(Processor!$M$2:$M$3,D13)=0,IF(AN13=D13,TRUE,FALSE),IF(COUNTIF(AN13,INDEX(Processor!$N$2:$N$3,MATCH(Surfplattor!D13,Processor!$M$2:$M$3,0)))&gt;0,TRUE,FALSE)))</f>
        <v>1</v>
      </c>
      <c r="AC13" s="185" t="b">
        <f>IF($D$14="",TRUE,IF(COUNTIF(Processor!$I$2:$I$9,$D$14)&gt;0,AND(AO13&gt;INDEX(Processor!$J$2:$J$9,MATCH($D$14,Processor!$I$2:$I$9,0)),AO13&lt;INDEX(Processor!$K$2:$K$9,MATCH($D$14,Processor!$I$2:$I$9,0))),IF(AO13=$D$14,TRUE,FALSE)))</f>
        <v>1</v>
      </c>
      <c r="AD13" s="185" t="b">
        <f t="shared" si="16"/>
        <v>1</v>
      </c>
      <c r="AE13" s="185" t="b">
        <f t="shared" ref="AE13:AE31" si="28">IF($D$16="",TRUE,IF(AQ13&gt;=$D$16,TRUE,FALSE))</f>
        <v>1</v>
      </c>
      <c r="AF13" s="185" t="b">
        <f t="shared" ref="AF13:AF31" si="29">IF($D$17="",TRUE,IF(AR13&gt;=$D$17,TRUE,FALSE))</f>
        <v>1</v>
      </c>
      <c r="AG13" s="185" t="b">
        <f t="shared" ref="AG13:AG31" si="30">IF($D$18="",TRUE,IF($D$18="802.11a/b/g/n/ac",TRUE,IF(AS13&gt;=$D$18,TRUE,FALSE)))</f>
        <v>1</v>
      </c>
      <c r="AH13" s="185" t="b">
        <f>IF($D$19="",TRUE,IF(INDEX(Processor!$C$14:$C$20,MATCH(LEFT(AT13,10)&amp;"",Processor!$A$14:$A$20,0))&gt;=INDEX(Processor!$C$14:$C$20,MATCH(LEFT($D$19,10)&amp;"",Processor!$A$14:$A$20,0)),TRUE,FALSE))</f>
        <v>1</v>
      </c>
      <c r="AI13" s="185" t="b">
        <f t="shared" ref="AI13:AI31" si="31">IF($D$20="",TRUE,IF($D$20="Miljömärkt",IF(AU13="Ej miljömärkt",FALSE,TRUE),IF(AU13=$D$20,TRUE,FALSE)))</f>
        <v>1</v>
      </c>
      <c r="AJ13" s="185"/>
      <c r="AK13" s="185"/>
      <c r="AL13" s="185" t="s">
        <v>205</v>
      </c>
      <c r="AM13" s="185">
        <v>1</v>
      </c>
      <c r="AN13" s="185" t="str">
        <f t="shared" ca="1" si="19"/>
        <v>iPadOS 14</v>
      </c>
      <c r="AO13" s="185">
        <f t="shared" ca="1" si="19"/>
        <v>10.199999999999999</v>
      </c>
      <c r="AP13" s="185" t="str">
        <f t="shared" ca="1" si="19"/>
        <v>2160x1620</v>
      </c>
      <c r="AQ13" s="185">
        <f t="shared" ca="1" si="19"/>
        <v>64</v>
      </c>
      <c r="AR13" s="185">
        <f t="shared" ca="1" si="19"/>
        <v>4.2</v>
      </c>
      <c r="AS13" s="185" t="str">
        <f t="shared" ca="1" si="19"/>
        <v>802.11a/b/g/n/ac</v>
      </c>
      <c r="AT13" s="185">
        <f t="shared" ca="1" si="19"/>
        <v>10</v>
      </c>
      <c r="AU13" s="185" t="str">
        <f t="shared" ca="1" si="19"/>
        <v>EPEAT Gold</v>
      </c>
      <c r="AV13" s="185" t="str">
        <f t="shared" ca="1" si="19"/>
        <v>802.11a/b/g/n/ac</v>
      </c>
      <c r="AW13" s="185">
        <f t="shared" ca="1" si="19"/>
        <v>4.2</v>
      </c>
      <c r="AX13" s="185">
        <f t="shared" ca="1" si="20"/>
        <v>10</v>
      </c>
      <c r="AY13" s="185" t="str">
        <f t="shared" ca="1" si="20"/>
        <v>10.2-inch iPad Wi-Fi 64GB</v>
      </c>
      <c r="AZ13" s="185">
        <f t="shared" ca="1" si="20"/>
        <v>0</v>
      </c>
      <c r="BA13" s="185" t="str">
        <f t="shared" ca="1" si="20"/>
        <v>iPadOS 14</v>
      </c>
      <c r="BB13" s="185">
        <f t="shared" ca="1" si="20"/>
        <v>4238</v>
      </c>
      <c r="BC13" s="185">
        <f t="shared" ca="1" si="20"/>
        <v>4238</v>
      </c>
      <c r="BD13" s="192" t="str">
        <f t="shared" ca="1" si="20"/>
        <v>eSTUFF</v>
      </c>
      <c r="BE13" s="192" t="str">
        <f t="shared" ca="1" si="20"/>
        <v>eSTUFF</v>
      </c>
      <c r="BF13" s="192" t="str">
        <f t="shared" ca="1" si="20"/>
        <v>DELTACO</v>
      </c>
      <c r="BG13" s="192" t="str">
        <f t="shared" ca="1" si="20"/>
        <v>DELTACO</v>
      </c>
      <c r="BH13" s="192" t="str">
        <f t="shared" ca="1" si="21"/>
        <v xml:space="preserve">ZAGG </v>
      </c>
      <c r="BI13" s="192" t="str">
        <f t="shared" ca="1" si="21"/>
        <v>ES682335-BULK - Baksidesskydd för surfplatta</v>
      </c>
      <c r="BJ13" s="192" t="str">
        <f t="shared" ca="1" si="21"/>
        <v>ES503200 - Titan Shield - skärmskydd för mobiltelefon</v>
      </c>
      <c r="BK13" s="192" t="str">
        <f t="shared" ca="1" si="21"/>
        <v xml:space="preserve">USBC-AC141 </v>
      </c>
      <c r="BL13" s="192" t="str">
        <f t="shared" ca="1" si="21"/>
        <v>TB-631</v>
      </c>
      <c r="BM13" s="192" t="str">
        <f t="shared" ca="1" si="21"/>
        <v>109912139 - Pro Stylus 2 - Aktiv penna - grå</v>
      </c>
      <c r="BN13" s="192">
        <f t="shared" ca="1" si="21"/>
        <v>181</v>
      </c>
      <c r="BO13" s="192">
        <f t="shared" ca="1" si="21"/>
        <v>219</v>
      </c>
      <c r="BP13" s="192">
        <f t="shared" ca="1" si="21"/>
        <v>144</v>
      </c>
      <c r="BQ13" s="192">
        <f t="shared" ca="1" si="21"/>
        <v>169</v>
      </c>
      <c r="BR13" s="192">
        <f t="shared" ca="1" si="21"/>
        <v>595</v>
      </c>
      <c r="BS13" s="192">
        <f t="shared" ca="1" si="21"/>
        <v>781</v>
      </c>
      <c r="BT13" s="192">
        <f t="shared" ca="1" si="21"/>
        <v>50</v>
      </c>
      <c r="BU13" s="192">
        <f t="shared" ca="1" si="21"/>
        <v>50</v>
      </c>
      <c r="BV13" s="192">
        <f t="shared" ca="1" si="21"/>
        <v>0</v>
      </c>
      <c r="BW13" s="192"/>
      <c r="BX13" s="192"/>
      <c r="BY13" s="192" t="str">
        <f t="shared" ca="1" si="22"/>
        <v>Advania Sverige AB</v>
      </c>
      <c r="BZ13" s="192" t="str">
        <f t="shared" ca="1" si="22"/>
        <v>Apple</v>
      </c>
      <c r="CA13" s="200" t="s">
        <v>141</v>
      </c>
      <c r="CB13" s="185">
        <v>128</v>
      </c>
      <c r="CC13" s="185">
        <v>5</v>
      </c>
      <c r="CD13" s="185" t="s">
        <v>86</v>
      </c>
      <c r="CE13" s="185">
        <v>10.199999999999999</v>
      </c>
      <c r="CF13" s="185">
        <v>9</v>
      </c>
      <c r="CG13" s="185" t="s">
        <v>83</v>
      </c>
      <c r="CH13" s="192" t="s">
        <v>94</v>
      </c>
      <c r="CI13" s="185" t="s">
        <v>86</v>
      </c>
      <c r="CJ13" s="185">
        <v>4.2</v>
      </c>
      <c r="CK13" s="185">
        <v>9</v>
      </c>
      <c r="CL13" s="185" t="s">
        <v>352</v>
      </c>
      <c r="CM13" s="185" t="s">
        <v>69</v>
      </c>
      <c r="CN13" s="185" t="s">
        <v>83</v>
      </c>
    </row>
    <row r="14" spans="2:92" ht="22.5" customHeight="1" outlineLevel="1" x14ac:dyDescent="0.35">
      <c r="C14" s="61" t="s">
        <v>7</v>
      </c>
      <c r="D14" s="64"/>
      <c r="F14" s="78" t="str">
        <f t="shared" si="23"/>
        <v/>
      </c>
      <c r="G14" s="79">
        <f t="shared" ca="1" si="24"/>
        <v>10.3</v>
      </c>
      <c r="H14" s="79">
        <f t="shared" ca="1" si="24"/>
        <v>10.1</v>
      </c>
      <c r="I14" s="120">
        <f t="shared" ca="1" si="24"/>
        <v>10.199999999999999</v>
      </c>
      <c r="J14" s="62"/>
      <c r="K14" s="185">
        <f t="shared" ca="1" si="5"/>
        <v>0</v>
      </c>
      <c r="L14" s="185" t="b">
        <f t="shared" si="6"/>
        <v>1</v>
      </c>
      <c r="M14" s="185" t="s">
        <v>128</v>
      </c>
      <c r="N14" s="185" t="str">
        <f t="shared" ca="1" si="25"/>
        <v>Offererad produktnr. 07Dustin Sverige AB</v>
      </c>
      <c r="O14" s="185" cm="1">
        <f t="array" aca="1" ref="O14" ca="1">MIN(IF(($BY$12:$BY$35=M14)*($AM$12:$AM$35=$O$9),$Z$12:$Z$35))</f>
        <v>3261</v>
      </c>
      <c r="P14" s="197">
        <f ca="1">SMALL($Z$12:$Z$37,3)</f>
        <v>3205</v>
      </c>
      <c r="Q14" s="185">
        <f t="shared" si="26"/>
        <v>0</v>
      </c>
      <c r="R14" s="185">
        <f t="shared" si="27"/>
        <v>0</v>
      </c>
      <c r="S14" s="185">
        <f t="shared" si="7"/>
        <v>0</v>
      </c>
      <c r="T14" s="185">
        <f t="shared" si="8"/>
        <v>0</v>
      </c>
      <c r="U14" s="185">
        <f t="shared" si="9"/>
        <v>0</v>
      </c>
      <c r="V14" s="185">
        <f t="shared" si="10"/>
        <v>0</v>
      </c>
      <c r="W14" s="185">
        <f t="shared" si="11"/>
        <v>0</v>
      </c>
      <c r="X14" s="185">
        <f t="shared" si="12"/>
        <v>0</v>
      </c>
      <c r="Y14" s="185">
        <f t="shared" si="13"/>
        <v>0</v>
      </c>
      <c r="Z14" s="196">
        <f t="shared" ca="1" si="14"/>
        <v>8671</v>
      </c>
      <c r="AA14" s="185" t="str">
        <f t="shared" si="15"/>
        <v>Offererad produktnr. 09Advania Sverige AB</v>
      </c>
      <c r="AB14" s="185" t="b">
        <f>IF(D13="",TRUE,IF(COUNTIF(Processor!$M$2:$M$3,D13)=0,IF(AN14=D13,TRUE,FALSE),IF(COUNTIF(AN14,INDEX(Processor!$N$2:$N$3,MATCH(Surfplattor!D13,Processor!$M$2:$M$3,0)))&gt;0,TRUE,FALSE)))</f>
        <v>1</v>
      </c>
      <c r="AC14" s="185" t="b">
        <f>IF($D$14="",TRUE,IF(COUNTIF(Processor!$I$2:$I$9,$D$14)&gt;0,AND(AO14&gt;INDEX(Processor!$J$2:$J$9,MATCH($D$14,Processor!$I$2:$I$9,0)),AO14&lt;INDEX(Processor!$K$2:$K$9,MATCH($D$14,Processor!$I$2:$I$9,0))),IF(AO14=$D$14,TRUE,FALSE)))</f>
        <v>1</v>
      </c>
      <c r="AD14" s="185" t="b">
        <f t="shared" si="16"/>
        <v>1</v>
      </c>
      <c r="AE14" s="185" t="b">
        <f t="shared" si="28"/>
        <v>1</v>
      </c>
      <c r="AF14" s="185" t="b">
        <f t="shared" si="29"/>
        <v>1</v>
      </c>
      <c r="AG14" s="185" t="b">
        <f t="shared" si="30"/>
        <v>1</v>
      </c>
      <c r="AH14" s="185" t="b">
        <f>IF($D$19="",TRUE,IF(INDEX(Processor!$C$14:$C$20,MATCH(LEFT(AT14,10)&amp;"",Processor!$A$14:$A$20,0))&gt;=INDEX(Processor!$C$14:$C$20,MATCH(LEFT($D$19,10)&amp;"",Processor!$A$14:$A$20,0)),TRUE,FALSE))</f>
        <v>1</v>
      </c>
      <c r="AI14" s="185" t="b">
        <f t="shared" si="31"/>
        <v>1</v>
      </c>
      <c r="AJ14" s="185"/>
      <c r="AK14" s="185"/>
      <c r="AL14" s="185" t="s">
        <v>206</v>
      </c>
      <c r="AM14" s="185">
        <v>1</v>
      </c>
      <c r="AN14" s="185" t="str">
        <f t="shared" ca="1" si="19"/>
        <v>Android 11</v>
      </c>
      <c r="AO14" s="185">
        <f t="shared" ca="1" si="19"/>
        <v>11</v>
      </c>
      <c r="AP14" s="185" t="str">
        <f t="shared" ca="1" si="19"/>
        <v>2560x1600</v>
      </c>
      <c r="AQ14" s="185">
        <f t="shared" ca="1" si="19"/>
        <v>128</v>
      </c>
      <c r="AR14" s="185">
        <f t="shared" ca="1" si="19"/>
        <v>5.3</v>
      </c>
      <c r="AS14" s="185" t="str">
        <f t="shared" ca="1" si="19"/>
        <v>802.11a/b/g/n/ac/ax</v>
      </c>
      <c r="AT14" s="185">
        <f t="shared" ca="1" si="19"/>
        <v>13</v>
      </c>
      <c r="AU14" s="185" t="str">
        <f t="shared" ca="1" si="19"/>
        <v>Ej miljömärkt</v>
      </c>
      <c r="AV14" s="185" t="str">
        <f t="shared" ca="1" si="19"/>
        <v>802.11a/b/g/n/ac/ax</v>
      </c>
      <c r="AW14" s="185">
        <f t="shared" ca="1" si="19"/>
        <v>5.3</v>
      </c>
      <c r="AX14" s="185">
        <f t="shared" ca="1" si="20"/>
        <v>13</v>
      </c>
      <c r="AY14" s="185" t="str">
        <f t="shared" ca="1" si="20"/>
        <v>Samsung Galaxy Tab S9</v>
      </c>
      <c r="AZ14" s="185">
        <f t="shared" ca="1" si="20"/>
        <v>0</v>
      </c>
      <c r="BA14" s="185" t="str">
        <f t="shared" ca="1" si="20"/>
        <v>Android 11</v>
      </c>
      <c r="BB14" s="185">
        <f t="shared" ca="1" si="20"/>
        <v>8671</v>
      </c>
      <c r="BC14" s="185">
        <f t="shared" ca="1" si="20"/>
        <v>8671</v>
      </c>
      <c r="BD14" s="192" t="str">
        <f t="shared" ca="1" si="20"/>
        <v>Insmat</v>
      </c>
      <c r="BE14" s="192" t="str">
        <f t="shared" ca="1" si="20"/>
        <v>Samsung</v>
      </c>
      <c r="BF14" s="192" t="str">
        <f t="shared" ca="1" si="20"/>
        <v>CoreParts</v>
      </c>
      <c r="BG14" s="192" t="str">
        <f t="shared" ca="1" si="20"/>
        <v>DELTACO</v>
      </c>
      <c r="BH14" s="192" t="str">
        <f t="shared" ca="1" si="21"/>
        <v>Samsung</v>
      </c>
      <c r="BI14" s="192" t="str">
        <f t="shared" ca="1" si="21"/>
        <v xml:space="preserve">652-1287 - Baksidesskydd för surfplatta - robust - rugged armor </v>
      </c>
      <c r="BJ14" s="192" t="str">
        <f t="shared" ca="1" si="21"/>
        <v>EF-UX710CTEGWW - EF-UX710 - Skärmskydd för surfplatta</v>
      </c>
      <c r="BK14" s="192" t="str">
        <f t="shared" ca="1" si="21"/>
        <v>MBXUSB-AC0011 - Strömadapter - 12 Watt - 2.4 A (USB) - på kabel: USB-C - vit - med USB-C cable (2m)</v>
      </c>
      <c r="BL14" s="192" t="str">
        <f t="shared" ca="1" si="21"/>
        <v>TB-631</v>
      </c>
      <c r="BM14" s="192" t="str">
        <f t="shared" ca="1" si="21"/>
        <v>EJ-PX710BBEGEU - S Pen - Aktiv penna - Bluetooth</v>
      </c>
      <c r="BN14" s="192">
        <f t="shared" ca="1" si="21"/>
        <v>174</v>
      </c>
      <c r="BO14" s="192">
        <f t="shared" ca="1" si="21"/>
        <v>219</v>
      </c>
      <c r="BP14" s="192">
        <f t="shared" ca="1" si="21"/>
        <v>108</v>
      </c>
      <c r="BQ14" s="192">
        <f t="shared" ca="1" si="21"/>
        <v>169</v>
      </c>
      <c r="BR14" s="192">
        <f t="shared" ca="1" si="21"/>
        <v>295</v>
      </c>
      <c r="BS14" s="192">
        <f t="shared" ca="1" si="21"/>
        <v>269</v>
      </c>
      <c r="BT14" s="192">
        <f t="shared" ca="1" si="21"/>
        <v>50</v>
      </c>
      <c r="BU14" s="192">
        <f t="shared" ca="1" si="21"/>
        <v>50</v>
      </c>
      <c r="BV14" s="192">
        <f t="shared" ca="1" si="21"/>
        <v>0</v>
      </c>
      <c r="BW14" s="192"/>
      <c r="BX14" s="192"/>
      <c r="BY14" s="192" t="str">
        <f t="shared" ca="1" si="22"/>
        <v>Advania Sverige AB</v>
      </c>
      <c r="BZ14" s="192" t="str">
        <f t="shared" ca="1" si="22"/>
        <v>Samsung</v>
      </c>
      <c r="CA14" s="199" t="s">
        <v>90</v>
      </c>
      <c r="CB14" s="185">
        <v>0</v>
      </c>
      <c r="CC14" s="186">
        <v>5.2</v>
      </c>
      <c r="CD14" s="185"/>
      <c r="CE14" s="185">
        <v>10.3</v>
      </c>
      <c r="CF14" s="185">
        <v>10</v>
      </c>
      <c r="CG14" s="185" t="s">
        <v>91</v>
      </c>
      <c r="CH14" s="185" t="s">
        <v>171</v>
      </c>
      <c r="CI14" s="185"/>
      <c r="CJ14" s="186">
        <v>5</v>
      </c>
      <c r="CK14" s="185">
        <v>10</v>
      </c>
      <c r="CL14" s="185"/>
      <c r="CM14" s="185"/>
      <c r="CN14" s="185" t="s">
        <v>91</v>
      </c>
    </row>
    <row r="15" spans="2:92" ht="22.5" customHeight="1" outlineLevel="1" x14ac:dyDescent="0.35">
      <c r="C15" s="61" t="s">
        <v>2</v>
      </c>
      <c r="D15" s="64"/>
      <c r="F15" s="78" t="str">
        <f t="shared" si="23"/>
        <v/>
      </c>
      <c r="G15" s="79" t="str">
        <f t="shared" ca="1" si="24"/>
        <v>1920x1200</v>
      </c>
      <c r="H15" s="79" t="str">
        <f t="shared" ca="1" si="24"/>
        <v>1920x1200</v>
      </c>
      <c r="I15" s="120" t="str">
        <f t="shared" ca="1" si="24"/>
        <v>2160x1620</v>
      </c>
      <c r="J15" s="62"/>
      <c r="K15" s="185">
        <f t="shared" ca="1" si="5"/>
        <v>0</v>
      </c>
      <c r="L15" s="185" t="b">
        <f t="shared" si="6"/>
        <v>1</v>
      </c>
      <c r="M15" s="185" t="s">
        <v>169</v>
      </c>
      <c r="N15" s="185" t="str">
        <f t="shared" ca="1" si="25"/>
        <v>Offererad produktnr. 08Foxway Education AB</v>
      </c>
      <c r="O15" s="185" cm="1">
        <f t="array" aca="1" ref="O15" ca="1">MIN(IF(($BY$12:$BY$35=M15)*($AM$12:$AM$35=$O$9),$Z$12:$Z$35))</f>
        <v>3894</v>
      </c>
      <c r="P15" s="197"/>
      <c r="Q15" s="185">
        <f t="shared" si="26"/>
        <v>0</v>
      </c>
      <c r="R15" s="185">
        <f t="shared" si="27"/>
        <v>0</v>
      </c>
      <c r="S15" s="185">
        <f t="shared" si="7"/>
        <v>0</v>
      </c>
      <c r="T15" s="185">
        <f t="shared" si="8"/>
        <v>0</v>
      </c>
      <c r="U15" s="185">
        <f t="shared" si="9"/>
        <v>0</v>
      </c>
      <c r="V15" s="185">
        <f t="shared" si="10"/>
        <v>0</v>
      </c>
      <c r="W15" s="185">
        <f t="shared" si="11"/>
        <v>0</v>
      </c>
      <c r="X15" s="185">
        <f t="shared" si="12"/>
        <v>0</v>
      </c>
      <c r="Y15" s="185">
        <f t="shared" si="13"/>
        <v>0</v>
      </c>
      <c r="Z15" s="196">
        <f t="shared" ca="1" si="14"/>
        <v>6116</v>
      </c>
      <c r="AA15" s="185" t="str">
        <f t="shared" si="15"/>
        <v>Offererad produktnr. 10Advania Sverige AB</v>
      </c>
      <c r="AB15" s="185" t="b">
        <f>IF(D13="",TRUE,IF(COUNTIF(Processor!$M$2:$M$3,D13)=0,IF(AN15=D13,TRUE,FALSE),IF(COUNTIF(AN15,INDEX(Processor!$N$2:$N$3,MATCH(Surfplattor!D13,Processor!$M$2:$M$3,0)))&gt;0,TRUE,FALSE)))</f>
        <v>1</v>
      </c>
      <c r="AC15" s="185" t="b">
        <f>IF($D$14="",TRUE,IF(COUNTIF(Processor!$I$2:$I$9,$D$14)&gt;0,AND(AO15&gt;INDEX(Processor!$J$2:$J$9,MATCH($D$14,Processor!$I$2:$I$9,0)),AO15&lt;INDEX(Processor!$K$2:$K$9,MATCH($D$14,Processor!$I$2:$I$9,0))),IF(AO15=$D$14,TRUE,FALSE)))</f>
        <v>1</v>
      </c>
      <c r="AD15" s="185" t="b">
        <f t="shared" si="16"/>
        <v>1</v>
      </c>
      <c r="AE15" s="185" t="b">
        <f t="shared" si="28"/>
        <v>1</v>
      </c>
      <c r="AF15" s="185" t="b">
        <f t="shared" si="29"/>
        <v>1</v>
      </c>
      <c r="AG15" s="185" t="b">
        <f t="shared" si="30"/>
        <v>1</v>
      </c>
      <c r="AH15" s="185" t="b">
        <f>IF($D$19="",TRUE,IF(INDEX(Processor!$C$14:$C$20,MATCH(LEFT(AT15,10)&amp;"",Processor!$A$14:$A$20,0))&gt;=INDEX(Processor!$C$14:$C$20,MATCH(LEFT($D$19,10)&amp;"",Processor!$A$14:$A$20,0)),TRUE,FALSE))</f>
        <v>1</v>
      </c>
      <c r="AI15" s="185" t="b">
        <f t="shared" si="31"/>
        <v>1</v>
      </c>
      <c r="AJ15" s="185"/>
      <c r="AK15" s="185"/>
      <c r="AL15" s="185" t="s">
        <v>207</v>
      </c>
      <c r="AM15" s="185">
        <v>1</v>
      </c>
      <c r="AN15" s="185" t="str">
        <f t="shared" ca="1" si="19"/>
        <v>Android 11</v>
      </c>
      <c r="AO15" s="185">
        <f t="shared" ca="1" si="19"/>
        <v>11</v>
      </c>
      <c r="AP15" s="185" t="str">
        <f t="shared" ca="1" si="19"/>
        <v>2560x1600</v>
      </c>
      <c r="AQ15" s="185">
        <f t="shared" ca="1" si="19"/>
        <v>128</v>
      </c>
      <c r="AR15" s="185">
        <f t="shared" ca="1" si="19"/>
        <v>5.2</v>
      </c>
      <c r="AS15" s="185" t="str">
        <f t="shared" ca="1" si="19"/>
        <v>802.11a/b/g/n/ac/ax</v>
      </c>
      <c r="AT15" s="185">
        <f t="shared" ca="1" si="19"/>
        <v>13</v>
      </c>
      <c r="AU15" s="185" t="str">
        <f t="shared" ca="1" si="19"/>
        <v>Ej miljömärkt</v>
      </c>
      <c r="AV15" s="185" t="str">
        <f t="shared" ca="1" si="19"/>
        <v>802.11a/b/g/n/ac/ax</v>
      </c>
      <c r="AW15" s="185">
        <f t="shared" ca="1" si="19"/>
        <v>5.2</v>
      </c>
      <c r="AX15" s="185">
        <f t="shared" ca="1" si="20"/>
        <v>13</v>
      </c>
      <c r="AY15" s="185" t="str">
        <f t="shared" ca="1" si="20"/>
        <v>Samsung Galaxy Tab S8</v>
      </c>
      <c r="AZ15" s="185">
        <f t="shared" ca="1" si="20"/>
        <v>0</v>
      </c>
      <c r="BA15" s="185" t="str">
        <f t="shared" ca="1" si="20"/>
        <v>Android 11</v>
      </c>
      <c r="BB15" s="185">
        <f t="shared" ca="1" si="20"/>
        <v>6116</v>
      </c>
      <c r="BC15" s="185">
        <f t="shared" ca="1" si="20"/>
        <v>6116</v>
      </c>
      <c r="BD15" s="192" t="str">
        <f t="shared" ca="1" si="20"/>
        <v>Insmat</v>
      </c>
      <c r="BE15" s="192" t="str">
        <f t="shared" ca="1" si="20"/>
        <v>Tolerate</v>
      </c>
      <c r="BF15" s="192" t="str">
        <f t="shared" ca="1" si="20"/>
        <v>CoreParts</v>
      </c>
      <c r="BG15" s="192" t="str">
        <f t="shared" ca="1" si="20"/>
        <v>DELTACO</v>
      </c>
      <c r="BH15" s="192" t="str">
        <f t="shared" ca="1" si="21"/>
        <v xml:space="preserve">ZAGG </v>
      </c>
      <c r="BI15" s="192" t="str">
        <f t="shared" ca="1" si="21"/>
        <v xml:space="preserve">652-1287 - Baksidesskydd för surfplatta - robust - rugged armor </v>
      </c>
      <c r="BJ15" s="192" t="str">
        <f t="shared" ca="1" si="21"/>
        <v>ED600189 - Skärmskydd för surfplatta</v>
      </c>
      <c r="BK15" s="192" t="str">
        <f t="shared" ca="1" si="21"/>
        <v>MBXUSB-AC0011 - Strömadapter - 12 Watt - 2.4 A (USB) - på kabel: USB-C - vit - med USB-C cable (2m)</v>
      </c>
      <c r="BL15" s="192" t="str">
        <f t="shared" ca="1" si="21"/>
        <v>TB-631</v>
      </c>
      <c r="BM15" s="192" t="str">
        <f t="shared" ca="1" si="21"/>
        <v>109912139 - Pro Stylus 2 - Aktiv penna - grå</v>
      </c>
      <c r="BN15" s="192">
        <f t="shared" ca="1" si="21"/>
        <v>181</v>
      </c>
      <c r="BO15" s="192">
        <f t="shared" ca="1" si="21"/>
        <v>228</v>
      </c>
      <c r="BP15" s="192">
        <f t="shared" ca="1" si="21"/>
        <v>108</v>
      </c>
      <c r="BQ15" s="192">
        <f t="shared" ca="1" si="21"/>
        <v>169</v>
      </c>
      <c r="BR15" s="192">
        <f t="shared" ca="1" si="21"/>
        <v>595</v>
      </c>
      <c r="BS15" s="192">
        <f t="shared" ca="1" si="21"/>
        <v>781</v>
      </c>
      <c r="BT15" s="192">
        <f t="shared" ca="1" si="21"/>
        <v>50</v>
      </c>
      <c r="BU15" s="192">
        <f t="shared" ca="1" si="21"/>
        <v>50</v>
      </c>
      <c r="BV15" s="192">
        <f t="shared" ca="1" si="21"/>
        <v>0</v>
      </c>
      <c r="BW15" s="192"/>
      <c r="BX15" s="192"/>
      <c r="BY15" s="192" t="str">
        <f t="shared" ca="1" si="22"/>
        <v>Advania Sverige AB</v>
      </c>
      <c r="BZ15" s="192" t="str">
        <f t="shared" ca="1" si="22"/>
        <v>Samsung</v>
      </c>
      <c r="CA15" s="199" t="s">
        <v>95</v>
      </c>
      <c r="CB15" s="185"/>
      <c r="CC15" s="185">
        <v>5.3</v>
      </c>
      <c r="CD15" s="185"/>
      <c r="CE15" s="185">
        <v>10.4</v>
      </c>
      <c r="CF15" s="185">
        <v>12</v>
      </c>
      <c r="CG15" s="185" t="s">
        <v>661</v>
      </c>
      <c r="CH15" s="185" t="s">
        <v>105</v>
      </c>
      <c r="CI15" s="185"/>
      <c r="CJ15" s="185">
        <v>5.2</v>
      </c>
      <c r="CK15" s="185">
        <v>12</v>
      </c>
      <c r="CL15" s="185"/>
      <c r="CM15" s="185"/>
      <c r="CN15" s="185" t="s">
        <v>661</v>
      </c>
    </row>
    <row r="16" spans="2:92" ht="22.5" customHeight="1" outlineLevel="1" x14ac:dyDescent="0.35">
      <c r="C16" s="61" t="s">
        <v>17</v>
      </c>
      <c r="D16" s="64"/>
      <c r="F16" s="78" t="str">
        <f t="shared" si="23"/>
        <v/>
      </c>
      <c r="G16" s="79">
        <f t="shared" ca="1" si="24"/>
        <v>64</v>
      </c>
      <c r="H16" s="79">
        <f t="shared" ca="1" si="24"/>
        <v>64</v>
      </c>
      <c r="I16" s="120">
        <f t="shared" ca="1" si="24"/>
        <v>64</v>
      </c>
      <c r="J16" s="62"/>
      <c r="K16" s="185">
        <f t="shared" ca="1" si="5"/>
        <v>0</v>
      </c>
      <c r="L16" s="185" t="b">
        <f t="shared" si="6"/>
        <v>1</v>
      </c>
      <c r="M16" s="185" t="s">
        <v>167</v>
      </c>
      <c r="N16" s="185" t="str">
        <f t="shared" ca="1" si="25"/>
        <v/>
      </c>
      <c r="O16" s="185" cm="1">
        <f t="array" aca="1" ref="O16" ca="1">MIN(IF(($BY$12:$BY$35=M16)*($AM$12:$AM$35=$O$9),$Z$12:$Z$35))</f>
        <v>0</v>
      </c>
      <c r="P16" s="197"/>
      <c r="Q16" s="185">
        <f t="shared" si="26"/>
        <v>0</v>
      </c>
      <c r="R16" s="185">
        <f t="shared" si="27"/>
        <v>0</v>
      </c>
      <c r="S16" s="185">
        <f t="shared" si="7"/>
        <v>0</v>
      </c>
      <c r="T16" s="185">
        <f t="shared" si="8"/>
        <v>0</v>
      </c>
      <c r="U16" s="185">
        <f t="shared" si="9"/>
        <v>0</v>
      </c>
      <c r="V16" s="185">
        <f t="shared" si="10"/>
        <v>0</v>
      </c>
      <c r="W16" s="185">
        <f t="shared" si="11"/>
        <v>0</v>
      </c>
      <c r="X16" s="185">
        <f t="shared" si="12"/>
        <v>0</v>
      </c>
      <c r="Y16" s="185">
        <f t="shared" si="13"/>
        <v>0</v>
      </c>
      <c r="Z16" s="196">
        <f t="shared" ca="1" si="14"/>
        <v>9140</v>
      </c>
      <c r="AA16" s="185" t="str">
        <f t="shared" si="15"/>
        <v>Offererad produktnr. 07Atea Sverige AB</v>
      </c>
      <c r="AB16" s="185" t="b">
        <f>IF(D13="",TRUE,IF(COUNTIF(Processor!$M$2:$M$3,D13)=0,IF(AN16=D13,TRUE,FALSE),IF(COUNTIF(AN16,INDEX(Processor!$N$2:$N$3,MATCH(Surfplattor!D13,Processor!$M$2:$M$3,0)))&gt;0,TRUE,FALSE)))</f>
        <v>1</v>
      </c>
      <c r="AC16" s="185" t="b">
        <f>IF($D$14="",TRUE,IF(COUNTIF(Processor!$I$2:$I$9,$D$14)&gt;0,AND(AO16&gt;INDEX(Processor!$J$2:$J$9,MATCH($D$14,Processor!$I$2:$I$9,0)),AO16&lt;INDEX(Processor!$K$2:$K$9,MATCH($D$14,Processor!$I$2:$I$9,0))),IF(AO16=$D$14,TRUE,FALSE)))</f>
        <v>1</v>
      </c>
      <c r="AD16" s="185" t="b">
        <f t="shared" si="16"/>
        <v>1</v>
      </c>
      <c r="AE16" s="185" t="b">
        <f t="shared" si="28"/>
        <v>1</v>
      </c>
      <c r="AF16" s="185" t="b">
        <f t="shared" si="29"/>
        <v>1</v>
      </c>
      <c r="AG16" s="185" t="b">
        <f t="shared" si="30"/>
        <v>1</v>
      </c>
      <c r="AH16" s="185" t="b">
        <f>IF($D$19="",TRUE,IF(INDEX(Processor!$C$14:$C$20,MATCH(LEFT(AT16,10)&amp;"",Processor!$A$14:$A$20,0))&gt;=INDEX(Processor!$C$14:$C$20,MATCH(LEFT($D$19,10)&amp;"",Processor!$A$14:$A$20,0)),TRUE,FALSE))</f>
        <v>1</v>
      </c>
      <c r="AI16" s="185" t="b">
        <f t="shared" si="31"/>
        <v>1</v>
      </c>
      <c r="AJ16" s="185"/>
      <c r="AK16" s="185"/>
      <c r="AL16" s="185" t="s">
        <v>192</v>
      </c>
      <c r="AM16" s="185">
        <v>1</v>
      </c>
      <c r="AN16" s="185" t="str">
        <f t="shared" ca="1" si="19"/>
        <v>iPadOS 15</v>
      </c>
      <c r="AO16" s="185">
        <f t="shared" ca="1" si="19"/>
        <v>10.9</v>
      </c>
      <c r="AP16" s="185" t="str">
        <f t="shared" ca="1" si="19"/>
        <v>2360x1640</v>
      </c>
      <c r="AQ16" s="185">
        <f t="shared" ca="1" si="19"/>
        <v>64</v>
      </c>
      <c r="AR16" s="185">
        <f t="shared" ca="1" si="19"/>
        <v>5</v>
      </c>
      <c r="AS16" s="185" t="str">
        <f t="shared" ca="1" si="19"/>
        <v>802.11a/b/g/n/ac/ax</v>
      </c>
      <c r="AT16" s="185">
        <f t="shared" ca="1" si="19"/>
        <v>10</v>
      </c>
      <c r="AU16" s="185" t="str">
        <f t="shared" ca="1" si="19"/>
        <v>EPEAT Gold</v>
      </c>
      <c r="AV16" s="185" t="str">
        <f t="shared" ca="1" si="19"/>
        <v>802.11a/b/g/n/ac/ax</v>
      </c>
      <c r="AW16" s="185">
        <f t="shared" ca="1" si="19"/>
        <v>5</v>
      </c>
      <c r="AX16" s="185">
        <f t="shared" ca="1" si="20"/>
        <v>10</v>
      </c>
      <c r="AY16" s="185" t="str">
        <f t="shared" ca="1" si="20"/>
        <v>10.9-inch iPad Air Wi-Fi 5th Gen</v>
      </c>
      <c r="AZ16" s="185">
        <f t="shared" ca="1" si="20"/>
        <v>0</v>
      </c>
      <c r="BA16" s="185" t="str">
        <f t="shared" ca="1" si="20"/>
        <v>iPadOS 15</v>
      </c>
      <c r="BB16" s="185">
        <f t="shared" ca="1" si="20"/>
        <v>9140</v>
      </c>
      <c r="BC16" s="185">
        <f t="shared" ca="1" si="20"/>
        <v>9140</v>
      </c>
      <c r="BD16" s="192" t="str">
        <f t="shared" ca="1" si="20"/>
        <v>ZAGG</v>
      </c>
      <c r="BE16" s="192" t="str">
        <f t="shared" ca="1" si="20"/>
        <v>ZAGG</v>
      </c>
      <c r="BF16" s="192" t="str">
        <f t="shared" ca="1" si="20"/>
        <v xml:space="preserve">Mophie </v>
      </c>
      <c r="BG16" s="192" t="str">
        <f t="shared" ca="1" si="20"/>
        <v>Tolerate</v>
      </c>
      <c r="BH16" s="192" t="str">
        <f t="shared" ca="1" si="21"/>
        <v>Apple</v>
      </c>
      <c r="BI16" s="192" t="str">
        <f t="shared" ca="1" si="21"/>
        <v>GEAR4 Case Brompton + Folio Apple iPad Air 10.9" (4th Gen)/ iPad Pro 11" (1st &amp; 2nd Gen) - smoke</v>
      </c>
      <c r="BJ16" s="192" t="str">
        <f t="shared" ca="1" si="21"/>
        <v>InvisibleShield Glass Elite+ iPad Air 4/11P (2021) Case friendly Screen</v>
      </c>
      <c r="BK16" s="192" t="str">
        <f t="shared" ca="1" si="21"/>
        <v>Mophie USB typ C-kabel/MOPHIE WALL ADAPTER USB-C 20W</v>
      </c>
      <c r="BL16" s="192" t="str">
        <f t="shared" ca="1" si="21"/>
        <v>TOLERATE KEYBOARD FOLIO IPAD AIR 10,9 BLACK</v>
      </c>
      <c r="BM16" s="192" t="str">
        <f t="shared" ca="1" si="21"/>
        <v>Apple Pencil 2nd Generation - Penna för surfplatta - för 10.9-inch iPad Air (4th generation); 11-inch iPad Pro (1st generation, 2nd generation, 3rd generation); 12.9-inch iPad Pro (3rd generation, 4th generation, 5th generation)</v>
      </c>
      <c r="BN16" s="192">
        <f t="shared" ca="1" si="21"/>
        <v>344</v>
      </c>
      <c r="BO16" s="192">
        <f t="shared" ca="1" si="21"/>
        <v>302</v>
      </c>
      <c r="BP16" s="192">
        <f t="shared" ca="1" si="21"/>
        <v>289</v>
      </c>
      <c r="BQ16" s="192">
        <f t="shared" ca="1" si="21"/>
        <v>756</v>
      </c>
      <c r="BR16" s="192">
        <f t="shared" ca="1" si="21"/>
        <v>1742</v>
      </c>
      <c r="BS16" s="192">
        <f t="shared" ca="1" si="21"/>
        <v>672</v>
      </c>
      <c r="BT16" s="192">
        <f t="shared" ca="1" si="21"/>
        <v>85</v>
      </c>
      <c r="BU16" s="192">
        <f t="shared" ca="1" si="21"/>
        <v>100</v>
      </c>
      <c r="BV16" s="192">
        <f t="shared" ca="1" si="21"/>
        <v>0</v>
      </c>
      <c r="BW16" s="192"/>
      <c r="BX16" s="192"/>
      <c r="BY16" s="192" t="str">
        <f t="shared" ca="1" si="22"/>
        <v>Atea Sverige AB</v>
      </c>
      <c r="BZ16" s="192" t="str">
        <f t="shared" ca="1" si="22"/>
        <v>Apple</v>
      </c>
      <c r="CA16" s="199" t="s">
        <v>435</v>
      </c>
      <c r="CB16" s="185"/>
      <c r="CC16" s="185"/>
      <c r="CD16" s="185"/>
      <c r="CE16" s="185">
        <v>10.9</v>
      </c>
      <c r="CF16" s="185">
        <v>13</v>
      </c>
      <c r="CG16" s="185" t="s">
        <v>96</v>
      </c>
      <c r="CH16" s="185"/>
      <c r="CI16" s="185"/>
      <c r="CJ16" s="185"/>
      <c r="CK16" s="185">
        <v>13</v>
      </c>
      <c r="CL16" s="185"/>
      <c r="CM16" s="185"/>
      <c r="CN16" s="185" t="s">
        <v>96</v>
      </c>
    </row>
    <row r="17" spans="2:94" ht="28.5" customHeight="1" outlineLevel="1" x14ac:dyDescent="0.35">
      <c r="C17" s="61" t="s">
        <v>75</v>
      </c>
      <c r="D17" s="110"/>
      <c r="F17" s="78" t="str">
        <f t="shared" si="23"/>
        <v/>
      </c>
      <c r="G17" s="79">
        <f t="shared" ca="1" si="24"/>
        <v>5</v>
      </c>
      <c r="H17" s="79">
        <f t="shared" ca="1" si="24"/>
        <v>5</v>
      </c>
      <c r="I17" s="120">
        <f t="shared" ca="1" si="24"/>
        <v>4.2</v>
      </c>
      <c r="J17" s="62"/>
      <c r="K17" s="185">
        <f t="shared" ca="1" si="5"/>
        <v>0</v>
      </c>
      <c r="L17" s="185" t="b">
        <f t="shared" si="6"/>
        <v>1</v>
      </c>
      <c r="M17" s="185" t="s">
        <v>546</v>
      </c>
      <c r="N17" s="185" t="str">
        <f t="shared" ca="1" si="25"/>
        <v>Offererad produktnr. 07Qlosr Göteborg AB</v>
      </c>
      <c r="O17" s="185" cm="1">
        <f t="array" aca="1" ref="O17" ca="1">MIN(IF(($BY$12:$BY$35=M17)*($AM$12:$AM$35=$O$9),$Z$12:$Z$35))</f>
        <v>1700</v>
      </c>
      <c r="P17" s="197"/>
      <c r="Q17" s="185">
        <f t="shared" si="26"/>
        <v>0</v>
      </c>
      <c r="R17" s="185">
        <f t="shared" si="27"/>
        <v>0</v>
      </c>
      <c r="S17" s="185">
        <f t="shared" si="7"/>
        <v>0</v>
      </c>
      <c r="T17" s="185">
        <f t="shared" si="8"/>
        <v>0</v>
      </c>
      <c r="U17" s="185">
        <f t="shared" si="9"/>
        <v>0</v>
      </c>
      <c r="V17" s="185">
        <f t="shared" si="10"/>
        <v>0</v>
      </c>
      <c r="W17" s="185">
        <f t="shared" si="11"/>
        <v>0</v>
      </c>
      <c r="X17" s="185">
        <f t="shared" si="12"/>
        <v>0</v>
      </c>
      <c r="Y17" s="185">
        <f t="shared" si="13"/>
        <v>0</v>
      </c>
      <c r="Z17" s="196">
        <f t="shared" ca="1" si="14"/>
        <v>5254</v>
      </c>
      <c r="AA17" s="185" t="str">
        <f t="shared" si="15"/>
        <v>Offererad produktnr. 08Atea Sverige AB</v>
      </c>
      <c r="AB17" s="185" t="b">
        <f>IF(D13="",TRUE,IF(COUNTIF(Processor!$M$2:$M$3,D13)=0,IF(AN17=D13,TRUE,FALSE),IF(COUNTIF(AN17,INDEX(Processor!$N$2:$N$3,MATCH(Surfplattor!D13,Processor!$M$2:$M$3,0)))&gt;0,TRUE,FALSE)))</f>
        <v>1</v>
      </c>
      <c r="AC17" s="185" t="b">
        <f>IF($D$14="",TRUE,IF(COUNTIF(Processor!$I$2:$I$9,$D$14)&gt;0,AND(AO17&gt;INDEX(Processor!$J$2:$J$9,MATCH($D$14,Processor!$I$2:$I$9,0)),AO17&lt;INDEX(Processor!$K$2:$K$9,MATCH($D$14,Processor!$I$2:$I$9,0))),IF(AO17=$D$14,TRUE,FALSE)))</f>
        <v>1</v>
      </c>
      <c r="AD17" s="185" t="b">
        <f t="shared" si="16"/>
        <v>1</v>
      </c>
      <c r="AE17" s="185" t="b">
        <f t="shared" si="28"/>
        <v>1</v>
      </c>
      <c r="AF17" s="185" t="b">
        <f t="shared" si="29"/>
        <v>1</v>
      </c>
      <c r="AG17" s="185" t="b">
        <f t="shared" si="30"/>
        <v>1</v>
      </c>
      <c r="AH17" s="185" t="b">
        <f>IF($D$19="",TRUE,IF(INDEX(Processor!$C$14:$C$20,MATCH(LEFT(AT17,10)&amp;"",Processor!$A$14:$A$20,0))&gt;=INDEX(Processor!$C$14:$C$20,MATCH(LEFT($D$19,10)&amp;"",Processor!$A$14:$A$20,0)),TRUE,FALSE))</f>
        <v>1</v>
      </c>
      <c r="AI17" s="185" t="b">
        <f t="shared" si="31"/>
        <v>1</v>
      </c>
      <c r="AJ17" s="185"/>
      <c r="AK17" s="185"/>
      <c r="AL17" s="185" t="s">
        <v>193</v>
      </c>
      <c r="AM17" s="185">
        <v>1</v>
      </c>
      <c r="AN17" s="185" t="str">
        <f t="shared" ca="1" si="19"/>
        <v>iPadOS 14</v>
      </c>
      <c r="AO17" s="185">
        <f t="shared" ca="1" si="19"/>
        <v>10.199999999999999</v>
      </c>
      <c r="AP17" s="185" t="str">
        <f t="shared" ca="1" si="19"/>
        <v>2160x1620</v>
      </c>
      <c r="AQ17" s="185">
        <f t="shared" ca="1" si="19"/>
        <v>64</v>
      </c>
      <c r="AR17" s="185">
        <f t="shared" ca="1" si="19"/>
        <v>4.2</v>
      </c>
      <c r="AS17" s="185" t="str">
        <f t="shared" ca="1" si="19"/>
        <v>802.11a/b/g/n/ac</v>
      </c>
      <c r="AT17" s="185">
        <f t="shared" ca="1" si="19"/>
        <v>10</v>
      </c>
      <c r="AU17" s="185" t="str">
        <f t="shared" ca="1" si="19"/>
        <v>EPEAT Gold</v>
      </c>
      <c r="AV17" s="185" t="str">
        <f t="shared" ca="1" si="19"/>
        <v>802.11a/b/g/n/ac</v>
      </c>
      <c r="AW17" s="185">
        <f t="shared" ca="1" si="19"/>
        <v>4.2</v>
      </c>
      <c r="AX17" s="185">
        <f t="shared" ca="1" si="20"/>
        <v>10</v>
      </c>
      <c r="AY17" s="185" t="str">
        <f t="shared" ca="1" si="20"/>
        <v>iPad Wi-Fi 9:e Generationen</v>
      </c>
      <c r="AZ17" s="185">
        <f t="shared" ca="1" si="20"/>
        <v>0</v>
      </c>
      <c r="BA17" s="185" t="str">
        <f t="shared" ca="1" si="20"/>
        <v>iPadOS 14</v>
      </c>
      <c r="BB17" s="185">
        <f t="shared" ca="1" si="20"/>
        <v>5254</v>
      </c>
      <c r="BC17" s="185">
        <f t="shared" ca="1" si="20"/>
        <v>5254</v>
      </c>
      <c r="BD17" s="192" t="str">
        <f t="shared" ca="1" si="20"/>
        <v>ZAGG</v>
      </c>
      <c r="BE17" s="192" t="str">
        <f t="shared" ca="1" si="20"/>
        <v>ZAGG</v>
      </c>
      <c r="BF17" s="192" t="str">
        <f t="shared" ca="1" si="20"/>
        <v>Mophie</v>
      </c>
      <c r="BG17" s="192" t="str">
        <f t="shared" ca="1" si="20"/>
        <v>Tolerate</v>
      </c>
      <c r="BH17" s="192" t="str">
        <f t="shared" ca="1" si="21"/>
        <v>Apple</v>
      </c>
      <c r="BI17" s="192" t="str">
        <f t="shared" ca="1" si="21"/>
        <v>ZAGG Rugged Messenger Case - Skyddsfodral för surfplatta - robust - 10.2" - för Apple 10.2-inch iPad</v>
      </c>
      <c r="BJ17" s="192" t="str">
        <f t="shared" ca="1" si="21"/>
        <v>InvisibleShield Glass Elite+ Apple iPad 10.2" Screen</v>
      </c>
      <c r="BK17" s="192" t="str">
        <f t="shared" ca="1" si="21"/>
        <v>Wall Adapter-USB-C-20W-White-EU/mophie Charge and Sync Cable- USB-C to Lightning Cable 1.8M – White</v>
      </c>
      <c r="BL17" s="192" t="str">
        <f t="shared" ca="1" si="21"/>
        <v>Tolerate KEYBOARD FOLIO - Tangentbord och foliefodral - Bluetooth - svensk - svart - för Apple 10.2-inch iPad</v>
      </c>
      <c r="BM17" s="192" t="str">
        <f t="shared" ca="1" si="21"/>
        <v>Apple Pencil - Penna för surfplatta - för 10.2-inch iPad (7th generation, 8th generation); 10.5-inch iPad Air (3rd generation); 10.5-inch iPad Pro; 12.9-inch iPad Pro (1st generation, 2nd generation); 9.7-inch iPad (6th generation); 9.7-inch iPad Pro; iPad mini 5</v>
      </c>
      <c r="BN17" s="192">
        <f t="shared" ca="1" si="21"/>
        <v>430</v>
      </c>
      <c r="BO17" s="192">
        <f t="shared" ca="1" si="21"/>
        <v>302</v>
      </c>
      <c r="BP17" s="192">
        <f t="shared" ca="1" si="21"/>
        <v>226</v>
      </c>
      <c r="BQ17" s="192">
        <f t="shared" ca="1" si="21"/>
        <v>756</v>
      </c>
      <c r="BR17" s="192">
        <f t="shared" ca="1" si="21"/>
        <v>1284</v>
      </c>
      <c r="BS17" s="192">
        <f t="shared" ca="1" si="21"/>
        <v>672</v>
      </c>
      <c r="BT17" s="192">
        <f t="shared" ca="1" si="21"/>
        <v>85</v>
      </c>
      <c r="BU17" s="192">
        <f t="shared" ca="1" si="21"/>
        <v>100</v>
      </c>
      <c r="BV17" s="192">
        <f t="shared" ca="1" si="21"/>
        <v>0</v>
      </c>
      <c r="BW17" s="192"/>
      <c r="BX17" s="192"/>
      <c r="BY17" s="192" t="str">
        <f t="shared" ca="1" si="22"/>
        <v>Atea Sverige AB</v>
      </c>
      <c r="BZ17" s="192" t="str">
        <f t="shared" ca="1" si="22"/>
        <v>Apple</v>
      </c>
      <c r="CA17" s="199" t="s">
        <v>93</v>
      </c>
      <c r="CB17" s="185"/>
      <c r="CC17" s="185"/>
      <c r="CD17" s="185"/>
      <c r="CE17" s="185">
        <v>11</v>
      </c>
      <c r="CF17" s="185"/>
      <c r="CG17" s="185" t="s">
        <v>530</v>
      </c>
      <c r="CH17" s="185"/>
      <c r="CI17" s="185"/>
      <c r="CJ17" s="185"/>
      <c r="CK17" s="185"/>
      <c r="CL17" s="185"/>
      <c r="CM17" s="185"/>
      <c r="CN17" s="185" t="s">
        <v>530</v>
      </c>
    </row>
    <row r="18" spans="2:94" ht="29.25" customHeight="1" outlineLevel="1" x14ac:dyDescent="0.35">
      <c r="C18" s="61" t="s">
        <v>103</v>
      </c>
      <c r="D18" s="64"/>
      <c r="F18" s="78" t="str">
        <f t="shared" si="23"/>
        <v/>
      </c>
      <c r="G18" s="79" t="str">
        <f t="shared" ca="1" si="24"/>
        <v>802.11a/b/g/n/ac</v>
      </c>
      <c r="H18" s="79" t="str">
        <f t="shared" ca="1" si="24"/>
        <v>802.11a/b/g/n/ac</v>
      </c>
      <c r="I18" s="120" t="str">
        <f t="shared" ca="1" si="24"/>
        <v>802.11a/b/g/n/ac</v>
      </c>
      <c r="J18" s="62"/>
      <c r="Q18" s="185">
        <f t="shared" si="26"/>
        <v>0</v>
      </c>
      <c r="R18" s="185">
        <f t="shared" si="27"/>
        <v>0</v>
      </c>
      <c r="S18" s="185">
        <f t="shared" si="7"/>
        <v>0</v>
      </c>
      <c r="T18" s="185">
        <f t="shared" si="8"/>
        <v>0</v>
      </c>
      <c r="U18" s="185">
        <f t="shared" si="9"/>
        <v>0</v>
      </c>
      <c r="V18" s="185">
        <f t="shared" si="10"/>
        <v>0</v>
      </c>
      <c r="W18" s="185">
        <f t="shared" si="11"/>
        <v>0</v>
      </c>
      <c r="X18" s="185">
        <f t="shared" si="12"/>
        <v>0</v>
      </c>
      <c r="Y18" s="185">
        <f t="shared" si="13"/>
        <v>0</v>
      </c>
      <c r="Z18" s="196">
        <f t="shared" ca="1" si="14"/>
        <v>10177</v>
      </c>
      <c r="AA18" s="185" t="str">
        <f t="shared" si="15"/>
        <v>Offererad produktnr. 09Atea Sverige AB</v>
      </c>
      <c r="AB18" s="185" t="b">
        <f>IF(D13="",TRUE,IF(COUNTIF(Processor!$M$2:$M$3,D13)=0,IF(AN18=D13,TRUE,FALSE),IF(COUNTIF(AN18,INDEX(Processor!$N$2:$N$3,MATCH(Surfplattor!D13,Processor!$M$2:$M$3,0)))&gt;0,TRUE,FALSE)))</f>
        <v>1</v>
      </c>
      <c r="AC18" s="185" t="b">
        <f>IF($D$14="",TRUE,IF(COUNTIF(Processor!$I$2:$I$9,$D$14)&gt;0,AND(AO18&gt;INDEX(Processor!$J$2:$J$9,MATCH($D$14,Processor!$I$2:$I$9,0)),AO18&lt;INDEX(Processor!$K$2:$K$9,MATCH($D$14,Processor!$I$2:$I$9,0))),IF(AO18=$D$14,TRUE,FALSE)))</f>
        <v>1</v>
      </c>
      <c r="AD18" s="185" t="b">
        <f t="shared" si="16"/>
        <v>1</v>
      </c>
      <c r="AE18" s="185" t="b">
        <f t="shared" si="28"/>
        <v>1</v>
      </c>
      <c r="AF18" s="185" t="b">
        <f t="shared" si="29"/>
        <v>1</v>
      </c>
      <c r="AG18" s="185" t="b">
        <f t="shared" si="30"/>
        <v>1</v>
      </c>
      <c r="AH18" s="185" t="b">
        <f>IF($D$19="",TRUE,IF(INDEX(Processor!$C$14:$C$20,MATCH(LEFT(AT18,10)&amp;"",Processor!$A$14:$A$20,0))&gt;=INDEX(Processor!$C$14:$C$20,MATCH(LEFT($D$19,10)&amp;"",Processor!$A$14:$A$20,0)),TRUE,FALSE))</f>
        <v>1</v>
      </c>
      <c r="AI18" s="185" t="b">
        <f t="shared" si="31"/>
        <v>1</v>
      </c>
      <c r="AJ18" s="185"/>
      <c r="AK18" s="185"/>
      <c r="AL18" s="185" t="s">
        <v>194</v>
      </c>
      <c r="AM18" s="185">
        <v>1</v>
      </c>
      <c r="AN18" s="185" t="str">
        <f t="shared" ca="1" si="19"/>
        <v>Android 13</v>
      </c>
      <c r="AO18" s="185">
        <f t="shared" ca="1" si="19"/>
        <v>11</v>
      </c>
      <c r="AP18" s="185" t="str">
        <f t="shared" ca="1" si="19"/>
        <v>2560x1600</v>
      </c>
      <c r="AQ18" s="185">
        <f t="shared" ca="1" si="19"/>
        <v>128</v>
      </c>
      <c r="AR18" s="185">
        <f t="shared" ca="1" si="19"/>
        <v>5.3</v>
      </c>
      <c r="AS18" s="185" t="str">
        <f t="shared" ca="1" si="19"/>
        <v>802.11a/b/g/n/ac/ax</v>
      </c>
      <c r="AT18" s="185">
        <f t="shared" ca="1" si="19"/>
        <v>13</v>
      </c>
      <c r="AU18" s="185" t="str">
        <f t="shared" ca="1" si="19"/>
        <v>Ej miljömärkt</v>
      </c>
      <c r="AV18" s="185" t="str">
        <f t="shared" ca="1" si="19"/>
        <v>802.11a/b/g/n/ac/ax</v>
      </c>
      <c r="AW18" s="185">
        <f t="shared" ca="1" si="19"/>
        <v>5.3</v>
      </c>
      <c r="AX18" s="185">
        <f t="shared" ca="1" si="20"/>
        <v>13</v>
      </c>
      <c r="AY18" s="185" t="str">
        <f t="shared" ca="1" si="20"/>
        <v>Galaxy Tab S9 Wifi (128GB)</v>
      </c>
      <c r="AZ18" s="185">
        <f t="shared" ca="1" si="20"/>
        <v>0</v>
      </c>
      <c r="BA18" s="185" t="str">
        <f t="shared" ca="1" si="20"/>
        <v>Android 13</v>
      </c>
      <c r="BB18" s="185">
        <f t="shared" ca="1" si="20"/>
        <v>10177</v>
      </c>
      <c r="BC18" s="185">
        <f t="shared" ca="1" si="20"/>
        <v>10177</v>
      </c>
      <c r="BD18" s="192" t="str">
        <f t="shared" ca="1" si="20"/>
        <v>Tolerate</v>
      </c>
      <c r="BE18" s="192" t="str">
        <f t="shared" ca="1" si="20"/>
        <v>Tolerate</v>
      </c>
      <c r="BF18" s="192" t="str">
        <f t="shared" ca="1" si="20"/>
        <v>Samsung</v>
      </c>
      <c r="BG18" s="192" t="str">
        <f t="shared" ca="1" si="20"/>
        <v>Tolerate</v>
      </c>
      <c r="BH18" s="192" t="str">
        <f t="shared" ca="1" si="21"/>
        <v>Samsung</v>
      </c>
      <c r="BI18" s="192" t="str">
        <f t="shared" ca="1" si="21"/>
        <v>TOLERATE ARMOUR FOLIO TAB S9 BULK</v>
      </c>
      <c r="BJ18" s="192" t="str">
        <f t="shared" ca="1" si="21"/>
        <v>TOLERATE GLASS SCREEN PROTECTOR SAMSUNG TAB S9 BULK</v>
      </c>
      <c r="BK18" s="192" t="str">
        <f t="shared" ca="1" si="21"/>
        <v>Samsung Travel Adapter/USB-C till USB-A-kabel - 1.5 m</v>
      </c>
      <c r="BL18" s="192" t="str">
        <f t="shared" ca="1" si="21"/>
        <v xml:space="preserve">TOLERATE KEYBOARD FOLIO SAMSUNG TAB S8 </v>
      </c>
      <c r="BM18" s="192" t="str">
        <f t="shared" ca="1" si="21"/>
        <v>Samsung S-Pen</v>
      </c>
      <c r="BN18" s="192">
        <f t="shared" ca="1" si="21"/>
        <v>461</v>
      </c>
      <c r="BO18" s="192">
        <f t="shared" ca="1" si="21"/>
        <v>281</v>
      </c>
      <c r="BP18" s="192">
        <f t="shared" ca="1" si="21"/>
        <v>386</v>
      </c>
      <c r="BQ18" s="192">
        <f t="shared" ca="1" si="21"/>
        <v>756</v>
      </c>
      <c r="BR18" s="192">
        <f t="shared" ca="1" si="21"/>
        <v>504</v>
      </c>
      <c r="BS18" s="192">
        <f t="shared" ca="1" si="21"/>
        <v>1</v>
      </c>
      <c r="BT18" s="192">
        <f t="shared" ca="1" si="21"/>
        <v>85</v>
      </c>
      <c r="BU18" s="192">
        <f t="shared" ca="1" si="21"/>
        <v>100</v>
      </c>
      <c r="BV18" s="192">
        <f t="shared" ca="1" si="21"/>
        <v>0</v>
      </c>
      <c r="BW18" s="192"/>
      <c r="BX18" s="192"/>
      <c r="BY18" s="192" t="str">
        <f t="shared" ca="1" si="22"/>
        <v>Atea Sverige AB</v>
      </c>
      <c r="BZ18" s="192" t="str">
        <f t="shared" ca="1" si="22"/>
        <v>Samsung</v>
      </c>
      <c r="CA18" s="199" t="s">
        <v>147</v>
      </c>
      <c r="CB18" s="185"/>
      <c r="CC18" s="185"/>
      <c r="CD18" s="185"/>
      <c r="CE18" s="185">
        <v>11.5</v>
      </c>
      <c r="CF18" s="185"/>
      <c r="CG18" s="192"/>
      <c r="CH18" s="185"/>
      <c r="CI18" s="185"/>
      <c r="CJ18" s="185"/>
      <c r="CK18" s="185"/>
      <c r="CL18" s="185"/>
      <c r="CM18" s="185"/>
      <c r="CN18" s="192"/>
    </row>
    <row r="19" spans="2:94" ht="29.25" customHeight="1" outlineLevel="1" x14ac:dyDescent="0.35">
      <c r="C19" s="61" t="s">
        <v>120</v>
      </c>
      <c r="D19" s="64"/>
      <c r="F19" s="80" t="str">
        <f t="shared" si="23"/>
        <v/>
      </c>
      <c r="G19" s="81">
        <f t="shared" ca="1" si="24"/>
        <v>9</v>
      </c>
      <c r="H19" s="81">
        <f t="shared" ca="1" si="24"/>
        <v>9</v>
      </c>
      <c r="I19" s="121">
        <f t="shared" ca="1" si="24"/>
        <v>10</v>
      </c>
      <c r="J19" s="62"/>
      <c r="Q19" s="185">
        <f t="shared" si="26"/>
        <v>0</v>
      </c>
      <c r="R19" s="185">
        <f t="shared" si="27"/>
        <v>0</v>
      </c>
      <c r="S19" s="185">
        <f t="shared" si="7"/>
        <v>0</v>
      </c>
      <c r="T19" s="185">
        <f t="shared" si="8"/>
        <v>0</v>
      </c>
      <c r="U19" s="185">
        <f t="shared" si="9"/>
        <v>0</v>
      </c>
      <c r="V19" s="185">
        <f t="shared" si="10"/>
        <v>0</v>
      </c>
      <c r="W19" s="185">
        <f t="shared" si="11"/>
        <v>0</v>
      </c>
      <c r="X19" s="185">
        <f t="shared" si="12"/>
        <v>0</v>
      </c>
      <c r="Y19" s="185">
        <f t="shared" si="13"/>
        <v>0</v>
      </c>
      <c r="Z19" s="196">
        <f t="shared" ca="1" si="14"/>
        <v>8276</v>
      </c>
      <c r="AA19" s="185" t="str">
        <f t="shared" si="15"/>
        <v>Offererad produktnr. 10Atea Sverige AB</v>
      </c>
      <c r="AB19" s="185" t="b">
        <f>IF(D13="",TRUE,IF(COUNTIF(Processor!$M$2:$M$3,D13)=0,IF(AN19=D13,TRUE,FALSE),IF(COUNTIF(AN19,INDEX(Processor!$N$2:$N$3,MATCH(Surfplattor!D13,Processor!$M$2:$M$3,0)))&gt;0,TRUE,FALSE)))</f>
        <v>1</v>
      </c>
      <c r="AC19" s="185" t="b">
        <f>IF($D$14="",TRUE,IF(COUNTIF(Processor!$I$2:$I$9,$D$14)&gt;0,AND(AO19&gt;INDEX(Processor!$J$2:$J$9,MATCH($D$14,Processor!$I$2:$I$9,0)),AO19&lt;INDEX(Processor!$K$2:$K$9,MATCH($D$14,Processor!$I$2:$I$9,0))),IF(AO19=$D$14,TRUE,FALSE)))</f>
        <v>1</v>
      </c>
      <c r="AD19" s="185" t="b">
        <f t="shared" si="16"/>
        <v>1</v>
      </c>
      <c r="AE19" s="185" t="b">
        <f t="shared" si="28"/>
        <v>1</v>
      </c>
      <c r="AF19" s="185" t="b">
        <f t="shared" si="29"/>
        <v>1</v>
      </c>
      <c r="AG19" s="185" t="b">
        <f t="shared" si="30"/>
        <v>1</v>
      </c>
      <c r="AH19" s="185" t="b">
        <f>IF($D$19="",TRUE,IF(INDEX(Processor!$C$14:$C$20,MATCH(LEFT(AT19,10)&amp;"",Processor!$A$14:$A$20,0))&gt;=INDEX(Processor!$C$14:$C$20,MATCH(LEFT($D$19,10)&amp;"",Processor!$A$14:$A$20,0)),TRUE,FALSE))</f>
        <v>1</v>
      </c>
      <c r="AI19" s="185" t="b">
        <f t="shared" si="31"/>
        <v>1</v>
      </c>
      <c r="AJ19" s="185"/>
      <c r="AK19" s="185"/>
      <c r="AL19" s="185" t="s">
        <v>195</v>
      </c>
      <c r="AM19" s="185">
        <v>1</v>
      </c>
      <c r="AN19" s="185" t="str">
        <f t="shared" ca="1" si="19"/>
        <v>Android 10</v>
      </c>
      <c r="AO19" s="185">
        <f t="shared" ca="1" si="19"/>
        <v>11.5</v>
      </c>
      <c r="AP19" s="185" t="str">
        <f t="shared" ca="1" si="19"/>
        <v>2560x1600</v>
      </c>
      <c r="AQ19" s="185">
        <f t="shared" ca="1" si="19"/>
        <v>128</v>
      </c>
      <c r="AR19" s="185">
        <f t="shared" ca="1" si="19"/>
        <v>5</v>
      </c>
      <c r="AS19" s="185" t="str">
        <f t="shared" ca="1" si="19"/>
        <v>802.11a/b/g/n/ac</v>
      </c>
      <c r="AT19" s="185">
        <f t="shared" ca="1" si="19"/>
        <v>8</v>
      </c>
      <c r="AU19" s="185" t="str">
        <f t="shared" ca="1" si="19"/>
        <v>Ej miljömärkt</v>
      </c>
      <c r="AV19" s="185" t="str">
        <f t="shared" ca="1" si="19"/>
        <v>802.11a/b/g/n/ac</v>
      </c>
      <c r="AW19" s="185">
        <f t="shared" ca="1" si="19"/>
        <v>5</v>
      </c>
      <c r="AX19" s="185">
        <f t="shared" ca="1" si="20"/>
        <v>8</v>
      </c>
      <c r="AY19" s="185" t="str">
        <f t="shared" ca="1" si="20"/>
        <v>Lenovo Tab P11 Pro</v>
      </c>
      <c r="AZ19" s="185">
        <f t="shared" ca="1" si="20"/>
        <v>0</v>
      </c>
      <c r="BA19" s="185" t="str">
        <f t="shared" ca="1" si="20"/>
        <v>Android 10</v>
      </c>
      <c r="BB19" s="185">
        <f t="shared" ca="1" si="20"/>
        <v>8276</v>
      </c>
      <c r="BC19" s="185">
        <f t="shared" ca="1" si="20"/>
        <v>8276</v>
      </c>
      <c r="BD19" s="192" t="str">
        <f t="shared" ca="1" si="20"/>
        <v>Tolerate</v>
      </c>
      <c r="BE19" s="192" t="str">
        <f t="shared" ca="1" si="20"/>
        <v>Zagg</v>
      </c>
      <c r="BF19" s="192" t="str">
        <f t="shared" ca="1" si="20"/>
        <v>Lenovo</v>
      </c>
      <c r="BG19" s="192" t="str">
        <f t="shared" ca="1" si="20"/>
        <v>Lenovo</v>
      </c>
      <c r="BH19" s="192" t="str">
        <f t="shared" ca="1" si="21"/>
        <v>Lenovo</v>
      </c>
      <c r="BI19" s="192" t="str">
        <f t="shared" ca="1" si="21"/>
        <v>TOLERATE ARMOR FOLIO LENOVO TAB 11 PRO</v>
      </c>
      <c r="BJ19" s="192" t="str">
        <f t="shared" ca="1" si="21"/>
        <v>InvisibleShield Glass Elite+</v>
      </c>
      <c r="BK19" s="192" t="str">
        <f t="shared" ca="1" si="21"/>
        <v xml:space="preserve">Lenovo Smart Charge station </v>
      </c>
      <c r="BL19" s="192" t="str">
        <f t="shared" ca="1" si="21"/>
        <v>Lenovo P11 Pro Keyboard</v>
      </c>
      <c r="BM19" s="192" t="str">
        <f t="shared" ca="1" si="21"/>
        <v>Lenovo Precision Pen 2</v>
      </c>
      <c r="BN19" s="192">
        <f t="shared" ca="1" si="21"/>
        <v>502</v>
      </c>
      <c r="BO19" s="192">
        <f t="shared" ca="1" si="21"/>
        <v>293</v>
      </c>
      <c r="BP19" s="192">
        <f t="shared" ca="1" si="21"/>
        <v>324</v>
      </c>
      <c r="BQ19" s="192">
        <f t="shared" ca="1" si="21"/>
        <v>1138</v>
      </c>
      <c r="BR19" s="192">
        <f t="shared" ca="1" si="21"/>
        <v>718</v>
      </c>
      <c r="BS19" s="192">
        <f t="shared" ca="1" si="21"/>
        <v>1</v>
      </c>
      <c r="BT19" s="192">
        <f t="shared" ca="1" si="21"/>
        <v>85</v>
      </c>
      <c r="BU19" s="192">
        <f t="shared" ca="1" si="21"/>
        <v>100</v>
      </c>
      <c r="BV19" s="192">
        <f t="shared" ca="1" si="21"/>
        <v>0</v>
      </c>
      <c r="BW19" s="192"/>
      <c r="BX19" s="192"/>
      <c r="BY19" s="192" t="str">
        <f t="shared" ca="1" si="22"/>
        <v>Atea Sverige AB</v>
      </c>
      <c r="BZ19" s="192" t="str">
        <f t="shared" ca="1" si="22"/>
        <v>Lenovo</v>
      </c>
      <c r="CA19" s="199"/>
      <c r="CB19" s="185"/>
      <c r="CC19" s="185"/>
      <c r="CD19" s="185"/>
      <c r="CE19" s="185">
        <v>12.4</v>
      </c>
      <c r="CF19" s="185"/>
      <c r="CG19" s="185"/>
      <c r="CH19" s="185"/>
      <c r="CI19" s="185"/>
      <c r="CJ19" s="185"/>
      <c r="CK19" s="192"/>
      <c r="CL19" s="185"/>
      <c r="CM19" s="185"/>
      <c r="CN19" s="185"/>
    </row>
    <row r="20" spans="2:94" ht="29.25" customHeight="1" outlineLevel="1" x14ac:dyDescent="0.35">
      <c r="C20" s="61" t="s">
        <v>39</v>
      </c>
      <c r="D20" s="64"/>
      <c r="F20" s="78" t="str">
        <f t="shared" si="23"/>
        <v/>
      </c>
      <c r="G20" s="79" t="str">
        <f t="shared" ca="1" si="24"/>
        <v>Ej miljömärkt</v>
      </c>
      <c r="H20" s="79" t="str">
        <f t="shared" ca="1" si="24"/>
        <v>Ej miljömärkt</v>
      </c>
      <c r="I20" s="120" t="str">
        <f t="shared" ca="1" si="24"/>
        <v>Ej miljömärkt</v>
      </c>
      <c r="J20" s="62"/>
      <c r="Q20" s="185">
        <f t="shared" si="26"/>
        <v>0</v>
      </c>
      <c r="R20" s="185">
        <f t="shared" si="27"/>
        <v>0</v>
      </c>
      <c r="S20" s="185">
        <f t="shared" si="7"/>
        <v>0</v>
      </c>
      <c r="T20" s="185">
        <f t="shared" si="8"/>
        <v>0</v>
      </c>
      <c r="U20" s="185">
        <f t="shared" si="9"/>
        <v>0</v>
      </c>
      <c r="V20" s="185">
        <f t="shared" si="10"/>
        <v>0</v>
      </c>
      <c r="W20" s="185">
        <f t="shared" si="11"/>
        <v>0</v>
      </c>
      <c r="X20" s="185">
        <f t="shared" si="12"/>
        <v>0</v>
      </c>
      <c r="Y20" s="185">
        <f t="shared" si="13"/>
        <v>0</v>
      </c>
      <c r="Z20" s="196">
        <f t="shared" ca="1" si="14"/>
        <v>3261</v>
      </c>
      <c r="AA20" s="185" t="str">
        <f t="shared" si="15"/>
        <v>Offererad produktnr. 07Dustin Sverige AB</v>
      </c>
      <c r="AB20" s="185" t="b">
        <f>IF(D13="",TRUE,IF(COUNTIF(Processor!$M$2:$M$3,D13)=0,IF(AN20=D13,TRUE,FALSE),IF(COUNTIF(AN20,INDEX(Processor!$N$2:$N$3,MATCH(Surfplattor!D13,Processor!$M$2:$M$3,0)))&gt;0,TRUE,FALSE)))</f>
        <v>1</v>
      </c>
      <c r="AC20" s="185" t="b">
        <f>IF($D$14="",TRUE,IF(COUNTIF(Processor!$I$2:$I$9,$D$14)&gt;0,AND(AO20&gt;INDEX(Processor!$J$2:$J$9,MATCH($D$14,Processor!$I$2:$I$9,0)),AO20&lt;INDEX(Processor!$K$2:$K$9,MATCH($D$14,Processor!$I$2:$I$9,0))),IF(AO20=$D$14,TRUE,FALSE)))</f>
        <v>1</v>
      </c>
      <c r="AD20" s="185" t="b">
        <f>IFERROR(IF($D$15="",TRUE,IF(AND(IF(LEFT($D$15,4)*1&lt;=1*LEFT(AP20,4),TRUE,FALSE),IF(RIGHT(AP20,4)*1&gt;=1*RIGHT($D$15,4),TRUE,FALSE)),TRUE,FALSE)),0)</f>
        <v>1</v>
      </c>
      <c r="AE20" s="185" t="b">
        <f t="shared" si="28"/>
        <v>1</v>
      </c>
      <c r="AF20" s="185" t="b">
        <f t="shared" si="29"/>
        <v>1</v>
      </c>
      <c r="AG20" s="185" t="b">
        <f t="shared" si="30"/>
        <v>1</v>
      </c>
      <c r="AH20" s="185" t="b">
        <f>IF($D$19="",TRUE,IF(INDEX(Processor!$C$14:$C$20,MATCH(LEFT(AT20,10)&amp;"",Processor!$A$14:$A$20,0))&gt;=INDEX(Processor!$C$14:$C$20,MATCH(LEFT($D$19,10)&amp;"",Processor!$A$14:$A$20,0)),TRUE,FALSE))</f>
        <v>1</v>
      </c>
      <c r="AI20" s="185" t="b">
        <f t="shared" si="31"/>
        <v>1</v>
      </c>
      <c r="AJ20" s="185"/>
      <c r="AK20" s="185"/>
      <c r="AL20" s="185" t="s">
        <v>180</v>
      </c>
      <c r="AM20" s="185">
        <v>1</v>
      </c>
      <c r="AN20" s="185" t="str">
        <f t="shared" ca="1" si="19"/>
        <v>Android 11</v>
      </c>
      <c r="AO20" s="185">
        <f t="shared" ca="1" si="19"/>
        <v>10.4</v>
      </c>
      <c r="AP20" s="185" t="str">
        <f t="shared" ca="1" si="19"/>
        <v>2000x1200</v>
      </c>
      <c r="AQ20" s="185">
        <f t="shared" ca="1" si="19"/>
        <v>64</v>
      </c>
      <c r="AR20" s="185">
        <f t="shared" ca="1" si="19"/>
        <v>5</v>
      </c>
      <c r="AS20" s="185" t="str">
        <f t="shared" ca="1" si="19"/>
        <v>802.11a/b/g/n/ac</v>
      </c>
      <c r="AT20" s="185">
        <f t="shared" ca="1" si="19"/>
        <v>12</v>
      </c>
      <c r="AU20" s="185" t="str">
        <f t="shared" ca="1" si="19"/>
        <v>EPEAT Bronze (Canada)</v>
      </c>
      <c r="AV20" s="185" t="str">
        <f t="shared" ca="1" si="19"/>
        <v>802.11a/b/g/n/ac</v>
      </c>
      <c r="AW20" s="185">
        <f t="shared" ca="1" si="19"/>
        <v>5</v>
      </c>
      <c r="AX20" s="185">
        <f t="shared" ca="1" si="20"/>
        <v>12</v>
      </c>
      <c r="AY20" s="185" t="str">
        <f t="shared" ca="1" si="20"/>
        <v>Galaxy Tab S6 Lite WiFi (64GB)</v>
      </c>
      <c r="AZ20" s="185">
        <f t="shared" ca="1" si="20"/>
        <v>0</v>
      </c>
      <c r="BA20" s="185" t="str">
        <f t="shared" ca="1" si="20"/>
        <v>Android 11</v>
      </c>
      <c r="BB20" s="185">
        <f t="shared" ca="1" si="20"/>
        <v>3261</v>
      </c>
      <c r="BC20" s="185">
        <f t="shared" ca="1" si="20"/>
        <v>3261</v>
      </c>
      <c r="BD20" s="192" t="str">
        <f t="shared" ca="1" si="20"/>
        <v>Samsung</v>
      </c>
      <c r="BE20" s="192" t="str">
        <f t="shared" ca="1" si="20"/>
        <v>Hama</v>
      </c>
      <c r="BF20" s="192" t="str">
        <f t="shared" ca="1" si="20"/>
        <v>Samsung</v>
      </c>
      <c r="BG20" s="192" t="str">
        <f t="shared" ca="1" si="20"/>
        <v>Voxicon</v>
      </c>
      <c r="BH20" s="192" t="str">
        <f t="shared" ca="1" si="21"/>
        <v>Samsung</v>
      </c>
      <c r="BI20" s="192" t="str">
        <f t="shared" ca="1" si="21"/>
        <v>GH96-13408A</v>
      </c>
      <c r="BJ20" s="192" t="str">
        <f t="shared" ca="1" si="21"/>
        <v>KAP12483</v>
      </c>
      <c r="BK20" s="192" t="str">
        <f t="shared" ca="1" si="21"/>
        <v>EP-T1510NBEGEU / EP-TA20EWECGWW</v>
      </c>
      <c r="BL20" s="192" t="str">
        <f t="shared" ca="1" si="21"/>
        <v>DK-199B-G</v>
      </c>
      <c r="BM20" s="192" t="str">
        <f t="shared" ca="1" si="21"/>
        <v>EJ-PP610BJEGEU / EJ-PP610BLEGEU</v>
      </c>
      <c r="BN20" s="192">
        <f t="shared" ca="1" si="21"/>
        <v>518</v>
      </c>
      <c r="BO20" s="192">
        <f t="shared" ca="1" si="21"/>
        <v>219</v>
      </c>
      <c r="BP20" s="192">
        <f t="shared" ca="1" si="21"/>
        <v>111</v>
      </c>
      <c r="BQ20" s="192">
        <f t="shared" ca="1" si="21"/>
        <v>936</v>
      </c>
      <c r="BR20" s="192">
        <f t="shared" ca="1" si="21"/>
        <v>305</v>
      </c>
      <c r="BS20" s="192">
        <f t="shared" ca="1" si="21"/>
        <v>532</v>
      </c>
      <c r="BT20" s="192">
        <f t="shared" ca="1" si="21"/>
        <v>20</v>
      </c>
      <c r="BU20" s="192">
        <f t="shared" ca="1" si="21"/>
        <v>20</v>
      </c>
      <c r="BV20" s="192">
        <f t="shared" ca="1" si="21"/>
        <v>0</v>
      </c>
      <c r="BW20" s="192"/>
      <c r="BX20" s="192"/>
      <c r="BY20" s="192" t="str">
        <f t="shared" ca="1" si="22"/>
        <v>Dustin Sverige AB</v>
      </c>
      <c r="BZ20" s="192" t="str">
        <f t="shared" ca="1" si="22"/>
        <v>Samsung</v>
      </c>
      <c r="CA20" s="199"/>
      <c r="CB20" s="185"/>
      <c r="CC20" s="185"/>
      <c r="CD20" s="185"/>
      <c r="CE20" s="186"/>
      <c r="CF20" s="185"/>
      <c r="CG20" s="185"/>
      <c r="CH20" s="185"/>
      <c r="CI20" s="185"/>
      <c r="CJ20" s="185"/>
      <c r="CK20" s="185"/>
      <c r="CL20" s="185"/>
      <c r="CM20" s="185"/>
      <c r="CN20" s="185"/>
    </row>
    <row r="21" spans="2:94" ht="22.5" customHeight="1" outlineLevel="1" x14ac:dyDescent="0.35">
      <c r="C21" s="66"/>
      <c r="D21" s="67"/>
      <c r="G21" s="62"/>
      <c r="H21" s="62"/>
      <c r="I21" s="62"/>
      <c r="J21" s="62"/>
      <c r="Q21" s="185">
        <f t="shared" si="26"/>
        <v>0</v>
      </c>
      <c r="R21" s="185">
        <f t="shared" si="27"/>
        <v>0</v>
      </c>
      <c r="S21" s="185">
        <f t="shared" si="7"/>
        <v>0</v>
      </c>
      <c r="T21" s="185">
        <f t="shared" si="8"/>
        <v>0</v>
      </c>
      <c r="U21" s="185">
        <f t="shared" si="9"/>
        <v>0</v>
      </c>
      <c r="V21" s="185">
        <f t="shared" si="10"/>
        <v>0</v>
      </c>
      <c r="W21" s="185">
        <f t="shared" si="11"/>
        <v>0</v>
      </c>
      <c r="X21" s="185">
        <f t="shared" si="12"/>
        <v>0</v>
      </c>
      <c r="Y21" s="185">
        <f t="shared" si="13"/>
        <v>0</v>
      </c>
      <c r="Z21" s="196">
        <f t="shared" ca="1" si="14"/>
        <v>3751</v>
      </c>
      <c r="AA21" s="185" t="str">
        <f t="shared" si="15"/>
        <v>Offererad produktnr. 08Dustin Sverige AB</v>
      </c>
      <c r="AB21" s="185" t="b">
        <f>IF(D13="",TRUE,IF(COUNTIF(Processor!$M$2:$M$3,D13)=0,IF(AN21=D13,TRUE,FALSE),IF(COUNTIF(AN21,INDEX(Processor!$N$2:$N$3,MATCH(Surfplattor!D13,Processor!$M$2:$M$3,0)))&gt;0,TRUE,FALSE)))</f>
        <v>1</v>
      </c>
      <c r="AC21" s="185" t="b">
        <f>IF($D$14="",TRUE,IF(COUNTIF(Processor!$I$2:$I$9,$D$14)&gt;0,AND(AO21&gt;INDEX(Processor!$J$2:$J$9,MATCH($D$14,Processor!$I$2:$I$9,0)),AO21&lt;INDEX(Processor!$K$2:$K$9,MATCH($D$14,Processor!$I$2:$I$9,0))),IF(AO21=$D$14,TRUE,FALSE)))</f>
        <v>1</v>
      </c>
      <c r="AD21" s="185" t="b">
        <f t="shared" ref="AD21:AD31" si="32">IFERROR(IF($D$15="",TRUE,IF(AND(IF(LEFT($D$15,4)*1&lt;=1*LEFT(AP21,4),TRUE,FALSE),IF(RIGHT(AP21,4)*1&gt;=1*RIGHT($D$15,4),TRUE,FALSE)),TRUE,FALSE)),0)</f>
        <v>1</v>
      </c>
      <c r="AE21" s="185" t="b">
        <f t="shared" si="28"/>
        <v>1</v>
      </c>
      <c r="AF21" s="185" t="b">
        <f t="shared" si="29"/>
        <v>1</v>
      </c>
      <c r="AG21" s="185" t="b">
        <f t="shared" si="30"/>
        <v>1</v>
      </c>
      <c r="AH21" s="185" t="b">
        <f>IF($D$19="",TRUE,IF(INDEX(Processor!$C$14:$C$20,MATCH(LEFT(AT21,10)&amp;"",Processor!$A$14:$A$20,0))&gt;=INDEX(Processor!$C$14:$C$20,MATCH(LEFT($D$19,10)&amp;"",Processor!$A$14:$A$20,0)),TRUE,FALSE))</f>
        <v>1</v>
      </c>
      <c r="AI21" s="185" t="b">
        <f t="shared" si="31"/>
        <v>1</v>
      </c>
      <c r="AJ21" s="185"/>
      <c r="AK21" s="185"/>
      <c r="AL21" s="185" t="s">
        <v>181</v>
      </c>
      <c r="AM21" s="185">
        <v>1</v>
      </c>
      <c r="AN21" s="185" t="str">
        <f t="shared" ca="1" si="19"/>
        <v>iPadOS 14</v>
      </c>
      <c r="AO21" s="185">
        <f t="shared" ca="1" si="19"/>
        <v>10.199999999999999</v>
      </c>
      <c r="AP21" s="185" t="str">
        <f t="shared" ca="1" si="19"/>
        <v>2160x1620</v>
      </c>
      <c r="AQ21" s="185">
        <f t="shared" ca="1" si="19"/>
        <v>64</v>
      </c>
      <c r="AR21" s="185">
        <f t="shared" ca="1" si="19"/>
        <v>4.2</v>
      </c>
      <c r="AS21" s="185" t="str">
        <f t="shared" ca="1" si="19"/>
        <v>802.11a/b/g/n/ac</v>
      </c>
      <c r="AT21" s="185">
        <f t="shared" ca="1" si="19"/>
        <v>10</v>
      </c>
      <c r="AU21" s="185" t="str">
        <f t="shared" ca="1" si="19"/>
        <v>EPEAT Gold</v>
      </c>
      <c r="AV21" s="185" t="str">
        <f t="shared" ca="1" si="19"/>
        <v>802.11a/b/g/n/ac</v>
      </c>
      <c r="AW21" s="185">
        <f t="shared" ca="1" si="19"/>
        <v>4.2</v>
      </c>
      <c r="AX21" s="185">
        <f t="shared" ca="1" si="20"/>
        <v>10</v>
      </c>
      <c r="AY21" s="185" t="str">
        <f t="shared" ca="1" si="20"/>
        <v>iPad 9th gen</v>
      </c>
      <c r="AZ21" s="185">
        <f t="shared" ca="1" si="20"/>
        <v>0</v>
      </c>
      <c r="BA21" s="185" t="str">
        <f t="shared" ca="1" si="20"/>
        <v>iPadOS 14</v>
      </c>
      <c r="BB21" s="185">
        <f t="shared" ca="1" si="20"/>
        <v>3751</v>
      </c>
      <c r="BC21" s="185">
        <f t="shared" ca="1" si="20"/>
        <v>3751</v>
      </c>
      <c r="BD21" s="192" t="str">
        <f t="shared" ca="1" si="20"/>
        <v>Cirafon</v>
      </c>
      <c r="BE21" s="192" t="str">
        <f t="shared" ca="1" si="20"/>
        <v>Cirafon</v>
      </c>
      <c r="BF21" s="192" t="str">
        <f t="shared" ca="1" si="20"/>
        <v>Cirafon</v>
      </c>
      <c r="BG21" s="192" t="str">
        <f t="shared" ca="1" si="20"/>
        <v>Voxicon</v>
      </c>
      <c r="BH21" s="192" t="str">
        <f t="shared" ca="1" si="21"/>
        <v>Zagg</v>
      </c>
      <c r="BI21" s="192" t="str">
        <f t="shared" ca="1" si="21"/>
        <v>APD9-HBSFO-BLCK</v>
      </c>
      <c r="BJ21" s="192" t="str">
        <f t="shared" ca="1" si="21"/>
        <v>CG-TG-APL-IDP102</v>
      </c>
      <c r="BK21" s="192" t="str">
        <f t="shared" ca="1" si="21"/>
        <v>PD20E-1TGA-W/DMA-038#KIT</v>
      </c>
      <c r="BL21" s="192" t="str">
        <f t="shared" ca="1" si="21"/>
        <v>DK-400B-WHT</v>
      </c>
      <c r="BM21" s="192">
        <f t="shared" ca="1" si="21"/>
        <v>109907068</v>
      </c>
      <c r="BN21" s="192">
        <f t="shared" ca="1" si="21"/>
        <v>347</v>
      </c>
      <c r="BO21" s="192">
        <f t="shared" ca="1" si="21"/>
        <v>234</v>
      </c>
      <c r="BP21" s="192">
        <f t="shared" ca="1" si="21"/>
        <v>309</v>
      </c>
      <c r="BQ21" s="192">
        <f t="shared" ca="1" si="21"/>
        <v>407</v>
      </c>
      <c r="BR21" s="192">
        <f t="shared" ca="1" si="21"/>
        <v>373</v>
      </c>
      <c r="BS21" s="192">
        <f t="shared" ca="1" si="21"/>
        <v>532</v>
      </c>
      <c r="BT21" s="192">
        <f t="shared" ca="1" si="21"/>
        <v>20</v>
      </c>
      <c r="BU21" s="192">
        <f t="shared" ca="1" si="21"/>
        <v>20</v>
      </c>
      <c r="BV21" s="192">
        <f t="shared" ca="1" si="21"/>
        <v>0</v>
      </c>
      <c r="BW21" s="192"/>
      <c r="BX21" s="192"/>
      <c r="BY21" s="192" t="str">
        <f t="shared" ca="1" si="22"/>
        <v>Dustin Sverige AB</v>
      </c>
      <c r="BZ21" s="192" t="str">
        <f t="shared" ca="1" si="22"/>
        <v>Apple</v>
      </c>
      <c r="CA21" s="199"/>
      <c r="CB21" s="185"/>
      <c r="CC21" s="185"/>
      <c r="CD21" s="185"/>
      <c r="CE21" s="185"/>
      <c r="CF21" s="185"/>
      <c r="CG21" s="185"/>
      <c r="CH21" s="185"/>
      <c r="CI21" s="185"/>
      <c r="CJ21" s="185"/>
      <c r="CK21" s="185"/>
      <c r="CL21" s="185"/>
      <c r="CM21" s="185"/>
      <c r="CN21" s="185"/>
    </row>
    <row r="22" spans="2:94" ht="22.5" customHeight="1" outlineLevel="1" x14ac:dyDescent="0.35">
      <c r="C22" s="212" t="s">
        <v>366</v>
      </c>
      <c r="D22" s="213"/>
      <c r="E22" s="213"/>
      <c r="F22" s="213"/>
      <c r="G22" s="213"/>
      <c r="H22" s="213"/>
      <c r="I22" s="214"/>
      <c r="J22" s="94"/>
      <c r="Q22" s="185">
        <f t="shared" si="26"/>
        <v>0</v>
      </c>
      <c r="R22" s="185">
        <f t="shared" si="27"/>
        <v>0</v>
      </c>
      <c r="S22" s="185">
        <f t="shared" si="7"/>
        <v>0</v>
      </c>
      <c r="T22" s="185">
        <f t="shared" si="8"/>
        <v>0</v>
      </c>
      <c r="U22" s="185">
        <f t="shared" si="9"/>
        <v>0</v>
      </c>
      <c r="V22" s="185">
        <f t="shared" si="10"/>
        <v>0</v>
      </c>
      <c r="W22" s="185">
        <f t="shared" si="11"/>
        <v>0</v>
      </c>
      <c r="X22" s="185">
        <f t="shared" si="12"/>
        <v>0</v>
      </c>
      <c r="Y22" s="185">
        <f t="shared" si="13"/>
        <v>0</v>
      </c>
      <c r="Z22" s="196">
        <f t="shared" ca="1" si="14"/>
        <v>5710</v>
      </c>
      <c r="AA22" s="185" t="str">
        <f t="shared" si="15"/>
        <v>Offererad produktnr. 09Dustin Sverige AB</v>
      </c>
      <c r="AB22" s="185" t="b">
        <f>IF(D13="",TRUE,IF(COUNTIF(Processor!$M$2:$M$3,D13)=0,IF(AN22=D13,TRUE,FALSE),IF(COUNTIF(AN22,INDEX(Processor!$N$2:$N$3,MATCH(Surfplattor!D13,Processor!$M$2:$M$3,0)))&gt;0,TRUE,FALSE)))</f>
        <v>1</v>
      </c>
      <c r="AC22" s="185" t="b">
        <f>IF($D$14="",TRUE,IF(COUNTIF(Processor!$I$2:$I$9,$D$14)&gt;0,AND(AO22&gt;INDEX(Processor!$J$2:$J$9,MATCH($D$14,Processor!$I$2:$I$9,0)),AO22&lt;INDEX(Processor!$K$2:$K$9,MATCH($D$14,Processor!$I$2:$I$9,0))),IF(AO22=$D$14,TRUE,FALSE)))</f>
        <v>1</v>
      </c>
      <c r="AD22" s="185" t="b">
        <f t="shared" si="32"/>
        <v>1</v>
      </c>
      <c r="AE22" s="185" t="b">
        <f t="shared" si="28"/>
        <v>1</v>
      </c>
      <c r="AF22" s="185" t="b">
        <f t="shared" si="29"/>
        <v>1</v>
      </c>
      <c r="AG22" s="185" t="b">
        <f t="shared" si="30"/>
        <v>1</v>
      </c>
      <c r="AH22" s="185" t="b">
        <f>IF($D$19="",TRUE,IF(INDEX(Processor!$C$14:$C$20,MATCH(LEFT(AT22,10)&amp;"",Processor!$A$14:$A$20,0))&gt;=INDEX(Processor!$C$14:$C$20,MATCH(LEFT($D$19,10)&amp;"",Processor!$A$14:$A$20,0)),TRUE,FALSE))</f>
        <v>1</v>
      </c>
      <c r="AI22" s="185" t="b">
        <f t="shared" si="31"/>
        <v>1</v>
      </c>
      <c r="AJ22" s="185"/>
      <c r="AK22" s="185"/>
      <c r="AL22" s="185" t="s">
        <v>182</v>
      </c>
      <c r="AM22" s="185">
        <v>1</v>
      </c>
      <c r="AN22" s="185" t="str">
        <f t="shared" ref="AN22:AW31" ca="1" si="33">IFERROR(INDEX(INDIRECT(AN$7&amp;"!$A$10:CC100000"),MATCH($AL22,INDIRECT(AN$7&amp;"!BH$10:BH100000"),0),MATCH(AN$9,INDIRECT(AN$7&amp;"!a10:CC10"),0)),"False")</f>
        <v>Android 13</v>
      </c>
      <c r="AO22" s="185">
        <f t="shared" ca="1" si="33"/>
        <v>11</v>
      </c>
      <c r="AP22" s="185" t="str">
        <f t="shared" ca="1" si="33"/>
        <v>2560x1600</v>
      </c>
      <c r="AQ22" s="185">
        <f t="shared" ca="1" si="33"/>
        <v>128</v>
      </c>
      <c r="AR22" s="185">
        <f t="shared" ca="1" si="33"/>
        <v>5.3</v>
      </c>
      <c r="AS22" s="185" t="str">
        <f t="shared" ca="1" si="33"/>
        <v>802.11a/b/g/n/ac/ax</v>
      </c>
      <c r="AT22" s="185">
        <f t="shared" ca="1" si="33"/>
        <v>13</v>
      </c>
      <c r="AU22" s="185" t="str">
        <f t="shared" ca="1" si="33"/>
        <v>EPEAT Bronze (Canada)</v>
      </c>
      <c r="AV22" s="185" t="str">
        <f t="shared" ca="1" si="33"/>
        <v>802.11a/b/g/n/ac/ax</v>
      </c>
      <c r="AW22" s="185">
        <f t="shared" ca="1" si="33"/>
        <v>5.3</v>
      </c>
      <c r="AX22" s="185">
        <f t="shared" ref="AX22:BG31" ca="1" si="34">IFERROR(INDEX(INDIRECT(AX$7&amp;"!$A$10:CC100000"),MATCH($AL22,INDIRECT(AX$7&amp;"!BH$10:BH100000"),0),MATCH(AX$9,INDIRECT(AX$7&amp;"!a10:CC10"),0)),"False")</f>
        <v>13</v>
      </c>
      <c r="AY22" s="185" t="str">
        <f t="shared" ca="1" si="34"/>
        <v>Galaxy Tab S9</v>
      </c>
      <c r="AZ22" s="185">
        <f t="shared" ca="1" si="34"/>
        <v>0</v>
      </c>
      <c r="BA22" s="185" t="str">
        <f t="shared" ca="1" si="34"/>
        <v>Android 13</v>
      </c>
      <c r="BB22" s="185">
        <f t="shared" ca="1" si="34"/>
        <v>5710</v>
      </c>
      <c r="BC22" s="185">
        <f t="shared" ca="1" si="34"/>
        <v>5710</v>
      </c>
      <c r="BD22" s="192" t="str">
        <f t="shared" ca="1" si="34"/>
        <v>UAG METROPOLIS SE</v>
      </c>
      <c r="BE22" s="192" t="str">
        <f t="shared" ca="1" si="34"/>
        <v>Panzerglass</v>
      </c>
      <c r="BF22" s="192" t="str">
        <f t="shared" ca="1" si="34"/>
        <v xml:space="preserve">Samsung </v>
      </c>
      <c r="BG22" s="192" t="str">
        <f t="shared" ca="1" si="34"/>
        <v>Voxicon</v>
      </c>
      <c r="BH22" s="192" t="str">
        <f t="shared" ref="BH22:BV31" ca="1" si="35">IFERROR(INDEX(INDIRECT(BH$7&amp;"!$A$10:CC100000"),MATCH($AL22,INDIRECT(BH$7&amp;"!BH$10:BH100000"),0),MATCH(BH$9,INDIRECT(BH$7&amp;"!a10:CC10"),0)),"False")</f>
        <v>INGÅR</v>
      </c>
      <c r="BI22" s="192">
        <f t="shared" ca="1" si="35"/>
        <v>224339114040</v>
      </c>
      <c r="BJ22" s="192">
        <f t="shared" ca="1" si="35"/>
        <v>7332</v>
      </c>
      <c r="BK22" s="192" t="str">
        <f t="shared" ca="1" si="35"/>
        <v>EP-T1510NBEGEU / EP-TA20EWECGWW</v>
      </c>
      <c r="BL22" s="192" t="str">
        <f t="shared" ca="1" si="35"/>
        <v>DK-199B-G</v>
      </c>
      <c r="BM22" s="192">
        <f t="shared" ca="1" si="35"/>
        <v>0</v>
      </c>
      <c r="BN22" s="192">
        <f t="shared" ca="1" si="35"/>
        <v>419</v>
      </c>
      <c r="BO22" s="192">
        <f t="shared" ca="1" si="35"/>
        <v>269</v>
      </c>
      <c r="BP22" s="192">
        <f t="shared" ca="1" si="35"/>
        <v>111</v>
      </c>
      <c r="BQ22" s="192">
        <f t="shared" ca="1" si="35"/>
        <v>866</v>
      </c>
      <c r="BR22" s="192">
        <f t="shared" ca="1" si="35"/>
        <v>0</v>
      </c>
      <c r="BS22" s="192">
        <f t="shared" ca="1" si="35"/>
        <v>532</v>
      </c>
      <c r="BT22" s="192">
        <f t="shared" ca="1" si="35"/>
        <v>20</v>
      </c>
      <c r="BU22" s="192">
        <f t="shared" ca="1" si="35"/>
        <v>20</v>
      </c>
      <c r="BV22" s="192">
        <f t="shared" ca="1" si="35"/>
        <v>0</v>
      </c>
      <c r="BW22" s="192"/>
      <c r="BX22" s="192"/>
      <c r="BY22" s="192" t="str">
        <f t="shared" ca="1" si="22"/>
        <v>Dustin Sverige AB</v>
      </c>
      <c r="BZ22" s="192" t="str">
        <f t="shared" ca="1" si="22"/>
        <v>Samsung</v>
      </c>
      <c r="CE22" s="101"/>
    </row>
    <row r="23" spans="2:94" ht="30" customHeight="1" outlineLevel="1" x14ac:dyDescent="0.35">
      <c r="B23" s="69" t="s">
        <v>53</v>
      </c>
      <c r="C23" s="115" t="s">
        <v>372</v>
      </c>
      <c r="D23" s="70"/>
      <c r="F23" s="161" t="str">
        <f t="shared" ref="F23:F37" si="36">IF(F$10="Inget antal angivet","",IFERROR(INDEX($AN$11:$BZ$37,MATCH(F$7,$AL$11:$AL$37,0),MATCH($B23,$AN$11:$BZ$11,0)),""))</f>
        <v/>
      </c>
      <c r="G23" s="162">
        <f t="shared" ref="G23:I37" ca="1" si="37">IFERROR(INDEX($AN$11:$BZ$37,MATCH(G$7,$AL$11:$AL$37,0),MATCH($B23,$AN$11:$BZ$11,0)),"")</f>
        <v>325</v>
      </c>
      <c r="H23" s="162">
        <f t="shared" ca="1" si="37"/>
        <v>251</v>
      </c>
      <c r="I23" s="162">
        <f t="shared" ca="1" si="37"/>
        <v>460</v>
      </c>
      <c r="J23" s="62"/>
      <c r="Q23" s="185">
        <f t="shared" si="26"/>
        <v>0</v>
      </c>
      <c r="R23" s="185">
        <f t="shared" si="27"/>
        <v>0</v>
      </c>
      <c r="S23" s="185">
        <f t="shared" si="7"/>
        <v>0</v>
      </c>
      <c r="T23" s="185">
        <f t="shared" si="8"/>
        <v>0</v>
      </c>
      <c r="U23" s="185">
        <f t="shared" si="9"/>
        <v>0</v>
      </c>
      <c r="V23" s="185">
        <f t="shared" si="10"/>
        <v>0</v>
      </c>
      <c r="W23" s="185">
        <f t="shared" si="11"/>
        <v>0</v>
      </c>
      <c r="X23" s="185">
        <f t="shared" si="12"/>
        <v>0</v>
      </c>
      <c r="Y23" s="185">
        <f t="shared" si="13"/>
        <v>0</v>
      </c>
      <c r="Z23" s="196">
        <f t="shared" ca="1" si="14"/>
        <v>10190</v>
      </c>
      <c r="AA23" s="185" t="str">
        <f t="shared" si="15"/>
        <v>Offererad produktnr. 10Dustin Sverige AB</v>
      </c>
      <c r="AB23" s="185" t="b">
        <f>IF(D13="",TRUE,IF(COUNTIF(Processor!$M$2:$M$3,D13)=0,IF(AN23=D13,TRUE,FALSE),IF(COUNTIF(AN23,INDEX(Processor!$N$2:$N$3,MATCH(Surfplattor!D13,Processor!$M$2:$M$3,0)))&gt;0,TRUE,FALSE)))</f>
        <v>1</v>
      </c>
      <c r="AC23" s="185" t="b">
        <f>IF($D$14="",TRUE,IF(COUNTIF(Processor!$I$2:$I$9,$D$14)&gt;0,AND(AO23&gt;INDEX(Processor!$J$2:$J$9,MATCH($D$14,Processor!$I$2:$I$9,0)),AO23&lt;INDEX(Processor!$K$2:$K$9,MATCH($D$14,Processor!$I$2:$I$9,0))),IF(AO23=$D$14,TRUE,FALSE)))</f>
        <v>1</v>
      </c>
      <c r="AD23" s="185" t="b">
        <f t="shared" si="32"/>
        <v>1</v>
      </c>
      <c r="AE23" s="185" t="b">
        <f t="shared" si="28"/>
        <v>1</v>
      </c>
      <c r="AF23" s="185" t="b">
        <f t="shared" si="29"/>
        <v>1</v>
      </c>
      <c r="AG23" s="185" t="b">
        <f t="shared" si="30"/>
        <v>1</v>
      </c>
      <c r="AH23" s="185" t="b">
        <f>IF($D$19="",TRUE,IF(INDEX(Processor!$C$14:$C$20,MATCH(LEFT(AT23,10)&amp;"",Processor!$A$14:$A$20,0))&gt;=INDEX(Processor!$C$14:$C$20,MATCH(LEFT($D$19,10)&amp;"",Processor!$A$14:$A$20,0)),TRUE,FALSE))</f>
        <v>1</v>
      </c>
      <c r="AI23" s="185" t="b">
        <f t="shared" si="31"/>
        <v>1</v>
      </c>
      <c r="AJ23" s="185"/>
      <c r="AK23" s="185"/>
      <c r="AL23" s="185" t="s">
        <v>183</v>
      </c>
      <c r="AM23" s="185">
        <v>1</v>
      </c>
      <c r="AN23" s="185" t="str">
        <f t="shared" ca="1" si="33"/>
        <v>Android 13</v>
      </c>
      <c r="AO23" s="185">
        <f t="shared" ca="1" si="33"/>
        <v>12.4</v>
      </c>
      <c r="AP23" s="185" t="str">
        <f t="shared" ca="1" si="33"/>
        <v>2800x1752</v>
      </c>
      <c r="AQ23" s="185">
        <f t="shared" ca="1" si="33"/>
        <v>256</v>
      </c>
      <c r="AR23" s="185">
        <f t="shared" ca="1" si="33"/>
        <v>5.3</v>
      </c>
      <c r="AS23" s="185" t="str">
        <f t="shared" ca="1" si="33"/>
        <v>802.11a/b/g/n/ac/ax</v>
      </c>
      <c r="AT23" s="185">
        <f t="shared" ca="1" si="33"/>
        <v>13</v>
      </c>
      <c r="AU23" s="185" t="str">
        <f t="shared" ca="1" si="33"/>
        <v>EPEAT Bronze (Canada)</v>
      </c>
      <c r="AV23" s="185" t="str">
        <f t="shared" ca="1" si="33"/>
        <v>802.11a/b/g/n/ac/ax</v>
      </c>
      <c r="AW23" s="185">
        <f t="shared" ca="1" si="33"/>
        <v>5.3</v>
      </c>
      <c r="AX23" s="185">
        <f t="shared" ca="1" si="34"/>
        <v>13</v>
      </c>
      <c r="AY23" s="185" t="str">
        <f t="shared" ca="1" si="34"/>
        <v>Galaxy Tab S9+</v>
      </c>
      <c r="AZ23" s="185">
        <f t="shared" ca="1" si="34"/>
        <v>0</v>
      </c>
      <c r="BA23" s="185" t="str">
        <f t="shared" ca="1" si="34"/>
        <v>Android 13</v>
      </c>
      <c r="BB23" s="185">
        <f t="shared" ca="1" si="34"/>
        <v>10190</v>
      </c>
      <c r="BC23" s="185">
        <f t="shared" ca="1" si="34"/>
        <v>10190</v>
      </c>
      <c r="BD23" s="192" t="str">
        <f t="shared" ca="1" si="34"/>
        <v>Targus</v>
      </c>
      <c r="BE23" s="192" t="str">
        <f t="shared" ca="1" si="34"/>
        <v>Panzerglass</v>
      </c>
      <c r="BF23" s="192" t="str">
        <f t="shared" ca="1" si="34"/>
        <v>Samsung</v>
      </c>
      <c r="BG23" s="192" t="str">
        <f t="shared" ca="1" si="34"/>
        <v>Voxicon</v>
      </c>
      <c r="BH23" s="192" t="str">
        <f t="shared" ca="1" si="35"/>
        <v>INGÅR</v>
      </c>
      <c r="BI23" s="192" t="str">
        <f t="shared" ca="1" si="35"/>
        <v>THZ904GL </v>
      </c>
      <c r="BJ23" s="192">
        <f t="shared" ca="1" si="35"/>
        <v>7242</v>
      </c>
      <c r="BK23" s="192" t="str">
        <f t="shared" ca="1" si="35"/>
        <v>EP-T1510NBEGEU / EP-TA20EWECGWW</v>
      </c>
      <c r="BL23" s="192" t="str">
        <f t="shared" ca="1" si="35"/>
        <v>DK-199B-G</v>
      </c>
      <c r="BM23" s="192">
        <f t="shared" ca="1" si="35"/>
        <v>0</v>
      </c>
      <c r="BN23" s="192">
        <f t="shared" ca="1" si="35"/>
        <v>279</v>
      </c>
      <c r="BO23" s="192">
        <f t="shared" ca="1" si="35"/>
        <v>206</v>
      </c>
      <c r="BP23" s="192">
        <f t="shared" ca="1" si="35"/>
        <v>111</v>
      </c>
      <c r="BQ23" s="192">
        <f t="shared" ca="1" si="35"/>
        <v>979</v>
      </c>
      <c r="BR23" s="192">
        <f t="shared" ca="1" si="35"/>
        <v>0</v>
      </c>
      <c r="BS23" s="192">
        <f t="shared" ca="1" si="35"/>
        <v>532</v>
      </c>
      <c r="BT23" s="192">
        <f t="shared" ca="1" si="35"/>
        <v>20</v>
      </c>
      <c r="BU23" s="192">
        <f t="shared" ca="1" si="35"/>
        <v>20</v>
      </c>
      <c r="BV23" s="192">
        <f t="shared" ca="1" si="35"/>
        <v>0</v>
      </c>
      <c r="BW23" s="192"/>
      <c r="BX23" s="192"/>
      <c r="BY23" s="192" t="str">
        <f t="shared" ca="1" si="22"/>
        <v>Dustin Sverige AB</v>
      </c>
      <c r="BZ23" s="192" t="str">
        <f t="shared" ca="1" si="22"/>
        <v>Samsung</v>
      </c>
      <c r="CE23" s="101"/>
    </row>
    <row r="24" spans="2:94" ht="30" customHeight="1" outlineLevel="1" x14ac:dyDescent="0.35">
      <c r="B24" s="69" t="s">
        <v>340</v>
      </c>
      <c r="C24" s="96" t="s">
        <v>51</v>
      </c>
      <c r="D24" s="131" t="str">
        <f>IF("Ska Ingå"=D23,"Ska Ingå","")</f>
        <v/>
      </c>
      <c r="F24" s="84" t="str">
        <f t="shared" si="36"/>
        <v/>
      </c>
      <c r="G24" s="85" t="str">
        <f t="shared" ca="1" si="37"/>
        <v>Phonelife</v>
      </c>
      <c r="H24" s="85" t="str">
        <f t="shared" ca="1" si="37"/>
        <v>eSTUFF</v>
      </c>
      <c r="I24" s="85" t="str">
        <f t="shared" ca="1" si="37"/>
        <v>Otterbox Defender Series</v>
      </c>
      <c r="J24" s="62"/>
      <c r="Q24" s="185">
        <f t="shared" si="26"/>
        <v>0</v>
      </c>
      <c r="R24" s="185">
        <f t="shared" si="27"/>
        <v>0</v>
      </c>
      <c r="S24" s="185">
        <f t="shared" si="7"/>
        <v>0</v>
      </c>
      <c r="T24" s="185">
        <f t="shared" si="8"/>
        <v>0</v>
      </c>
      <c r="U24" s="185">
        <f t="shared" si="9"/>
        <v>0</v>
      </c>
      <c r="V24" s="185">
        <f t="shared" si="10"/>
        <v>0</v>
      </c>
      <c r="W24" s="185">
        <f t="shared" si="11"/>
        <v>0</v>
      </c>
      <c r="X24" s="185">
        <f t="shared" si="12"/>
        <v>0</v>
      </c>
      <c r="Y24" s="185">
        <f t="shared" si="13"/>
        <v>0</v>
      </c>
      <c r="Z24" s="196">
        <f t="shared" ca="1" si="14"/>
        <v>4068</v>
      </c>
      <c r="AA24" s="185" t="str">
        <f t="shared" si="15"/>
        <v>Offererad produktnr. 07Foxway Education AB</v>
      </c>
      <c r="AB24" s="185" t="b">
        <f>IF(D13="",TRUE,IF(COUNTIF(Processor!$M$2:$M$3,D13)=0,IF(AN24=D13,TRUE,FALSE),IF(COUNTIF(AN24,INDEX(Processor!$N$2:$N$3,MATCH(Surfplattor!D13,Processor!$M$2:$M$3,0)))&gt;0,TRUE,FALSE)))</f>
        <v>1</v>
      </c>
      <c r="AC24" s="185" t="b">
        <f>IF($D$14="",TRUE,IF(COUNTIF(Processor!$I$2:$I$9,$D$14)&gt;0,AND(AO24&gt;INDEX(Processor!$J$2:$J$9,MATCH($D$14,Processor!$I$2:$I$9,0)),AO24&lt;INDEX(Processor!$K$2:$K$9,MATCH($D$14,Processor!$I$2:$I$9,0))),IF(AO24=$D$14,TRUE,FALSE)))</f>
        <v>1</v>
      </c>
      <c r="AD24" s="185" t="b">
        <f t="shared" si="32"/>
        <v>1</v>
      </c>
      <c r="AE24" s="185" t="b">
        <f t="shared" si="28"/>
        <v>1</v>
      </c>
      <c r="AF24" s="185" t="b">
        <f t="shared" si="29"/>
        <v>1</v>
      </c>
      <c r="AG24" s="185" t="b">
        <f t="shared" si="30"/>
        <v>1</v>
      </c>
      <c r="AH24" s="185" t="b">
        <f>IF($D$19="",TRUE,IF(INDEX(Processor!$C$14:$C$20,MATCH(LEFT(AT24,10)&amp;"",Processor!$A$14:$A$20,0))&gt;=INDEX(Processor!$C$14:$C$20,MATCH(LEFT($D$19,10)&amp;"",Processor!$A$14:$A$20,0)),TRUE,FALSE))</f>
        <v>1</v>
      </c>
      <c r="AI24" s="185" t="b">
        <f t="shared" si="31"/>
        <v>1</v>
      </c>
      <c r="AJ24" s="185"/>
      <c r="AK24" s="185"/>
      <c r="AL24" s="185" t="s">
        <v>216</v>
      </c>
      <c r="AM24" s="185">
        <v>1</v>
      </c>
      <c r="AN24" s="185" t="str">
        <f t="shared" ca="1" si="33"/>
        <v>iPadOS 15</v>
      </c>
      <c r="AO24" s="185">
        <f t="shared" ca="1" si="33"/>
        <v>10.199999999999999</v>
      </c>
      <c r="AP24" s="185" t="str">
        <f t="shared" ca="1" si="33"/>
        <v>2160x1620</v>
      </c>
      <c r="AQ24" s="185">
        <f t="shared" ca="1" si="33"/>
        <v>64</v>
      </c>
      <c r="AR24" s="185">
        <f t="shared" ca="1" si="33"/>
        <v>4.2</v>
      </c>
      <c r="AS24" s="185" t="str">
        <f t="shared" ca="1" si="33"/>
        <v>802.11a/b/g/n/ac</v>
      </c>
      <c r="AT24" s="185">
        <f t="shared" ca="1" si="33"/>
        <v>10</v>
      </c>
      <c r="AU24" s="185" t="str">
        <f t="shared" ca="1" si="33"/>
        <v>EPEAT Gold</v>
      </c>
      <c r="AV24" s="185" t="str">
        <f t="shared" ca="1" si="33"/>
        <v>802.11a/b/g/n/ac</v>
      </c>
      <c r="AW24" s="185">
        <f t="shared" ca="1" si="33"/>
        <v>4.2</v>
      </c>
      <c r="AX24" s="185">
        <f t="shared" ca="1" si="34"/>
        <v>10</v>
      </c>
      <c r="AY24" s="185" t="str">
        <f t="shared" ca="1" si="34"/>
        <v>10.2-inch (9th-gen) iPad Wi-Fi 64GB</v>
      </c>
      <c r="AZ24" s="185">
        <f t="shared" ca="1" si="34"/>
        <v>0</v>
      </c>
      <c r="BA24" s="185" t="str">
        <f t="shared" ca="1" si="34"/>
        <v>iPadOS 15</v>
      </c>
      <c r="BB24" s="185">
        <f t="shared" ca="1" si="34"/>
        <v>4068</v>
      </c>
      <c r="BC24" s="185">
        <f t="shared" ca="1" si="34"/>
        <v>4068</v>
      </c>
      <c r="BD24" s="192" t="str">
        <f t="shared" ca="1" si="34"/>
        <v>Targus</v>
      </c>
      <c r="BE24" s="192" t="str">
        <f t="shared" ca="1" si="34"/>
        <v>Screenor</v>
      </c>
      <c r="BF24" s="192" t="str">
        <f t="shared" ca="1" si="34"/>
        <v>Apple</v>
      </c>
      <c r="BG24" s="192" t="str">
        <f t="shared" ca="1" si="34"/>
        <v>Deltaco</v>
      </c>
      <c r="BH24" s="192" t="str">
        <f t="shared" ca="1" si="35"/>
        <v>Apple</v>
      </c>
      <c r="BI24" s="192" t="str">
        <f t="shared" ca="1" si="35"/>
        <v>Targus SafePORT Rugged</v>
      </c>
      <c r="BJ24" s="192" t="str">
        <f t="shared" ca="1" si="35"/>
        <v>SCREENOR TEMPERED IPAD 10.2</v>
      </c>
      <c r="BK24" s="192" t="str">
        <f t="shared" ca="1" si="35"/>
        <v>Laddkit iPad</v>
      </c>
      <c r="BL24" s="192" t="str">
        <f t="shared" ca="1" si="35"/>
        <v>DELTACO trådlöst minitangentbord, 78 tangenter, Bluetooth, nordisk layout, dämpade tangenter, svart</v>
      </c>
      <c r="BM24" s="192" t="str">
        <f t="shared" ca="1" si="35"/>
        <v>Apple Pencil</v>
      </c>
      <c r="BN24" s="192">
        <f t="shared" ca="1" si="35"/>
        <v>210</v>
      </c>
      <c r="BO24" s="192">
        <f t="shared" ca="1" si="35"/>
        <v>240</v>
      </c>
      <c r="BP24" s="192">
        <f t="shared" ca="1" si="35"/>
        <v>372</v>
      </c>
      <c r="BQ24" s="192">
        <f t="shared" ca="1" si="35"/>
        <v>156</v>
      </c>
      <c r="BR24" s="192">
        <f t="shared" ca="1" si="35"/>
        <v>1080</v>
      </c>
      <c r="BS24" s="192">
        <f t="shared" ca="1" si="35"/>
        <v>480</v>
      </c>
      <c r="BT24" s="192">
        <f t="shared" ca="1" si="35"/>
        <v>60</v>
      </c>
      <c r="BU24" s="192">
        <f t="shared" ca="1" si="35"/>
        <v>50</v>
      </c>
      <c r="BV24" s="192">
        <f t="shared" ca="1" si="35"/>
        <v>0</v>
      </c>
      <c r="BW24" s="192"/>
      <c r="BX24" s="192"/>
      <c r="BY24" s="192" t="str">
        <f t="shared" ca="1" si="22"/>
        <v>Foxway Education AB</v>
      </c>
      <c r="BZ24" s="192" t="str">
        <f t="shared" ca="1" si="22"/>
        <v>Apple</v>
      </c>
      <c r="CB24" s="63"/>
      <c r="CC24" s="63"/>
      <c r="CD24" s="63"/>
      <c r="CE24" s="102"/>
      <c r="CF24" s="63"/>
      <c r="CG24" s="63"/>
      <c r="CH24" s="63"/>
      <c r="CI24" s="63"/>
      <c r="CJ24" s="63"/>
      <c r="CK24" s="63"/>
      <c r="CL24" s="63"/>
      <c r="CM24" s="63"/>
      <c r="CN24" s="63"/>
      <c r="CO24" s="63"/>
      <c r="CP24" s="63"/>
    </row>
    <row r="25" spans="2:94" ht="67.5" customHeight="1" outlineLevel="1" x14ac:dyDescent="0.35">
      <c r="B25" s="69" t="s">
        <v>345</v>
      </c>
      <c r="C25" s="97" t="s">
        <v>52</v>
      </c>
      <c r="D25" s="132" t="str">
        <f>IF("Ska Ingå"=D23,"Ska Ingå","")</f>
        <v/>
      </c>
      <c r="F25" s="86" t="str">
        <f t="shared" si="36"/>
        <v/>
      </c>
      <c r="G25" s="87" t="str">
        <f t="shared" ca="1" si="37"/>
        <v>GBXRUGGEDLENTAB-V1</v>
      </c>
      <c r="H25" s="87" t="str">
        <f t="shared" ca="1" si="37"/>
        <v>ES685307-BULK - Vikbart fodral för surfplatta - polyuretan, polykarbonat, konstläder, mikrofiber - svart - för Lenovo Tab M10 (3rd Gen)</v>
      </c>
      <c r="I25" s="87" t="str">
        <f t="shared" ca="1" si="37"/>
        <v>GBX77-62032</v>
      </c>
      <c r="J25" s="62"/>
      <c r="Q25" s="185">
        <f t="shared" si="26"/>
        <v>0</v>
      </c>
      <c r="R25" s="185">
        <f t="shared" si="27"/>
        <v>0</v>
      </c>
      <c r="S25" s="185">
        <f t="shared" si="7"/>
        <v>0</v>
      </c>
      <c r="T25" s="185">
        <f t="shared" si="8"/>
        <v>0</v>
      </c>
      <c r="U25" s="185">
        <f t="shared" si="9"/>
        <v>0</v>
      </c>
      <c r="V25" s="185">
        <f t="shared" si="10"/>
        <v>0</v>
      </c>
      <c r="W25" s="185">
        <f t="shared" si="11"/>
        <v>0</v>
      </c>
      <c r="X25" s="185">
        <f t="shared" si="12"/>
        <v>0</v>
      </c>
      <c r="Y25" s="185">
        <f t="shared" si="13"/>
        <v>0</v>
      </c>
      <c r="Z25" s="196">
        <f t="shared" ca="1" si="14"/>
        <v>3894</v>
      </c>
      <c r="AA25" s="185" t="str">
        <f t="shared" si="15"/>
        <v>Offererad produktnr. 08Foxway Education AB</v>
      </c>
      <c r="AB25" s="185" t="b">
        <f>IF(D13="",TRUE,IF(COUNTIF(Processor!$M$2:$M$3,D13)=0,IF(AN25=D13,TRUE,FALSE),IF(COUNTIF(AN25,INDEX(Processor!$N$2:$N$3,MATCH(Surfplattor!D13,Processor!$M$2:$M$3,0)))&gt;0,TRUE,FALSE)))</f>
        <v>1</v>
      </c>
      <c r="AC25" s="185" t="b">
        <f>IF($D$14="",TRUE,IF(COUNTIF(Processor!$I$2:$I$9,$D$14)&gt;0,AND(AO25&gt;INDEX(Processor!$J$2:$J$9,MATCH($D$14,Processor!$I$2:$I$9,0)),AO25&lt;INDEX(Processor!$K$2:$K$9,MATCH($D$14,Processor!$I$2:$I$9,0))),IF(AO25=$D$14,TRUE,FALSE)))</f>
        <v>1</v>
      </c>
      <c r="AD25" s="185" t="b">
        <f t="shared" si="32"/>
        <v>1</v>
      </c>
      <c r="AE25" s="185" t="b">
        <f t="shared" si="28"/>
        <v>1</v>
      </c>
      <c r="AF25" s="185" t="b">
        <f t="shared" si="29"/>
        <v>1</v>
      </c>
      <c r="AG25" s="185" t="b">
        <f t="shared" si="30"/>
        <v>1</v>
      </c>
      <c r="AH25" s="185" t="b">
        <f>IF($D$19="",TRUE,IF(INDEX(Processor!$C$14:$C$20,MATCH(LEFT(AT25,10)&amp;"",Processor!$A$14:$A$20,0))&gt;=INDEX(Processor!$C$14:$C$20,MATCH(LEFT($D$19,10)&amp;"",Processor!$A$14:$A$20,0)),TRUE,FALSE))</f>
        <v>1</v>
      </c>
      <c r="AI25" s="185" t="b">
        <f t="shared" si="31"/>
        <v>1</v>
      </c>
      <c r="AJ25" s="185"/>
      <c r="AK25" s="185"/>
      <c r="AL25" s="185" t="s">
        <v>217</v>
      </c>
      <c r="AM25" s="185">
        <v>1</v>
      </c>
      <c r="AN25" s="185" t="str">
        <f t="shared" ca="1" si="33"/>
        <v>Android 11</v>
      </c>
      <c r="AO25" s="185">
        <f t="shared" ca="1" si="33"/>
        <v>10.4</v>
      </c>
      <c r="AP25" s="185" t="str">
        <f t="shared" ca="1" si="33"/>
        <v>2000x1200</v>
      </c>
      <c r="AQ25" s="185">
        <f t="shared" ca="1" si="33"/>
        <v>64</v>
      </c>
      <c r="AR25" s="185">
        <f t="shared" ca="1" si="33"/>
        <v>5</v>
      </c>
      <c r="AS25" s="185" t="str">
        <f t="shared" ca="1" si="33"/>
        <v>802.11a/b/g/n/ac</v>
      </c>
      <c r="AT25" s="185">
        <f t="shared" ca="1" si="33"/>
        <v>12</v>
      </c>
      <c r="AU25" s="185" t="str">
        <f t="shared" ca="1" si="33"/>
        <v>Epeat Bronze</v>
      </c>
      <c r="AV25" s="185" t="str">
        <f t="shared" ca="1" si="33"/>
        <v>802.11a/b/g/n/ac</v>
      </c>
      <c r="AW25" s="185">
        <f t="shared" ca="1" si="33"/>
        <v>5</v>
      </c>
      <c r="AX25" s="185">
        <f t="shared" ca="1" si="34"/>
        <v>12</v>
      </c>
      <c r="AY25" s="185" t="str">
        <f t="shared" ca="1" si="34"/>
        <v>Galaxy Tab S6 Lite WiFi (64GB)</v>
      </c>
      <c r="AZ25" s="185">
        <f t="shared" ca="1" si="34"/>
        <v>0</v>
      </c>
      <c r="BA25" s="185" t="str">
        <f t="shared" ca="1" si="34"/>
        <v>Android 11</v>
      </c>
      <c r="BB25" s="185">
        <f t="shared" ca="1" si="34"/>
        <v>3894</v>
      </c>
      <c r="BC25" s="185">
        <f t="shared" ca="1" si="34"/>
        <v>3894</v>
      </c>
      <c r="BD25" s="192" t="str">
        <f t="shared" ca="1" si="34"/>
        <v>Tolerate</v>
      </c>
      <c r="BE25" s="192" t="str">
        <f t="shared" ca="1" si="34"/>
        <v xml:space="preserve">Insmat </v>
      </c>
      <c r="BF25" s="192" t="str">
        <f t="shared" ca="1" si="34"/>
        <v>Samsung</v>
      </c>
      <c r="BG25" s="192" t="str">
        <f t="shared" ca="1" si="34"/>
        <v>Deltaco</v>
      </c>
      <c r="BH25" s="192" t="str">
        <f t="shared" ca="1" si="35"/>
        <v>Samsung</v>
      </c>
      <c r="BI25" s="192" t="str">
        <f t="shared" ca="1" si="35"/>
        <v xml:space="preserve">TOLERATE ARMOR FOLIO SAMSUNG TAB S6 LITE BLACK </v>
      </c>
      <c r="BJ25" s="192" t="str">
        <f t="shared" ca="1" si="35"/>
        <v>Insmat Brilliant</v>
      </c>
      <c r="BK25" s="192" t="str">
        <f t="shared" ca="1" si="35"/>
        <v>SAMSUNG FAST TRAVEL CHARGER USB-C BLACK</v>
      </c>
      <c r="BL25" s="192" t="str">
        <f t="shared" ca="1" si="35"/>
        <v>DELTACO trådlöst minitangentbord, 78 tangenter, Bluetooth, nordisk layout, dämpade tangenter, svart</v>
      </c>
      <c r="BM25" s="192" t="str">
        <f t="shared" ca="1" si="35"/>
        <v xml:space="preserve">SAMSUNG S-PEN GALAXY TAB S6 LITE GREY </v>
      </c>
      <c r="BN25" s="192">
        <f t="shared" ca="1" si="35"/>
        <v>350</v>
      </c>
      <c r="BO25" s="192">
        <f t="shared" ca="1" si="35"/>
        <v>165</v>
      </c>
      <c r="BP25" s="192">
        <f t="shared" ca="1" si="35"/>
        <v>114</v>
      </c>
      <c r="BQ25" s="192">
        <f t="shared" ca="1" si="35"/>
        <v>156</v>
      </c>
      <c r="BR25" s="192">
        <f t="shared" ca="1" si="35"/>
        <v>306</v>
      </c>
      <c r="BS25" s="192">
        <f t="shared" ca="1" si="35"/>
        <v>1</v>
      </c>
      <c r="BT25" s="192">
        <f t="shared" ca="1" si="35"/>
        <v>60</v>
      </c>
      <c r="BU25" s="192">
        <f t="shared" ca="1" si="35"/>
        <v>50</v>
      </c>
      <c r="BV25" s="192">
        <f t="shared" ca="1" si="35"/>
        <v>0</v>
      </c>
      <c r="BW25" s="192"/>
      <c r="BX25" s="192"/>
      <c r="BY25" s="192" t="str">
        <f t="shared" ca="1" si="22"/>
        <v>Foxway Education AB</v>
      </c>
      <c r="BZ25" s="192" t="str">
        <f t="shared" ca="1" si="22"/>
        <v>Samsung</v>
      </c>
      <c r="CA25" s="63"/>
      <c r="CB25" s="63"/>
      <c r="CC25" s="63"/>
      <c r="CD25" s="63"/>
      <c r="CE25" s="63"/>
      <c r="CF25" s="63"/>
      <c r="CG25" s="63"/>
      <c r="CH25" s="63"/>
      <c r="CI25" s="63"/>
      <c r="CJ25" s="63"/>
      <c r="CK25" s="63"/>
      <c r="CL25" s="63"/>
      <c r="CM25" s="63"/>
      <c r="CN25" s="63"/>
    </row>
    <row r="26" spans="2:94" ht="30" customHeight="1" outlineLevel="1" x14ac:dyDescent="0.35">
      <c r="B26" s="69" t="s">
        <v>54</v>
      </c>
      <c r="C26" s="98" t="s">
        <v>373</v>
      </c>
      <c r="D26" s="70"/>
      <c r="F26" s="157" t="str">
        <f t="shared" si="36"/>
        <v/>
      </c>
      <c r="G26" s="158">
        <f t="shared" ca="1" si="37"/>
        <v>180</v>
      </c>
      <c r="H26" s="158">
        <f t="shared" ca="1" si="37"/>
        <v>251</v>
      </c>
      <c r="I26" s="158">
        <f t="shared" ca="1" si="37"/>
        <v>189</v>
      </c>
      <c r="J26" s="62"/>
      <c r="Q26" s="185">
        <f t="shared" si="26"/>
        <v>0</v>
      </c>
      <c r="R26" s="185">
        <f t="shared" si="27"/>
        <v>0</v>
      </c>
      <c r="S26" s="185">
        <f t="shared" si="7"/>
        <v>0</v>
      </c>
      <c r="T26" s="185">
        <f t="shared" si="8"/>
        <v>0</v>
      </c>
      <c r="U26" s="185">
        <f t="shared" si="9"/>
        <v>0</v>
      </c>
      <c r="V26" s="185">
        <f t="shared" si="10"/>
        <v>0</v>
      </c>
      <c r="W26" s="185">
        <f t="shared" si="11"/>
        <v>0</v>
      </c>
      <c r="X26" s="185">
        <f t="shared" si="12"/>
        <v>0</v>
      </c>
      <c r="Y26" s="185">
        <f t="shared" si="13"/>
        <v>0</v>
      </c>
      <c r="Z26" s="196">
        <f t="shared" ca="1" si="14"/>
        <v>7350</v>
      </c>
      <c r="AA26" s="185" t="str">
        <f t="shared" si="15"/>
        <v>Offererad produktnr. 09Foxway Education AB</v>
      </c>
      <c r="AB26" s="185" t="b">
        <f>IF(D13="",TRUE,IF(COUNTIF(Processor!$M$2:$M$3,D13)=0,IF(AN26=D13,TRUE,FALSE),IF(COUNTIF(AN26,INDEX(Processor!$N$2:$N$3,MATCH(Surfplattor!D13,Processor!$M$2:$M$3,0)))&gt;0,TRUE,FALSE)))</f>
        <v>1</v>
      </c>
      <c r="AC26" s="185" t="b">
        <f>IF($D$14="",TRUE,IF(COUNTIF(Processor!$I$2:$I$9,$D$14)&gt;0,AND(AO26&gt;INDEX(Processor!$J$2:$J$9,MATCH($D$14,Processor!$I$2:$I$9,0)),AO26&lt;INDEX(Processor!$K$2:$K$9,MATCH($D$14,Processor!$I$2:$I$9,0))),IF(AO26=$D$14,TRUE,FALSE)))</f>
        <v>1</v>
      </c>
      <c r="AD26" s="185" t="b">
        <f t="shared" si="32"/>
        <v>1</v>
      </c>
      <c r="AE26" s="185" t="b">
        <f t="shared" si="28"/>
        <v>1</v>
      </c>
      <c r="AF26" s="185" t="b">
        <f t="shared" si="29"/>
        <v>1</v>
      </c>
      <c r="AG26" s="185" t="b">
        <f t="shared" si="30"/>
        <v>1</v>
      </c>
      <c r="AH26" s="185" t="b">
        <f>IF($D$19="",TRUE,IF(INDEX(Processor!$C$14:$C$20,MATCH(LEFT(AT26,10)&amp;"",Processor!$A$14:$A$20,0))&gt;=INDEX(Processor!$C$14:$C$20,MATCH(LEFT($D$19,10)&amp;"",Processor!$A$14:$A$20,0)),TRUE,FALSE))</f>
        <v>1</v>
      </c>
      <c r="AI26" s="185" t="b">
        <f t="shared" si="31"/>
        <v>1</v>
      </c>
      <c r="AJ26" s="185"/>
      <c r="AK26" s="185"/>
      <c r="AL26" s="185" t="s">
        <v>218</v>
      </c>
      <c r="AM26" s="185">
        <v>1</v>
      </c>
      <c r="AN26" s="185" t="str">
        <f t="shared" ca="1" si="33"/>
        <v>Android 11</v>
      </c>
      <c r="AO26" s="185">
        <f t="shared" ca="1" si="33"/>
        <v>11</v>
      </c>
      <c r="AP26" s="185" t="str">
        <f t="shared" ca="1" si="33"/>
        <v>2560x1600</v>
      </c>
      <c r="AQ26" s="185">
        <f t="shared" ca="1" si="33"/>
        <v>128</v>
      </c>
      <c r="AR26" s="185">
        <f t="shared" ca="1" si="33"/>
        <v>5</v>
      </c>
      <c r="AS26" s="185" t="str">
        <f t="shared" ca="1" si="33"/>
        <v>802.11a/b/g/n/ac/ax</v>
      </c>
      <c r="AT26" s="185">
        <f t="shared" ca="1" si="33"/>
        <v>13</v>
      </c>
      <c r="AU26" s="185" t="str">
        <f t="shared" ca="1" si="33"/>
        <v>Epeat Bronze</v>
      </c>
      <c r="AV26" s="185" t="str">
        <f t="shared" ca="1" si="33"/>
        <v>802.11a/b/g/n/ac/ax</v>
      </c>
      <c r="AW26" s="185">
        <f t="shared" ca="1" si="33"/>
        <v>5</v>
      </c>
      <c r="AX26" s="185">
        <f t="shared" ca="1" si="34"/>
        <v>13</v>
      </c>
      <c r="AY26" s="185" t="str">
        <f t="shared" ca="1" si="34"/>
        <v>Galaxy Tab S8 Wifi (128GB)</v>
      </c>
      <c r="AZ26" s="185">
        <f t="shared" ca="1" si="34"/>
        <v>0</v>
      </c>
      <c r="BA26" s="185" t="str">
        <f t="shared" ca="1" si="34"/>
        <v>Android 11</v>
      </c>
      <c r="BB26" s="185">
        <f t="shared" ca="1" si="34"/>
        <v>7350</v>
      </c>
      <c r="BC26" s="185">
        <f t="shared" ca="1" si="34"/>
        <v>7350</v>
      </c>
      <c r="BD26" s="192" t="str">
        <f t="shared" ca="1" si="34"/>
        <v>Insmat</v>
      </c>
      <c r="BE26" s="192" t="str">
        <f t="shared" ca="1" si="34"/>
        <v>Tolerate</v>
      </c>
      <c r="BF26" s="192" t="str">
        <f t="shared" ca="1" si="34"/>
        <v>Samsung</v>
      </c>
      <c r="BG26" s="192" t="str">
        <f t="shared" ca="1" si="34"/>
        <v>Deltaco</v>
      </c>
      <c r="BH26" s="192" t="str">
        <f t="shared" ca="1" si="35"/>
        <v>Samsung</v>
      </c>
      <c r="BI26" s="192" t="str">
        <f t="shared" ca="1" si="35"/>
        <v>Insmat Rugged Armor S8</v>
      </c>
      <c r="BJ26" s="192" t="str">
        <f t="shared" ca="1" si="35"/>
        <v>TOLERATE GLASS SCREEN PROTECTOR SAMSUNG TAB S8</v>
      </c>
      <c r="BK26" s="192" t="str">
        <f t="shared" ca="1" si="35"/>
        <v>SAMSUNG FAST TRAVEL CHARGER USB-C BLACK</v>
      </c>
      <c r="BL26" s="192" t="str">
        <f t="shared" ca="1" si="35"/>
        <v>DELTACO trådlöst minitangentbord, 78 tangenter, Bluetooth, nordisk layout, dämpade tangenter, svart</v>
      </c>
      <c r="BM26" s="192" t="str">
        <f t="shared" ca="1" si="35"/>
        <v>SAMSUNG S-PEN GALAXY TAB S7</v>
      </c>
      <c r="BN26" s="192">
        <f t="shared" ca="1" si="35"/>
        <v>340</v>
      </c>
      <c r="BO26" s="185">
        <f t="shared" ca="1" si="35"/>
        <v>205</v>
      </c>
      <c r="BP26" s="192">
        <f t="shared" ca="1" si="35"/>
        <v>114</v>
      </c>
      <c r="BQ26" s="192">
        <f t="shared" ca="1" si="35"/>
        <v>156</v>
      </c>
      <c r="BR26" s="192">
        <f t="shared" ca="1" si="35"/>
        <v>360</v>
      </c>
      <c r="BS26" s="185">
        <f t="shared" ca="1" si="35"/>
        <v>1</v>
      </c>
      <c r="BT26" s="185">
        <f t="shared" ca="1" si="35"/>
        <v>60</v>
      </c>
      <c r="BU26" s="185">
        <f t="shared" ca="1" si="35"/>
        <v>50</v>
      </c>
      <c r="BV26" s="185">
        <f t="shared" ca="1" si="35"/>
        <v>0</v>
      </c>
      <c r="BW26" s="185"/>
      <c r="BX26" s="185"/>
      <c r="BY26" s="185" t="str">
        <f t="shared" ca="1" si="22"/>
        <v>Foxway Education AB</v>
      </c>
      <c r="BZ26" s="185" t="str">
        <f t="shared" ca="1" si="22"/>
        <v>Samsung</v>
      </c>
      <c r="CA26" s="63"/>
      <c r="CB26" s="63"/>
      <c r="CC26" s="63"/>
      <c r="CD26" s="63"/>
      <c r="CE26" s="63"/>
      <c r="CF26" s="63"/>
      <c r="CG26" s="63"/>
      <c r="CH26" s="63"/>
      <c r="CI26" s="63"/>
      <c r="CJ26" s="63"/>
      <c r="CK26" s="63"/>
      <c r="CL26" s="63"/>
      <c r="CM26" s="63"/>
      <c r="CN26" s="63"/>
    </row>
    <row r="27" spans="2:94" ht="30" customHeight="1" outlineLevel="1" x14ac:dyDescent="0.35">
      <c r="B27" s="69" t="s">
        <v>341</v>
      </c>
      <c r="C27" s="61" t="s">
        <v>51</v>
      </c>
      <c r="D27" s="131" t="str">
        <f>IF("Ska Ingå"=D26,"Ska Ingå","")</f>
        <v/>
      </c>
      <c r="F27" s="88" t="str">
        <f t="shared" si="36"/>
        <v/>
      </c>
      <c r="G27" s="89" t="str">
        <f t="shared" ca="1" si="37"/>
        <v>Lenovo</v>
      </c>
      <c r="H27" s="89" t="str">
        <f t="shared" ca="1" si="37"/>
        <v>eSTUFF</v>
      </c>
      <c r="I27" s="89" t="str">
        <f t="shared" ca="1" si="37"/>
        <v>ZAGG</v>
      </c>
      <c r="J27" s="62"/>
      <c r="Q27" s="185">
        <f t="shared" si="26"/>
        <v>0</v>
      </c>
      <c r="R27" s="185">
        <f t="shared" si="27"/>
        <v>0</v>
      </c>
      <c r="S27" s="185">
        <f t="shared" si="7"/>
        <v>0</v>
      </c>
      <c r="T27" s="185">
        <f t="shared" si="8"/>
        <v>0</v>
      </c>
      <c r="U27" s="185">
        <f t="shared" si="9"/>
        <v>0</v>
      </c>
      <c r="V27" s="185">
        <f t="shared" si="10"/>
        <v>0</v>
      </c>
      <c r="W27" s="185">
        <f t="shared" si="11"/>
        <v>0</v>
      </c>
      <c r="X27" s="185">
        <f t="shared" si="12"/>
        <v>0</v>
      </c>
      <c r="Y27" s="185">
        <f t="shared" si="13"/>
        <v>0</v>
      </c>
      <c r="Z27" s="196">
        <f t="shared" ca="1" si="14"/>
        <v>5256</v>
      </c>
      <c r="AA27" s="185" t="str">
        <f t="shared" si="15"/>
        <v>Offererad produktnr. 10Foxway Education AB</v>
      </c>
      <c r="AB27" s="185" t="b">
        <f>IF(D13="",TRUE,IF(COUNTIF(Processor!$M$2:$M$3,D13)=0,IF(AN27=D13,TRUE,FALSE),IF(COUNTIF(AN27,INDEX(Processor!$N$2:$N$3,MATCH(Surfplattor!D13,Processor!$M$2:$M$3,0)))&gt;0,TRUE,FALSE)))</f>
        <v>1</v>
      </c>
      <c r="AC27" s="185" t="b">
        <f>IF($D$14="",TRUE,IF(COUNTIF(Processor!$I$2:$I$9,$D$14)&gt;0,AND(AO27&gt;INDEX(Processor!$J$2:$J$9,MATCH($D$14,Processor!$I$2:$I$9,0)),AO27&lt;INDEX(Processor!$K$2:$K$9,MATCH($D$14,Processor!$I$2:$I$9,0))),IF(AO27=$D$14,TRUE,FALSE)))</f>
        <v>1</v>
      </c>
      <c r="AD27" s="185" t="b">
        <f t="shared" si="32"/>
        <v>1</v>
      </c>
      <c r="AE27" s="185" t="b">
        <f t="shared" si="28"/>
        <v>1</v>
      </c>
      <c r="AF27" s="185" t="b">
        <f t="shared" si="29"/>
        <v>1</v>
      </c>
      <c r="AG27" s="185" t="b">
        <f t="shared" si="30"/>
        <v>1</v>
      </c>
      <c r="AH27" s="185" t="b">
        <f>IF($D$19="",TRUE,IF(INDEX(Processor!$C$14:$C$20,MATCH(LEFT(AT27,10)&amp;"",Processor!$A$14:$A$20,0))&gt;=INDEX(Processor!$C$14:$C$20,MATCH(LEFT($D$19,10)&amp;"",Processor!$A$14:$A$20,0)),TRUE,FALSE))</f>
        <v>1</v>
      </c>
      <c r="AI27" s="185" t="b">
        <f t="shared" si="31"/>
        <v>1</v>
      </c>
      <c r="AJ27" s="185"/>
      <c r="AK27" s="185"/>
      <c r="AL27" s="185" t="s">
        <v>219</v>
      </c>
      <c r="AM27" s="185">
        <v>1</v>
      </c>
      <c r="AN27" s="185" t="str">
        <f t="shared" ca="1" si="33"/>
        <v>Android 10</v>
      </c>
      <c r="AO27" s="185">
        <f t="shared" ca="1" si="33"/>
        <v>11.5</v>
      </c>
      <c r="AP27" s="185" t="str">
        <f t="shared" ca="1" si="33"/>
        <v>2560x1600</v>
      </c>
      <c r="AQ27" s="185">
        <f t="shared" ca="1" si="33"/>
        <v>128</v>
      </c>
      <c r="AR27" s="185">
        <f t="shared" ca="1" si="33"/>
        <v>5</v>
      </c>
      <c r="AS27" s="185" t="str">
        <f t="shared" ca="1" si="33"/>
        <v>802.11a/b/g/n/ac</v>
      </c>
      <c r="AT27" s="185">
        <f t="shared" ca="1" si="33"/>
        <v>8</v>
      </c>
      <c r="AU27" s="185" t="str">
        <f t="shared" ca="1" si="33"/>
        <v>Ej miljömärkt</v>
      </c>
      <c r="AV27" s="185" t="str">
        <f t="shared" ca="1" si="33"/>
        <v>802.11a/b/g/n/ac</v>
      </c>
      <c r="AW27" s="185">
        <f t="shared" ca="1" si="33"/>
        <v>5</v>
      </c>
      <c r="AX27" s="185">
        <f t="shared" ca="1" si="34"/>
        <v>8</v>
      </c>
      <c r="AY27" s="185" t="str">
        <f t="shared" ca="1" si="34"/>
        <v>Tab P11 Pro</v>
      </c>
      <c r="AZ27" s="185">
        <f t="shared" ca="1" si="34"/>
        <v>0</v>
      </c>
      <c r="BA27" s="185" t="str">
        <f t="shared" ca="1" si="34"/>
        <v>Android 10</v>
      </c>
      <c r="BB27" s="185">
        <f t="shared" ca="1" si="34"/>
        <v>5256</v>
      </c>
      <c r="BC27" s="185">
        <f t="shared" ca="1" si="34"/>
        <v>5256</v>
      </c>
      <c r="BD27" s="192" t="str">
        <f t="shared" ca="1" si="34"/>
        <v>Lenovo</v>
      </c>
      <c r="BE27" s="192" t="str">
        <f t="shared" ca="1" si="34"/>
        <v>Lenovo</v>
      </c>
      <c r="BF27" s="192" t="str">
        <f t="shared" ca="1" si="34"/>
        <v>Lenovo</v>
      </c>
      <c r="BG27" s="192" t="str">
        <f t="shared" ca="1" si="34"/>
        <v>Deltaco</v>
      </c>
      <c r="BH27" s="192" t="str">
        <f t="shared" ca="1" si="35"/>
        <v>Lenovo</v>
      </c>
      <c r="BI27" s="192" t="str">
        <f t="shared" ca="1" si="35"/>
        <v>P11 Pro Folio Case &amp; Film Grey</v>
      </c>
      <c r="BJ27" s="192" t="str">
        <f t="shared" ca="1" si="35"/>
        <v>Skyddsfilm</v>
      </c>
      <c r="BK27" s="192" t="str">
        <f t="shared" ca="1" si="35"/>
        <v xml:space="preserve">Lenovo Smart Charge station </v>
      </c>
      <c r="BL27" s="192" t="str">
        <f t="shared" ca="1" si="35"/>
        <v>DELTACO trådlöst minitangentbord, 78 tangenter, Bluetooth, nordisk layout, dämpade tangenter, svart</v>
      </c>
      <c r="BM27" s="192" t="str">
        <f t="shared" ca="1" si="35"/>
        <v>Lenovo Precision Pen 2</v>
      </c>
      <c r="BN27" s="192">
        <f t="shared" ca="1" si="35"/>
        <v>210</v>
      </c>
      <c r="BO27" s="185">
        <f t="shared" ca="1" si="35"/>
        <v>276</v>
      </c>
      <c r="BP27" s="192">
        <f t="shared" ca="1" si="35"/>
        <v>240</v>
      </c>
      <c r="BQ27" s="192">
        <f t="shared" ca="1" si="35"/>
        <v>156</v>
      </c>
      <c r="BR27" s="192">
        <f t="shared" ca="1" si="35"/>
        <v>564</v>
      </c>
      <c r="BS27" s="185">
        <f t="shared" ca="1" si="35"/>
        <v>550</v>
      </c>
      <c r="BT27" s="185">
        <f t="shared" ca="1" si="35"/>
        <v>60</v>
      </c>
      <c r="BU27" s="185">
        <f t="shared" ca="1" si="35"/>
        <v>50</v>
      </c>
      <c r="BV27" s="185">
        <f t="shared" ca="1" si="35"/>
        <v>0</v>
      </c>
      <c r="BW27" s="185"/>
      <c r="BX27" s="185"/>
      <c r="BY27" s="185" t="str">
        <f t="shared" ca="1" si="22"/>
        <v>Foxway Education AB</v>
      </c>
      <c r="BZ27" s="185" t="str">
        <f t="shared" ca="1" si="22"/>
        <v>Lenovo</v>
      </c>
      <c r="CA27" s="63"/>
      <c r="CB27" s="63"/>
      <c r="CC27" s="63"/>
      <c r="CD27" s="63"/>
      <c r="CE27" s="63"/>
      <c r="CF27" s="63"/>
      <c r="CG27" s="63"/>
      <c r="CH27" s="63"/>
      <c r="CI27" s="63"/>
      <c r="CJ27" s="63"/>
      <c r="CK27" s="63"/>
      <c r="CL27" s="63"/>
      <c r="CM27" s="63"/>
      <c r="CN27" s="63"/>
    </row>
    <row r="28" spans="2:94" ht="68.25" customHeight="1" outlineLevel="1" x14ac:dyDescent="0.35">
      <c r="B28" s="69" t="s">
        <v>346</v>
      </c>
      <c r="C28" s="99" t="s">
        <v>52</v>
      </c>
      <c r="D28" s="132" t="str">
        <f>IF("Ska Ingå"=D26,"Ska Ingå","")</f>
        <v/>
      </c>
      <c r="F28" s="90" t="str">
        <f t="shared" si="36"/>
        <v/>
      </c>
      <c r="G28" s="91" t="str">
        <f t="shared" ca="1" si="37"/>
        <v>GBXLENFILM</v>
      </c>
      <c r="H28" s="91" t="str">
        <f t="shared" ca="1" si="37"/>
        <v>ES517003 - Skärmskydd för surfplatta - glas - klar - för Lenovo Tab M10 (3rd Gen)</v>
      </c>
      <c r="I28" s="91" t="str">
        <f t="shared" ca="1" si="37"/>
        <v>gbx200106077</v>
      </c>
      <c r="J28" s="73"/>
      <c r="Q28" s="185">
        <f t="shared" ref="Q28:Q31" si="38">SUM(R28:Y28)</f>
        <v>0</v>
      </c>
      <c r="R28" s="185">
        <f t="shared" ref="R28:R31" si="39">IF($D$23="",0,BN28)</f>
        <v>0</v>
      </c>
      <c r="S28" s="185">
        <f t="shared" ref="S28:S31" si="40">IF($D$26="",0,BO28)</f>
        <v>0</v>
      </c>
      <c r="T28" s="185">
        <f t="shared" ref="T28:T31" si="41">IF($D$29="",0,BP28)</f>
        <v>0</v>
      </c>
      <c r="U28" s="185">
        <f t="shared" ref="U28:U31" si="42">IF($D$32="",0,BQ28)</f>
        <v>0</v>
      </c>
      <c r="V28" s="185">
        <f t="shared" ref="V28:V31" si="43">IF($D$35="",0,BR28)</f>
        <v>0</v>
      </c>
      <c r="W28" s="185">
        <f t="shared" ref="W28:W31" si="44">IF($D$39="",0,BS28)</f>
        <v>0</v>
      </c>
      <c r="X28" s="185">
        <f t="shared" ref="X28:X31" si="45">IF($D$40="",0,BT28)</f>
        <v>0</v>
      </c>
      <c r="Y28" s="185">
        <f t="shared" ref="Y28:Y31" si="46">IF($D$41="",0,BU28)</f>
        <v>0</v>
      </c>
      <c r="Z28" s="196">
        <f t="shared" ref="Z28:Z31" ca="1" si="47">IF(AA28="","",SUM(BC28,R28:Y28))</f>
        <v>1700</v>
      </c>
      <c r="AA28" s="185" t="str">
        <f t="shared" ref="AA28:AA31" si="48">IF(COUNTIF(AB28:AK28,FALSE)&gt;0,"",AL28)</f>
        <v>Offererad produktnr. 07Qlosr Göteborg AB</v>
      </c>
      <c r="AB28" s="185" t="b">
        <f>IF(D13="",TRUE,IF(COUNTIF(Processor!$M$2:$M$3,D13)=0,IF(AN28=D13,TRUE,FALSE),IF(COUNTIF(AN28,INDEX(Processor!$N$2:$N$3,MATCH(Surfplattor!D13,Processor!$M$2:$M$3,0)))&gt;0,TRUE,FALSE)))</f>
        <v>1</v>
      </c>
      <c r="AC28" s="185" t="b">
        <f>IF($D$14="",TRUE,IF(COUNTIF(Processor!$I$2:$I$9,$D$14)&gt;0,AND(AO28&gt;INDEX(Processor!$J$2:$J$9,MATCH($D$14,Processor!$I$2:$I$9,0)),AO28&lt;INDEX(Processor!$K$2:$K$9,MATCH($D$14,Processor!$I$2:$I$9,0))),IF(AO28=$D$14,TRUE,FALSE)))</f>
        <v>1</v>
      </c>
      <c r="AD28" s="185" t="b">
        <f t="shared" si="32"/>
        <v>1</v>
      </c>
      <c r="AE28" s="185" t="b">
        <f t="shared" si="28"/>
        <v>1</v>
      </c>
      <c r="AF28" s="185" t="b">
        <f t="shared" si="29"/>
        <v>1</v>
      </c>
      <c r="AG28" s="185" t="b">
        <f t="shared" si="30"/>
        <v>1</v>
      </c>
      <c r="AH28" s="185" t="b">
        <f>IF($D$19="",TRUE,IF(INDEX(Processor!$C$14:$C$20,MATCH(LEFT(AT28,10)&amp;"",Processor!$A$14:$A$20,0))&gt;=INDEX(Processor!$C$14:$C$20,MATCH(LEFT($D$19,10)&amp;"",Processor!$A$14:$A$20,0)),TRUE,FALSE))</f>
        <v>1</v>
      </c>
      <c r="AI28" s="185" t="b">
        <f t="shared" si="31"/>
        <v>1</v>
      </c>
      <c r="AJ28" s="185"/>
      <c r="AK28" s="185"/>
      <c r="AL28" s="185" t="s">
        <v>558</v>
      </c>
      <c r="AM28" s="185">
        <v>1</v>
      </c>
      <c r="AN28" s="185" t="str">
        <f t="shared" ca="1" si="33"/>
        <v>Android 9</v>
      </c>
      <c r="AO28" s="185">
        <f t="shared" ca="1" si="33"/>
        <v>10.3</v>
      </c>
      <c r="AP28" s="185" t="str">
        <f t="shared" ca="1" si="33"/>
        <v>1920x1200</v>
      </c>
      <c r="AQ28" s="185">
        <f t="shared" ca="1" si="33"/>
        <v>64</v>
      </c>
      <c r="AR28" s="185">
        <f t="shared" ca="1" si="33"/>
        <v>5</v>
      </c>
      <c r="AS28" s="185" t="str">
        <f t="shared" ca="1" si="33"/>
        <v>802.11a/b/g/n/ac</v>
      </c>
      <c r="AT28" s="185">
        <f t="shared" ca="1" si="33"/>
        <v>9</v>
      </c>
      <c r="AU28" s="185" t="str">
        <f t="shared" ca="1" si="33"/>
        <v>Ej miljömärkt</v>
      </c>
      <c r="AV28" s="185" t="str">
        <f t="shared" ca="1" si="33"/>
        <v>802.11a/b/g/n/ac</v>
      </c>
      <c r="AW28" s="185">
        <f t="shared" ca="1" si="33"/>
        <v>5</v>
      </c>
      <c r="AX28" s="185">
        <f t="shared" ca="1" si="34"/>
        <v>9</v>
      </c>
      <c r="AY28" s="185" t="str">
        <f t="shared" ca="1" si="34"/>
        <v>M10 FHD G2</v>
      </c>
      <c r="AZ28" s="185">
        <f t="shared" ca="1" si="34"/>
        <v>0</v>
      </c>
      <c r="BA28" s="185" t="str">
        <f t="shared" ca="1" si="34"/>
        <v>Android 9</v>
      </c>
      <c r="BB28" s="185">
        <f t="shared" ca="1" si="34"/>
        <v>1700</v>
      </c>
      <c r="BC28" s="185">
        <f t="shared" ca="1" si="34"/>
        <v>1700</v>
      </c>
      <c r="BD28" s="192" t="str">
        <f t="shared" ca="1" si="34"/>
        <v>Phonelife</v>
      </c>
      <c r="BE28" s="192" t="str">
        <f t="shared" ca="1" si="34"/>
        <v>Lenovo</v>
      </c>
      <c r="BF28" s="192" t="str">
        <f t="shared" ca="1" si="34"/>
        <v>Lenovo</v>
      </c>
      <c r="BG28" s="192" t="str">
        <f t="shared" ca="1" si="34"/>
        <v>DELTACO</v>
      </c>
      <c r="BH28" s="192" t="str">
        <f t="shared" ca="1" si="35"/>
        <v>Kecow</v>
      </c>
      <c r="BI28" s="192" t="str">
        <f t="shared" ca="1" si="35"/>
        <v>GBXRUGGEDLENTAB-V1</v>
      </c>
      <c r="BJ28" s="192" t="str">
        <f t="shared" ca="1" si="35"/>
        <v>GBXLENFILM</v>
      </c>
      <c r="BK28" s="192" t="str">
        <f t="shared" ca="1" si="35"/>
        <v>GBXLENCHARGE</v>
      </c>
      <c r="BL28" s="192" t="str">
        <f t="shared" ca="1" si="35"/>
        <v>GBX TB-631</v>
      </c>
      <c r="BM28" s="192" t="str">
        <f t="shared" ca="1" si="35"/>
        <v>GBXPP2PENMAGNETIC</v>
      </c>
      <c r="BN28" s="192">
        <f t="shared" ca="1" si="35"/>
        <v>325</v>
      </c>
      <c r="BO28" s="185">
        <f t="shared" ca="1" si="35"/>
        <v>180</v>
      </c>
      <c r="BP28" s="192">
        <f t="shared" ca="1" si="35"/>
        <v>220</v>
      </c>
      <c r="BQ28" s="192">
        <f t="shared" ca="1" si="35"/>
        <v>150</v>
      </c>
      <c r="BR28" s="192">
        <f t="shared" ca="1" si="35"/>
        <v>399</v>
      </c>
      <c r="BS28" s="185">
        <f t="shared" ca="1" si="35"/>
        <v>570</v>
      </c>
      <c r="BT28" s="185">
        <f t="shared" ca="1" si="35"/>
        <v>25</v>
      </c>
      <c r="BU28" s="185">
        <f t="shared" ca="1" si="35"/>
        <v>25</v>
      </c>
      <c r="BV28" s="185">
        <f t="shared" ca="1" si="35"/>
        <v>0</v>
      </c>
      <c r="BW28" s="185"/>
      <c r="BX28" s="185"/>
      <c r="BY28" s="185" t="str">
        <f t="shared" ca="1" si="22"/>
        <v>Qlosr Göteborg AB</v>
      </c>
      <c r="BZ28" s="185" t="str">
        <f t="shared" ca="1" si="22"/>
        <v>Lenovo</v>
      </c>
      <c r="CA28" s="63"/>
      <c r="CB28" s="63"/>
      <c r="CC28" s="63"/>
      <c r="CD28" s="63"/>
      <c r="CE28" s="63"/>
      <c r="CF28" s="63"/>
      <c r="CG28" s="63"/>
      <c r="CH28" s="63"/>
      <c r="CI28" s="63"/>
      <c r="CJ28" s="63"/>
      <c r="CK28" s="63"/>
      <c r="CL28" s="63"/>
      <c r="CM28" s="63"/>
      <c r="CN28" s="63"/>
    </row>
    <row r="29" spans="2:94" ht="30" customHeight="1" outlineLevel="1" x14ac:dyDescent="0.35">
      <c r="B29" s="69" t="s">
        <v>55</v>
      </c>
      <c r="C29" s="95" t="s">
        <v>371</v>
      </c>
      <c r="D29" s="70"/>
      <c r="F29" s="159" t="str">
        <f t="shared" si="36"/>
        <v/>
      </c>
      <c r="G29" s="160">
        <f t="shared" ca="1" si="37"/>
        <v>220</v>
      </c>
      <c r="H29" s="160">
        <f t="shared" ca="1" si="37"/>
        <v>108</v>
      </c>
      <c r="I29" s="160">
        <f t="shared" ca="1" si="37"/>
        <v>279</v>
      </c>
      <c r="J29" s="54"/>
      <c r="Q29" s="185">
        <f t="shared" si="38"/>
        <v>0</v>
      </c>
      <c r="R29" s="185">
        <f t="shared" si="39"/>
        <v>0</v>
      </c>
      <c r="S29" s="185">
        <f t="shared" si="40"/>
        <v>0</v>
      </c>
      <c r="T29" s="185">
        <f t="shared" si="41"/>
        <v>0</v>
      </c>
      <c r="U29" s="185">
        <f t="shared" si="42"/>
        <v>0</v>
      </c>
      <c r="V29" s="185">
        <f t="shared" si="43"/>
        <v>0</v>
      </c>
      <c r="W29" s="185">
        <f t="shared" si="44"/>
        <v>0</v>
      </c>
      <c r="X29" s="185">
        <f t="shared" si="45"/>
        <v>0</v>
      </c>
      <c r="Y29" s="185">
        <f t="shared" si="46"/>
        <v>0</v>
      </c>
      <c r="Z29" s="196">
        <f t="shared" ca="1" si="47"/>
        <v>3205</v>
      </c>
      <c r="AA29" s="185" t="str">
        <f t="shared" si="48"/>
        <v>Offererad produktnr. 08Qlosr Göteborg AB</v>
      </c>
      <c r="AB29" s="185" t="b">
        <f>IF(D13="",TRUE,IF(COUNTIF(Processor!$M$2:$M$3,D13)=0,IF(AN29=D13,TRUE,FALSE),IF(COUNTIF(AN29,INDEX(Processor!$N$2:$N$3,MATCH(Surfplattor!D13,Processor!$M$2:$M$3,0)))&gt;0,TRUE,FALSE)))</f>
        <v>1</v>
      </c>
      <c r="AC29" s="185" t="b">
        <f>IF($D$14="",TRUE,IF(COUNTIF(Processor!$I$2:$I$9,$D$14)&gt;0,AND(AO29&gt;INDEX(Processor!$J$2:$J$9,MATCH($D$14,Processor!$I$2:$I$9,0)),AO29&lt;INDEX(Processor!$K$2:$K$9,MATCH($D$14,Processor!$I$2:$I$9,0))),IF(AO29=$D$14,TRUE,FALSE)))</f>
        <v>1</v>
      </c>
      <c r="AD29" s="185" t="b">
        <f t="shared" si="32"/>
        <v>1</v>
      </c>
      <c r="AE29" s="185" t="b">
        <f t="shared" si="28"/>
        <v>1</v>
      </c>
      <c r="AF29" s="185" t="b">
        <f t="shared" si="29"/>
        <v>1</v>
      </c>
      <c r="AG29" s="185" t="b">
        <f t="shared" si="30"/>
        <v>1</v>
      </c>
      <c r="AH29" s="185" t="b">
        <f>IF($D$19="",TRUE,IF(INDEX(Processor!$C$14:$C$20,MATCH(LEFT(AT29,10)&amp;"",Processor!$A$14:$A$20,0))&gt;=INDEX(Processor!$C$14:$C$20,MATCH(LEFT($D$19,10)&amp;"",Processor!$A$14:$A$20,0)),TRUE,FALSE))</f>
        <v>1</v>
      </c>
      <c r="AI29" s="185" t="b">
        <f t="shared" si="31"/>
        <v>1</v>
      </c>
      <c r="AJ29" s="185"/>
      <c r="AK29" s="185"/>
      <c r="AL29" s="185" t="s">
        <v>559</v>
      </c>
      <c r="AM29" s="185">
        <v>1</v>
      </c>
      <c r="AN29" s="185" t="str">
        <f t="shared" ca="1" si="33"/>
        <v>iPadOS 15</v>
      </c>
      <c r="AO29" s="185">
        <f t="shared" ca="1" si="33"/>
        <v>10.199999999999999</v>
      </c>
      <c r="AP29" s="185" t="str">
        <f t="shared" ca="1" si="33"/>
        <v>2160x1620</v>
      </c>
      <c r="AQ29" s="185">
        <f t="shared" ca="1" si="33"/>
        <v>64</v>
      </c>
      <c r="AR29" s="185">
        <f t="shared" ca="1" si="33"/>
        <v>4.2</v>
      </c>
      <c r="AS29" s="185" t="str">
        <f t="shared" ca="1" si="33"/>
        <v>802.11a/b/g/n/ac</v>
      </c>
      <c r="AT29" s="185">
        <f t="shared" ca="1" si="33"/>
        <v>10</v>
      </c>
      <c r="AU29" s="185" t="str">
        <f t="shared" ca="1" si="33"/>
        <v>Ej miljömärkt</v>
      </c>
      <c r="AV29" s="185" t="str">
        <f t="shared" ca="1" si="33"/>
        <v>802.11a/b/g/n/ac</v>
      </c>
      <c r="AW29" s="185">
        <f t="shared" ca="1" si="33"/>
        <v>4.2</v>
      </c>
      <c r="AX29" s="185">
        <f t="shared" ca="1" si="34"/>
        <v>10</v>
      </c>
      <c r="AY29" s="185" t="str">
        <f t="shared" ca="1" si="34"/>
        <v>iPad 9th gen (2021)</v>
      </c>
      <c r="AZ29" s="185">
        <f t="shared" ca="1" si="34"/>
        <v>0</v>
      </c>
      <c r="BA29" s="185" t="str">
        <f t="shared" ca="1" si="34"/>
        <v>iPadOS 15</v>
      </c>
      <c r="BB29" s="185">
        <f t="shared" ca="1" si="34"/>
        <v>3205</v>
      </c>
      <c r="BC29" s="185">
        <f t="shared" ca="1" si="34"/>
        <v>3205</v>
      </c>
      <c r="BD29" s="192" t="str">
        <f t="shared" ca="1" si="34"/>
        <v>Otterbox Defender Series</v>
      </c>
      <c r="BE29" s="192" t="str">
        <f t="shared" ca="1" si="34"/>
        <v>ZAGG</v>
      </c>
      <c r="BF29" s="192" t="str">
        <f t="shared" ca="1" si="34"/>
        <v>Belkin</v>
      </c>
      <c r="BG29" s="192" t="str">
        <f t="shared" ca="1" si="34"/>
        <v>DELTACO</v>
      </c>
      <c r="BH29" s="192" t="str">
        <f t="shared" ca="1" si="35"/>
        <v>Apple</v>
      </c>
      <c r="BI29" s="192" t="str">
        <f t="shared" ca="1" si="35"/>
        <v>GBX77-62032</v>
      </c>
      <c r="BJ29" s="192" t="str">
        <f t="shared" ca="1" si="35"/>
        <v>gbx200106077</v>
      </c>
      <c r="BK29" s="192" t="str">
        <f t="shared" ca="1" si="35"/>
        <v>GBXWCA003VF04WH</v>
      </c>
      <c r="BL29" s="192" t="str">
        <f t="shared" ca="1" si="35"/>
        <v>GBX TB-631</v>
      </c>
      <c r="BM29" s="192" t="str">
        <f t="shared" ca="1" si="35"/>
        <v>MK0C2ZM/A</v>
      </c>
      <c r="BN29" s="192">
        <f t="shared" ca="1" si="35"/>
        <v>460</v>
      </c>
      <c r="BO29" s="185">
        <f t="shared" ca="1" si="35"/>
        <v>189</v>
      </c>
      <c r="BP29" s="192">
        <f t="shared" ca="1" si="35"/>
        <v>279</v>
      </c>
      <c r="BQ29" s="192">
        <f t="shared" ca="1" si="35"/>
        <v>150</v>
      </c>
      <c r="BR29" s="192">
        <f t="shared" ca="1" si="35"/>
        <v>839</v>
      </c>
      <c r="BS29" s="185">
        <f t="shared" ca="1" si="35"/>
        <v>514</v>
      </c>
      <c r="BT29" s="185">
        <f t="shared" ca="1" si="35"/>
        <v>25</v>
      </c>
      <c r="BU29" s="185">
        <f t="shared" ca="1" si="35"/>
        <v>25</v>
      </c>
      <c r="BV29" s="185">
        <f t="shared" ca="1" si="35"/>
        <v>0</v>
      </c>
      <c r="BW29" s="185"/>
      <c r="BX29" s="185"/>
      <c r="BY29" s="185" t="str">
        <f t="shared" ca="1" si="22"/>
        <v>Qlosr Göteborg AB</v>
      </c>
      <c r="BZ29" s="185" t="str">
        <f t="shared" ca="1" si="22"/>
        <v>Apple</v>
      </c>
      <c r="CA29" s="63"/>
      <c r="CB29" s="63"/>
      <c r="CC29" s="63"/>
      <c r="CD29" s="63"/>
      <c r="CE29" s="63"/>
      <c r="CF29" s="63"/>
      <c r="CG29" s="63"/>
      <c r="CH29" s="63"/>
      <c r="CI29" s="63"/>
      <c r="CJ29" s="63"/>
      <c r="CK29" s="63"/>
      <c r="CL29" s="63"/>
      <c r="CM29" s="63"/>
      <c r="CN29" s="63"/>
    </row>
    <row r="30" spans="2:94" ht="30" customHeight="1" outlineLevel="1" x14ac:dyDescent="0.35">
      <c r="B30" s="69" t="s">
        <v>342</v>
      </c>
      <c r="C30" s="96" t="s">
        <v>51</v>
      </c>
      <c r="D30" s="131" t="str">
        <f>IF("Ska Ingå"=D29,"Ska Ingå","")</f>
        <v/>
      </c>
      <c r="F30" s="84" t="str">
        <f t="shared" si="36"/>
        <v/>
      </c>
      <c r="G30" s="85" t="str">
        <f t="shared" ca="1" si="37"/>
        <v>Lenovo</v>
      </c>
      <c r="H30" s="85" t="str">
        <f t="shared" ca="1" si="37"/>
        <v>CoreParts</v>
      </c>
      <c r="I30" s="85" t="str">
        <f t="shared" ca="1" si="37"/>
        <v>Belkin</v>
      </c>
      <c r="J30" s="73"/>
      <c r="Q30" s="185">
        <f t="shared" si="38"/>
        <v>0</v>
      </c>
      <c r="R30" s="185">
        <f t="shared" si="39"/>
        <v>0</v>
      </c>
      <c r="S30" s="185">
        <f t="shared" si="40"/>
        <v>0</v>
      </c>
      <c r="T30" s="185">
        <f t="shared" si="41"/>
        <v>0</v>
      </c>
      <c r="U30" s="185">
        <f t="shared" si="42"/>
        <v>0</v>
      </c>
      <c r="V30" s="185">
        <f t="shared" si="43"/>
        <v>0</v>
      </c>
      <c r="W30" s="185">
        <f t="shared" si="44"/>
        <v>0</v>
      </c>
      <c r="X30" s="185">
        <f t="shared" si="45"/>
        <v>0</v>
      </c>
      <c r="Y30" s="185">
        <f t="shared" si="46"/>
        <v>0</v>
      </c>
      <c r="Z30" s="196">
        <f t="shared" ca="1" si="47"/>
        <v>7256</v>
      </c>
      <c r="AA30" s="185" t="str">
        <f t="shared" si="48"/>
        <v>Offererad produktnr. 09Qlosr Göteborg AB</v>
      </c>
      <c r="AB30" s="185" t="b">
        <f>IF(D13="",TRUE,IF(COUNTIF(Processor!$M$2:$M$3,D13)=0,IF(AN30=D13,TRUE,FALSE),IF(COUNTIF(AN30,INDEX(Processor!$N$2:$N$3,MATCH(Surfplattor!D13,Processor!$M$2:$M$3,0)))&gt;0,TRUE,FALSE)))</f>
        <v>1</v>
      </c>
      <c r="AC30" s="185" t="b">
        <f>IF($D$14="",TRUE,IF(COUNTIF(Processor!$I$2:$I$9,$D$14)&gt;0,AND(AO30&gt;INDEX(Processor!$J$2:$J$9,MATCH($D$14,Processor!$I$2:$I$9,0)),AO30&lt;INDEX(Processor!$K$2:$K$9,MATCH($D$14,Processor!$I$2:$I$9,0))),IF(AO30=$D$14,TRUE,FALSE)))</f>
        <v>1</v>
      </c>
      <c r="AD30" s="185" t="b">
        <f t="shared" si="32"/>
        <v>1</v>
      </c>
      <c r="AE30" s="185" t="b">
        <f t="shared" si="28"/>
        <v>1</v>
      </c>
      <c r="AF30" s="185" t="b">
        <f t="shared" si="29"/>
        <v>1</v>
      </c>
      <c r="AG30" s="185" t="b">
        <f t="shared" si="30"/>
        <v>1</v>
      </c>
      <c r="AH30" s="185" t="b">
        <f>IF($D$19="",TRUE,IF(INDEX(Processor!$C$14:$C$20,MATCH(LEFT(AT30,10)&amp;"",Processor!$A$14:$A$20,0))&gt;=INDEX(Processor!$C$14:$C$20,MATCH(LEFT($D$19,10)&amp;"",Processor!$A$14:$A$20,0)),TRUE,FALSE))</f>
        <v>1</v>
      </c>
      <c r="AI30" s="185" t="b">
        <f t="shared" si="31"/>
        <v>1</v>
      </c>
      <c r="AJ30" s="185"/>
      <c r="AK30" s="185"/>
      <c r="AL30" s="185" t="s">
        <v>560</v>
      </c>
      <c r="AM30" s="185">
        <v>1</v>
      </c>
      <c r="AN30" s="185" t="str">
        <f t="shared" ca="1" si="33"/>
        <v>iPadOS 14</v>
      </c>
      <c r="AO30" s="185">
        <f t="shared" ca="1" si="33"/>
        <v>11</v>
      </c>
      <c r="AP30" s="185" t="str">
        <f t="shared" ca="1" si="33"/>
        <v>2388x1668</v>
      </c>
      <c r="AQ30" s="185">
        <f t="shared" ca="1" si="33"/>
        <v>128</v>
      </c>
      <c r="AR30" s="185">
        <f t="shared" ca="1" si="33"/>
        <v>5</v>
      </c>
      <c r="AS30" s="185" t="str">
        <f t="shared" ca="1" si="33"/>
        <v>802.11a/b/g/n/ac/ax</v>
      </c>
      <c r="AT30" s="185">
        <f t="shared" ca="1" si="33"/>
        <v>10</v>
      </c>
      <c r="AU30" s="185" t="str">
        <f t="shared" ca="1" si="33"/>
        <v>Ej miljömärkt</v>
      </c>
      <c r="AV30" s="185" t="str">
        <f t="shared" ca="1" si="33"/>
        <v>802.11a/b/g/n/ac/ax</v>
      </c>
      <c r="AW30" s="185">
        <f t="shared" ca="1" si="33"/>
        <v>5</v>
      </c>
      <c r="AX30" s="185">
        <f t="shared" ca="1" si="34"/>
        <v>10</v>
      </c>
      <c r="AY30" s="185" t="str">
        <f t="shared" ca="1" si="34"/>
        <v>Ipad Pro 11 tum</v>
      </c>
      <c r="AZ30" s="185">
        <f t="shared" ca="1" si="34"/>
        <v>0</v>
      </c>
      <c r="BA30" s="185" t="str">
        <f t="shared" ca="1" si="34"/>
        <v>iPadOS 14</v>
      </c>
      <c r="BB30" s="185">
        <f t="shared" ca="1" si="34"/>
        <v>7256</v>
      </c>
      <c r="BC30" s="185">
        <f t="shared" ca="1" si="34"/>
        <v>7256</v>
      </c>
      <c r="BD30" s="192" t="str">
        <f t="shared" ca="1" si="34"/>
        <v>Otterbox Defender Series</v>
      </c>
      <c r="BE30" s="192" t="str">
        <f t="shared" ca="1" si="34"/>
        <v>ZAGG</v>
      </c>
      <c r="BF30" s="192" t="str">
        <f t="shared" ca="1" si="34"/>
        <v>Belkin</v>
      </c>
      <c r="BG30" s="192" t="str">
        <f t="shared" ca="1" si="34"/>
        <v>DELTACO</v>
      </c>
      <c r="BH30" s="192" t="str">
        <f t="shared" ca="1" si="35"/>
        <v>Apple</v>
      </c>
      <c r="BI30" s="192" t="str">
        <f t="shared" ca="1" si="35"/>
        <v>GBX77-82261</v>
      </c>
      <c r="BJ30" s="192" t="str">
        <f t="shared" ca="1" si="35"/>
        <v>GBX200108138</v>
      </c>
      <c r="BK30" s="192" t="str">
        <f t="shared" ca="1" si="35"/>
        <v>GBXF7U074vf04-SLV</v>
      </c>
      <c r="BL30" s="192" t="str">
        <f t="shared" ca="1" si="35"/>
        <v>GBX TB-631</v>
      </c>
      <c r="BM30" s="192" t="str">
        <f t="shared" ca="1" si="35"/>
        <v>MU8F2ZM/A</v>
      </c>
      <c r="BN30" s="192">
        <f t="shared" ca="1" si="35"/>
        <v>435</v>
      </c>
      <c r="BO30" s="185">
        <f t="shared" ca="1" si="35"/>
        <v>179</v>
      </c>
      <c r="BP30" s="192">
        <f t="shared" ca="1" si="35"/>
        <v>355</v>
      </c>
      <c r="BQ30" s="192">
        <f t="shared" ca="1" si="35"/>
        <v>150</v>
      </c>
      <c r="BR30" s="192">
        <f t="shared" ca="1" si="35"/>
        <v>1145</v>
      </c>
      <c r="BS30" s="185">
        <f t="shared" ca="1" si="35"/>
        <v>724</v>
      </c>
      <c r="BT30" s="185">
        <f t="shared" ca="1" si="35"/>
        <v>25</v>
      </c>
      <c r="BU30" s="185">
        <f t="shared" ca="1" si="35"/>
        <v>25</v>
      </c>
      <c r="BV30" s="185">
        <f t="shared" ca="1" si="35"/>
        <v>0</v>
      </c>
      <c r="BW30" s="185"/>
      <c r="BX30" s="185"/>
      <c r="BY30" s="185" t="str">
        <f t="shared" ca="1" si="22"/>
        <v>Qlosr Göteborg AB</v>
      </c>
      <c r="BZ30" s="185" t="str">
        <f t="shared" ca="1" si="22"/>
        <v>Apple</v>
      </c>
      <c r="CA30" s="63"/>
      <c r="CB30" s="63"/>
      <c r="CC30" s="63"/>
      <c r="CD30" s="63"/>
      <c r="CE30" s="63"/>
      <c r="CF30" s="63"/>
      <c r="CG30" s="63"/>
      <c r="CH30" s="63"/>
      <c r="CI30" s="63"/>
      <c r="CJ30" s="63"/>
      <c r="CK30" s="63"/>
      <c r="CL30" s="63"/>
      <c r="CM30" s="63"/>
      <c r="CN30" s="63"/>
    </row>
    <row r="31" spans="2:94" ht="67.5" customHeight="1" outlineLevel="1" x14ac:dyDescent="0.35">
      <c r="B31" s="69" t="s">
        <v>347</v>
      </c>
      <c r="C31" s="97" t="s">
        <v>52</v>
      </c>
      <c r="D31" s="132" t="str">
        <f>IF("Ska Ingå"=D29,"Ska Ingå","")</f>
        <v/>
      </c>
      <c r="F31" s="86" t="str">
        <f t="shared" si="36"/>
        <v/>
      </c>
      <c r="G31" s="87" t="str">
        <f t="shared" ca="1" si="37"/>
        <v>GBXLENCHARGE</v>
      </c>
      <c r="H31" s="87" t="str">
        <f t="shared" ca="1" si="37"/>
        <v>MBXUSB-AC0011 - Strömadapter - 12 Watt - 2.4 A (USB) - på kabel: USB-C - vit - med USB-C cable (2m)</v>
      </c>
      <c r="I31" s="87" t="str">
        <f t="shared" ca="1" si="37"/>
        <v>GBXWCA003VF04WH</v>
      </c>
      <c r="J31" s="54"/>
      <c r="Q31" s="185">
        <f t="shared" si="38"/>
        <v>0</v>
      </c>
      <c r="R31" s="185">
        <f t="shared" si="39"/>
        <v>0</v>
      </c>
      <c r="S31" s="185">
        <f t="shared" si="40"/>
        <v>0</v>
      </c>
      <c r="T31" s="185">
        <f t="shared" si="41"/>
        <v>0</v>
      </c>
      <c r="U31" s="185">
        <f t="shared" si="42"/>
        <v>0</v>
      </c>
      <c r="V31" s="185">
        <f t="shared" si="43"/>
        <v>0</v>
      </c>
      <c r="W31" s="185">
        <f t="shared" si="44"/>
        <v>0</v>
      </c>
      <c r="X31" s="185">
        <f t="shared" si="45"/>
        <v>0</v>
      </c>
      <c r="Y31" s="185">
        <f t="shared" si="46"/>
        <v>0</v>
      </c>
      <c r="Z31" s="196">
        <f t="shared" ca="1" si="47"/>
        <v>4710</v>
      </c>
      <c r="AA31" s="185" t="str">
        <f t="shared" si="48"/>
        <v>Offererad produktnr. 10Qlosr Göteborg AB</v>
      </c>
      <c r="AB31" s="185" t="b">
        <f>IF(D13="",TRUE,IF(COUNTIF(Processor!$M$2:$M$3,D13)=0,IF(AN31=D13,TRUE,FALSE),IF(COUNTIF(AN31,INDEX(Processor!$N$2:$N$3,MATCH(Surfplattor!D13,Processor!$M$2:$M$3,0)))&gt;0,TRUE,FALSE)))</f>
        <v>1</v>
      </c>
      <c r="AC31" s="185" t="b">
        <f>IF($D$14="",TRUE,IF(COUNTIF(Processor!$I$2:$I$9,$D$14)&gt;0,AND(AO31&gt;INDEX(Processor!$J$2:$J$9,MATCH($D$14,Processor!$I$2:$I$9,0)),AO31&lt;INDEX(Processor!$K$2:$K$9,MATCH($D$14,Processor!$I$2:$I$9,0))),IF(AO31=$D$14,TRUE,FALSE)))</f>
        <v>1</v>
      </c>
      <c r="AD31" s="185" t="b">
        <f t="shared" si="32"/>
        <v>1</v>
      </c>
      <c r="AE31" s="185" t="b">
        <f t="shared" si="28"/>
        <v>1</v>
      </c>
      <c r="AF31" s="185" t="b">
        <f t="shared" si="29"/>
        <v>1</v>
      </c>
      <c r="AG31" s="185" t="b">
        <f t="shared" si="30"/>
        <v>1</v>
      </c>
      <c r="AH31" s="185" t="b">
        <f>IF($D$19="",TRUE,IF(INDEX(Processor!$C$14:$C$20,MATCH(LEFT(AT31,10)&amp;"",Processor!$A$14:$A$20,0))&gt;=INDEX(Processor!$C$14:$C$20,MATCH(LEFT($D$19,10)&amp;"",Processor!$A$14:$A$20,0)),TRUE,FALSE))</f>
        <v>1</v>
      </c>
      <c r="AI31" s="185" t="b">
        <f t="shared" si="31"/>
        <v>1</v>
      </c>
      <c r="AJ31" s="185"/>
      <c r="AK31" s="185"/>
      <c r="AL31" s="185" t="s">
        <v>561</v>
      </c>
      <c r="AM31" s="185">
        <v>1</v>
      </c>
      <c r="AN31" s="185" t="str">
        <f t="shared" ca="1" si="33"/>
        <v>Android 10</v>
      </c>
      <c r="AO31" s="185">
        <f t="shared" ca="1" si="33"/>
        <v>11.5</v>
      </c>
      <c r="AP31" s="185" t="str">
        <f t="shared" ca="1" si="33"/>
        <v>2560x1600</v>
      </c>
      <c r="AQ31" s="185">
        <f t="shared" ca="1" si="33"/>
        <v>128</v>
      </c>
      <c r="AR31" s="185">
        <f t="shared" ca="1" si="33"/>
        <v>5</v>
      </c>
      <c r="AS31" s="185" t="str">
        <f t="shared" ca="1" si="33"/>
        <v>802.11a/b/g/n/ac</v>
      </c>
      <c r="AT31" s="185">
        <f t="shared" ca="1" si="33"/>
        <v>8</v>
      </c>
      <c r="AU31" s="185" t="str">
        <f t="shared" ca="1" si="33"/>
        <v>Ej miljömärkt</v>
      </c>
      <c r="AV31" s="185" t="str">
        <f t="shared" ca="1" si="33"/>
        <v>802.11a/b/g/n/ac</v>
      </c>
      <c r="AW31" s="185">
        <f t="shared" ca="1" si="33"/>
        <v>5</v>
      </c>
      <c r="AX31" s="185">
        <f t="shared" ca="1" si="34"/>
        <v>8</v>
      </c>
      <c r="AY31" s="185" t="str">
        <f t="shared" ca="1" si="34"/>
        <v>Lenovo Tab P11 Pro ZA7C 128GB</v>
      </c>
      <c r="AZ31" s="185">
        <f t="shared" ca="1" si="34"/>
        <v>0</v>
      </c>
      <c r="BA31" s="185" t="str">
        <f t="shared" ca="1" si="34"/>
        <v>Android 10</v>
      </c>
      <c r="BB31" s="185">
        <f t="shared" ca="1" si="34"/>
        <v>4710</v>
      </c>
      <c r="BC31" s="185">
        <f t="shared" ca="1" si="34"/>
        <v>4710</v>
      </c>
      <c r="BD31" s="192" t="str">
        <f t="shared" ca="1" si="34"/>
        <v>Phonelife</v>
      </c>
      <c r="BE31" s="192" t="str">
        <f t="shared" ca="1" si="34"/>
        <v>Lenovo</v>
      </c>
      <c r="BF31" s="192" t="str">
        <f t="shared" ca="1" si="34"/>
        <v>Lenovo</v>
      </c>
      <c r="BG31" s="192" t="str">
        <f t="shared" ca="1" si="34"/>
        <v>DELTACO</v>
      </c>
      <c r="BH31" s="192" t="str">
        <f t="shared" ca="1" si="35"/>
        <v>Kecow</v>
      </c>
      <c r="BI31" s="192" t="str">
        <f t="shared" ca="1" si="35"/>
        <v>GBXRUGGEDLENTAB-V2</v>
      </c>
      <c r="BJ31" s="192" t="str">
        <f t="shared" ca="1" si="35"/>
        <v>GBXLENFILM</v>
      </c>
      <c r="BK31" s="192" t="str">
        <f t="shared" ca="1" si="35"/>
        <v>GBXLENCHARGE</v>
      </c>
      <c r="BL31" s="192" t="str">
        <f t="shared" ca="1" si="35"/>
        <v>GBX TB-631</v>
      </c>
      <c r="BM31" s="192" t="str">
        <f t="shared" ca="1" si="35"/>
        <v>GBXPP2PENMAGNETIC</v>
      </c>
      <c r="BN31" s="192">
        <f t="shared" ca="1" si="35"/>
        <v>330</v>
      </c>
      <c r="BO31" s="185">
        <f t="shared" ca="1" si="35"/>
        <v>180</v>
      </c>
      <c r="BP31" s="192">
        <f t="shared" ca="1" si="35"/>
        <v>220</v>
      </c>
      <c r="BQ31" s="192">
        <f t="shared" ca="1" si="35"/>
        <v>150</v>
      </c>
      <c r="BR31" s="192">
        <f t="shared" ca="1" si="35"/>
        <v>399</v>
      </c>
      <c r="BS31" s="185">
        <f t="shared" ca="1" si="35"/>
        <v>560</v>
      </c>
      <c r="BT31" s="185">
        <f t="shared" ca="1" si="35"/>
        <v>25</v>
      </c>
      <c r="BU31" s="185">
        <f t="shared" ca="1" si="35"/>
        <v>25</v>
      </c>
      <c r="BV31" s="185">
        <f t="shared" ca="1" si="35"/>
        <v>0</v>
      </c>
      <c r="BW31" s="185"/>
      <c r="BX31" s="185"/>
      <c r="BY31" s="185" t="str">
        <f t="shared" ca="1" si="22"/>
        <v>Qlosr Göteborg AB</v>
      </c>
      <c r="BZ31" s="185" t="str">
        <f t="shared" ca="1" si="22"/>
        <v>Lenovo</v>
      </c>
      <c r="CA31" s="63"/>
      <c r="CB31" s="63"/>
      <c r="CC31" s="63"/>
      <c r="CD31" s="63"/>
      <c r="CE31" s="63"/>
      <c r="CF31" s="63"/>
      <c r="CG31" s="63"/>
      <c r="CH31" s="63"/>
      <c r="CI31" s="63"/>
      <c r="CJ31" s="63"/>
      <c r="CK31" s="63"/>
      <c r="CL31" s="63"/>
      <c r="CM31" s="63"/>
      <c r="CN31" s="63"/>
    </row>
    <row r="32" spans="2:94" ht="30" customHeight="1" outlineLevel="1" x14ac:dyDescent="0.35">
      <c r="B32" s="69" t="s">
        <v>59</v>
      </c>
      <c r="C32" s="98" t="s">
        <v>374</v>
      </c>
      <c r="D32" s="70"/>
      <c r="F32" s="157" t="str">
        <f t="shared" si="36"/>
        <v/>
      </c>
      <c r="G32" s="158">
        <f t="shared" ca="1" si="37"/>
        <v>150</v>
      </c>
      <c r="H32" s="158">
        <f t="shared" ca="1" si="37"/>
        <v>169</v>
      </c>
      <c r="I32" s="158">
        <f t="shared" ca="1" si="37"/>
        <v>150</v>
      </c>
      <c r="J32" s="73"/>
      <c r="BD32" s="63"/>
      <c r="BE32" s="63"/>
      <c r="BF32" s="63"/>
      <c r="BG32" s="63"/>
      <c r="BH32" s="63"/>
      <c r="BI32" s="63"/>
      <c r="BJ32" s="63"/>
      <c r="BK32" s="63"/>
      <c r="BL32" s="63"/>
      <c r="BM32" s="63"/>
      <c r="BN32" s="63"/>
      <c r="BP32" s="63"/>
      <c r="BQ32" s="63"/>
      <c r="BR32" s="63"/>
      <c r="CA32" s="63"/>
      <c r="CB32" s="63"/>
      <c r="CC32" s="63"/>
      <c r="CD32" s="63"/>
      <c r="CE32" s="63"/>
      <c r="CF32" s="63"/>
      <c r="CG32" s="63"/>
      <c r="CH32" s="63"/>
      <c r="CI32" s="63"/>
      <c r="CJ32" s="63"/>
      <c r="CK32" s="63"/>
      <c r="CL32" s="63"/>
      <c r="CM32" s="63"/>
      <c r="CN32" s="63"/>
    </row>
    <row r="33" spans="2:92" ht="30" customHeight="1" outlineLevel="1" x14ac:dyDescent="0.35">
      <c r="B33" s="69" t="s">
        <v>343</v>
      </c>
      <c r="C33" s="61" t="s">
        <v>51</v>
      </c>
      <c r="D33" s="131" t="str">
        <f>IF("Ska Ingå"=D32,"Ska Ingå","")</f>
        <v/>
      </c>
      <c r="F33" s="88" t="str">
        <f t="shared" si="36"/>
        <v/>
      </c>
      <c r="G33" s="89" t="str">
        <f t="shared" ca="1" si="37"/>
        <v>DELTACO</v>
      </c>
      <c r="H33" s="89" t="str">
        <f t="shared" ca="1" si="37"/>
        <v>DELTACO</v>
      </c>
      <c r="I33" s="89" t="str">
        <f t="shared" ca="1" si="37"/>
        <v>DELTACO</v>
      </c>
      <c r="J33" s="54"/>
      <c r="BD33" s="63"/>
      <c r="BE33" s="63"/>
      <c r="BF33" s="63"/>
      <c r="BG33" s="63"/>
      <c r="BH33" s="63"/>
      <c r="BI33" s="63"/>
      <c r="BJ33" s="63"/>
      <c r="BK33" s="63"/>
      <c r="BL33" s="63"/>
      <c r="BM33" s="63"/>
      <c r="BN33" s="63"/>
      <c r="BP33" s="63"/>
      <c r="BQ33" s="63"/>
      <c r="BR33" s="63"/>
      <c r="CA33" s="63"/>
      <c r="CB33" s="63"/>
      <c r="CC33" s="63"/>
      <c r="CD33" s="63"/>
      <c r="CE33" s="63"/>
      <c r="CF33" s="63"/>
      <c r="CG33" s="63"/>
      <c r="CH33" s="63"/>
      <c r="CI33" s="63"/>
      <c r="CJ33" s="63"/>
      <c r="CK33" s="63"/>
      <c r="CL33" s="63"/>
      <c r="CM33" s="63"/>
      <c r="CN33" s="63"/>
    </row>
    <row r="34" spans="2:92" ht="45" customHeight="1" outlineLevel="1" x14ac:dyDescent="0.35">
      <c r="B34" s="69" t="s">
        <v>348</v>
      </c>
      <c r="C34" s="99" t="s">
        <v>52</v>
      </c>
      <c r="D34" s="132" t="str">
        <f>IF("Ska Ingå"=D32,"Ska Ingå","")</f>
        <v/>
      </c>
      <c r="F34" s="90" t="str">
        <f t="shared" si="36"/>
        <v/>
      </c>
      <c r="G34" s="91" t="str">
        <f t="shared" ca="1" si="37"/>
        <v>GBX TB-631</v>
      </c>
      <c r="H34" s="91" t="str">
        <f t="shared" ca="1" si="37"/>
        <v>TB-631</v>
      </c>
      <c r="I34" s="91" t="str">
        <f t="shared" ca="1" si="37"/>
        <v>GBX TB-631</v>
      </c>
      <c r="BD34" s="63"/>
      <c r="BE34" s="63"/>
      <c r="BF34" s="63"/>
      <c r="BG34" s="63"/>
      <c r="BH34" s="63"/>
      <c r="BI34" s="63"/>
      <c r="BJ34" s="63"/>
      <c r="BK34" s="63"/>
      <c r="BL34" s="63"/>
      <c r="BM34" s="63"/>
      <c r="BN34" s="63"/>
      <c r="BP34" s="63"/>
      <c r="BQ34" s="63"/>
      <c r="BR34" s="63"/>
      <c r="CA34" s="63"/>
      <c r="CB34" s="63"/>
      <c r="CC34" s="63"/>
      <c r="CD34" s="63"/>
      <c r="CE34" s="63"/>
      <c r="CF34" s="63"/>
      <c r="CG34" s="63"/>
      <c r="CH34" s="63"/>
      <c r="CI34" s="63"/>
      <c r="CJ34" s="63"/>
      <c r="CK34" s="63"/>
      <c r="CL34" s="63"/>
      <c r="CM34" s="63"/>
      <c r="CN34" s="63"/>
    </row>
    <row r="35" spans="2:92" ht="30" customHeight="1" outlineLevel="1" x14ac:dyDescent="0.35">
      <c r="B35" s="69" t="s">
        <v>227</v>
      </c>
      <c r="C35" s="95" t="s">
        <v>375</v>
      </c>
      <c r="D35" s="70"/>
      <c r="F35" s="159" t="str">
        <f t="shared" si="36"/>
        <v/>
      </c>
      <c r="G35" s="160">
        <f t="shared" ca="1" si="37"/>
        <v>399</v>
      </c>
      <c r="H35" s="160">
        <f t="shared" ca="1" si="37"/>
        <v>595</v>
      </c>
      <c r="I35" s="160">
        <f t="shared" ca="1" si="37"/>
        <v>839</v>
      </c>
      <c r="BD35" s="63"/>
      <c r="BE35" s="63"/>
      <c r="BF35" s="63"/>
      <c r="BG35" s="63"/>
      <c r="BH35" s="63"/>
      <c r="BI35" s="63"/>
      <c r="BJ35" s="63"/>
      <c r="BK35" s="63"/>
      <c r="BL35" s="63"/>
      <c r="BM35" s="63"/>
      <c r="BN35" s="63"/>
      <c r="BP35" s="63"/>
      <c r="BQ35" s="63"/>
      <c r="BR35" s="63"/>
      <c r="CA35" s="63"/>
      <c r="CB35" s="63"/>
      <c r="CC35" s="63"/>
      <c r="CD35" s="63"/>
      <c r="CE35" s="63"/>
      <c r="CF35" s="63"/>
      <c r="CG35" s="63"/>
      <c r="CH35" s="63"/>
      <c r="CI35" s="63"/>
      <c r="CJ35" s="63"/>
      <c r="CK35" s="63"/>
      <c r="CL35" s="63"/>
      <c r="CM35" s="63"/>
      <c r="CN35" s="63"/>
    </row>
    <row r="36" spans="2:92" ht="30" customHeight="1" outlineLevel="1" x14ac:dyDescent="0.35">
      <c r="B36" s="69" t="s">
        <v>344</v>
      </c>
      <c r="C36" s="96" t="s">
        <v>51</v>
      </c>
      <c r="D36" s="131" t="str">
        <f>IF("Ska Ingå"=D35,"Ska Ingå","")</f>
        <v/>
      </c>
      <c r="F36" s="84" t="str">
        <f t="shared" si="36"/>
        <v/>
      </c>
      <c r="G36" s="85" t="str">
        <f t="shared" ca="1" si="37"/>
        <v>Kecow</v>
      </c>
      <c r="H36" s="85" t="str">
        <f t="shared" ca="1" si="37"/>
        <v xml:space="preserve">ZAGG </v>
      </c>
      <c r="I36" s="85" t="str">
        <f t="shared" ca="1" si="37"/>
        <v>Apple</v>
      </c>
      <c r="BD36" s="63"/>
      <c r="BE36" s="63"/>
      <c r="BF36" s="63"/>
      <c r="BG36" s="63"/>
      <c r="BH36" s="63"/>
      <c r="BI36" s="63"/>
      <c r="BJ36" s="63"/>
      <c r="BK36" s="63"/>
      <c r="BL36" s="63"/>
      <c r="BM36" s="63"/>
      <c r="BN36" s="63"/>
      <c r="BP36" s="63"/>
      <c r="BQ36" s="63"/>
      <c r="BR36" s="63"/>
      <c r="CA36" s="63"/>
      <c r="CB36" s="63"/>
      <c r="CC36" s="63"/>
      <c r="CD36" s="63"/>
      <c r="CE36" s="63"/>
      <c r="CF36" s="63"/>
      <c r="CG36" s="63"/>
      <c r="CH36" s="63"/>
      <c r="CI36" s="63"/>
      <c r="CJ36" s="63"/>
      <c r="CK36" s="63"/>
      <c r="CL36" s="63"/>
      <c r="CM36" s="63"/>
      <c r="CN36" s="63"/>
    </row>
    <row r="37" spans="2:92" ht="67.5" customHeight="1" outlineLevel="1" x14ac:dyDescent="0.35">
      <c r="B37" s="69" t="s">
        <v>349</v>
      </c>
      <c r="C37" s="116" t="s">
        <v>52</v>
      </c>
      <c r="D37" s="132" t="str">
        <f>IF("Ska Ingå"=D35,"Ska Ingå","")</f>
        <v/>
      </c>
      <c r="F37" s="117" t="str">
        <f t="shared" si="36"/>
        <v/>
      </c>
      <c r="G37" s="118" t="str">
        <f t="shared" ca="1" si="37"/>
        <v>GBXPP2PENMAGNETIC</v>
      </c>
      <c r="H37" s="118" t="str">
        <f t="shared" ca="1" si="37"/>
        <v>109912139 - Pro Stylus 2 - Aktiv penna - grå</v>
      </c>
      <c r="I37" s="118" t="str">
        <f t="shared" ca="1" si="37"/>
        <v>MK0C2ZM/A</v>
      </c>
      <c r="BD37" s="63"/>
      <c r="BE37" s="63"/>
      <c r="BF37" s="63"/>
      <c r="BG37" s="63"/>
      <c r="BH37" s="63"/>
      <c r="BI37" s="63"/>
      <c r="BJ37" s="63"/>
      <c r="BK37" s="63"/>
      <c r="BL37" s="63"/>
      <c r="BM37" s="63"/>
      <c r="BN37" s="63"/>
      <c r="BP37" s="63"/>
      <c r="BQ37" s="63"/>
      <c r="BR37" s="63"/>
      <c r="CA37" s="63"/>
      <c r="CB37" s="63"/>
      <c r="CC37" s="63"/>
      <c r="CD37" s="63"/>
      <c r="CE37" s="63"/>
      <c r="CF37" s="63"/>
      <c r="CG37" s="63"/>
      <c r="CH37" s="63"/>
      <c r="CI37" s="63"/>
      <c r="CJ37" s="63"/>
      <c r="CK37" s="63"/>
      <c r="CL37" s="63"/>
      <c r="CM37" s="63"/>
      <c r="CN37" s="63"/>
    </row>
    <row r="38" spans="2:92" ht="22.5" customHeight="1" outlineLevel="1" x14ac:dyDescent="0.35">
      <c r="B38" s="69"/>
      <c r="C38" s="212" t="s">
        <v>365</v>
      </c>
      <c r="D38" s="215"/>
      <c r="E38" s="213"/>
      <c r="F38" s="213"/>
      <c r="G38" s="213"/>
      <c r="H38" s="213"/>
      <c r="I38" s="214"/>
      <c r="CA38" s="63"/>
      <c r="CB38" s="63"/>
      <c r="CC38" s="63"/>
      <c r="CD38" s="63"/>
      <c r="CE38" s="63"/>
      <c r="CF38" s="63"/>
      <c r="CG38" s="63"/>
      <c r="CH38" s="63"/>
      <c r="CI38" s="63"/>
      <c r="CJ38" s="63"/>
      <c r="CK38" s="63"/>
      <c r="CL38" s="63"/>
      <c r="CM38" s="63"/>
      <c r="CN38" s="63"/>
    </row>
    <row r="39" spans="2:92" ht="22.5" customHeight="1" outlineLevel="1" x14ac:dyDescent="0.35">
      <c r="B39" s="71" t="s">
        <v>228</v>
      </c>
      <c r="C39" s="115" t="s">
        <v>367</v>
      </c>
      <c r="D39" s="70"/>
      <c r="F39" s="161" t="str">
        <f>IF(F$10="Inget antal angivet","",IFERROR(INDEX($AN$11:$BZ$37,MATCH(F$7,$AL$11:$AL$37,0),MATCH($B39,$AN$11:$BZ$11,0)),""))</f>
        <v/>
      </c>
      <c r="G39" s="162">
        <f t="shared" ref="G39:I41" ca="1" si="49">IFERROR(INDEX($AN$11:$BZ$37,MATCH(G$7,$AL$11:$AL$37,0),MATCH($B39,$AN$11:$BZ$11,0)),"")</f>
        <v>570</v>
      </c>
      <c r="H39" s="162">
        <f t="shared" ca="1" si="49"/>
        <v>781</v>
      </c>
      <c r="I39" s="162">
        <f t="shared" ca="1" si="49"/>
        <v>514</v>
      </c>
      <c r="CA39" s="63"/>
      <c r="CB39" s="63"/>
      <c r="CC39" s="63"/>
      <c r="CD39" s="63"/>
      <c r="CE39" s="63"/>
      <c r="CF39" s="63"/>
      <c r="CG39" s="63"/>
      <c r="CH39" s="63"/>
      <c r="CI39" s="63"/>
      <c r="CJ39" s="63"/>
      <c r="CK39" s="63"/>
      <c r="CL39" s="63"/>
      <c r="CM39" s="63"/>
      <c r="CN39" s="63"/>
    </row>
    <row r="40" spans="2:92" ht="22.5" customHeight="1" outlineLevel="1" x14ac:dyDescent="0.35">
      <c r="B40" s="71" t="s">
        <v>229</v>
      </c>
      <c r="C40" s="61" t="s">
        <v>369</v>
      </c>
      <c r="D40" s="70"/>
      <c r="F40" s="165" t="str">
        <f>IF(F$10="Inget antal angivet","",IFERROR(INDEX($AN$11:$BZ$37,MATCH(F$7,$AL$11:$AL$37,0),MATCH($B40,$AN$11:$BZ$11,0)),""))</f>
        <v/>
      </c>
      <c r="G40" s="166">
        <f t="shared" ca="1" si="49"/>
        <v>25</v>
      </c>
      <c r="H40" s="166">
        <f t="shared" ca="1" si="49"/>
        <v>50</v>
      </c>
      <c r="I40" s="166">
        <f t="shared" ca="1" si="49"/>
        <v>25</v>
      </c>
      <c r="CA40" s="63"/>
      <c r="CB40" s="63"/>
      <c r="CC40" s="63"/>
      <c r="CD40" s="63"/>
      <c r="CE40" s="63"/>
      <c r="CF40" s="63"/>
      <c r="CG40" s="63"/>
      <c r="CH40" s="63"/>
      <c r="CI40" s="63"/>
      <c r="CJ40" s="63"/>
      <c r="CK40" s="63"/>
      <c r="CL40" s="63"/>
      <c r="CM40" s="63"/>
      <c r="CN40" s="63"/>
    </row>
    <row r="41" spans="2:92" ht="22.5" customHeight="1" outlineLevel="1" x14ac:dyDescent="0.35">
      <c r="B41" s="71" t="s">
        <v>230</v>
      </c>
      <c r="C41" s="96" t="s">
        <v>370</v>
      </c>
      <c r="D41" s="70"/>
      <c r="F41" s="163" t="str">
        <f>IF(F$10="Inget antal angivet","",IFERROR(INDEX($AN$11:$BZ$37,MATCH(F$7,$AL$11:$AL$37,0),MATCH($B41,$AN$11:$BZ$11,0)),""))</f>
        <v/>
      </c>
      <c r="G41" s="164">
        <f t="shared" ca="1" si="49"/>
        <v>25</v>
      </c>
      <c r="H41" s="164">
        <f t="shared" ca="1" si="49"/>
        <v>50</v>
      </c>
      <c r="I41" s="164">
        <f t="shared" ca="1" si="49"/>
        <v>25</v>
      </c>
      <c r="CA41" s="63"/>
      <c r="CB41" s="63"/>
      <c r="CC41" s="63"/>
      <c r="CD41" s="63"/>
      <c r="CE41" s="63"/>
      <c r="CF41" s="63"/>
      <c r="CG41" s="63"/>
      <c r="CH41" s="63"/>
      <c r="CI41" s="63"/>
      <c r="CJ41" s="63"/>
      <c r="CK41" s="63"/>
      <c r="CL41" s="63"/>
      <c r="CM41" s="63"/>
      <c r="CN41" s="63"/>
    </row>
    <row r="42" spans="2:92" ht="22.5" customHeight="1" outlineLevel="1" x14ac:dyDescent="0.35">
      <c r="CA42" s="63"/>
      <c r="CB42" s="63"/>
      <c r="CC42" s="63"/>
      <c r="CD42" s="63"/>
      <c r="CE42" s="63"/>
      <c r="CF42" s="63"/>
      <c r="CG42" s="63"/>
      <c r="CH42" s="63"/>
      <c r="CI42" s="63"/>
      <c r="CJ42" s="63"/>
      <c r="CK42" s="63"/>
      <c r="CL42" s="63"/>
      <c r="CM42" s="63"/>
      <c r="CN42" s="63"/>
    </row>
    <row r="43" spans="2:92" ht="22.5" customHeight="1" x14ac:dyDescent="0.35"/>
    <row r="44" spans="2:92" ht="22.5" customHeight="1" x14ac:dyDescent="0.35">
      <c r="D44" s="72" t="s">
        <v>233</v>
      </c>
      <c r="F44" s="221" t="s">
        <v>252</v>
      </c>
      <c r="G44" s="221"/>
      <c r="H44" s="221"/>
      <c r="I44" s="222"/>
    </row>
    <row r="45" spans="2:92" ht="22.5" customHeight="1" x14ac:dyDescent="0.35">
      <c r="D45" s="74"/>
      <c r="F45" s="202" t="str">
        <f ca="1">IFERROR(INDEX($Z$12:$Z$35,MATCH(F7,$AA$12:$AA$35,0))*D45,"")</f>
        <v/>
      </c>
      <c r="G45" s="202">
        <f ca="1">IFERROR(P12 *D45,"")</f>
        <v>0</v>
      </c>
      <c r="H45" s="202">
        <f ca="1">IFERROR(P13 *D45,"")</f>
        <v>0</v>
      </c>
      <c r="I45" s="202">
        <f ca="1">IFERROR(P14 * D45,"")</f>
        <v>0</v>
      </c>
    </row>
    <row r="47" spans="2:92" ht="15" thickBot="1" x14ac:dyDescent="0.4">
      <c r="C47" s="174"/>
      <c r="D47" s="174"/>
      <c r="E47" s="174"/>
      <c r="F47" s="174"/>
      <c r="G47" s="174"/>
      <c r="H47" s="174"/>
      <c r="I47" s="174"/>
    </row>
    <row r="48" spans="2:92" ht="15" thickTop="1" x14ac:dyDescent="0.35"/>
    <row r="50" spans="2:92" ht="71.25" customHeight="1" collapsed="1" x14ac:dyDescent="0.35">
      <c r="C50" s="53"/>
      <c r="D50" s="53"/>
      <c r="F50" s="50" t="e">
        <f ca="1">N54</f>
        <v>#N/A</v>
      </c>
      <c r="G50" s="50" t="str">
        <f ca="1">INDEX(AA55:AA80,MATCH(P55,Z55:Z80,0))</f>
        <v>Offererad produktnr. 07Qlosr Göteborg AB</v>
      </c>
      <c r="H50" s="50" t="str">
        <f ca="1">INDEX(AA54:AA79,MATCH(P56,Z54:Z79,0))</f>
        <v>Offererad produktnr. 07Advania Sverige AB</v>
      </c>
      <c r="I50" s="50" t="str">
        <f ca="1">INDEX(AA54:AA79,MATCH(P57,Z54:Z79,0))</f>
        <v>Offererad produktnr. 08Qlosr Göteborg AB</v>
      </c>
      <c r="AN50" s="12" t="s">
        <v>124</v>
      </c>
      <c r="AO50" s="12" t="s">
        <v>124</v>
      </c>
      <c r="AP50" s="12" t="s">
        <v>124</v>
      </c>
      <c r="AQ50" s="12" t="s">
        <v>124</v>
      </c>
      <c r="AR50" s="12" t="s">
        <v>124</v>
      </c>
      <c r="AS50" s="12" t="s">
        <v>124</v>
      </c>
      <c r="AT50" s="12" t="s">
        <v>124</v>
      </c>
      <c r="AU50" s="12" t="s">
        <v>124</v>
      </c>
      <c r="AV50" s="12" t="s">
        <v>124</v>
      </c>
      <c r="AW50" s="12" t="s">
        <v>124</v>
      </c>
      <c r="AX50" s="12" t="s">
        <v>124</v>
      </c>
      <c r="AY50" s="12" t="s">
        <v>124</v>
      </c>
      <c r="AZ50" s="12" t="s">
        <v>124</v>
      </c>
      <c r="BA50" s="12" t="s">
        <v>124</v>
      </c>
      <c r="BB50" s="12" t="s">
        <v>124</v>
      </c>
      <c r="BC50" s="12" t="s">
        <v>124</v>
      </c>
      <c r="BD50" s="12" t="s">
        <v>124</v>
      </c>
      <c r="BE50" s="12" t="s">
        <v>124</v>
      </c>
      <c r="BF50" s="12" t="s">
        <v>124</v>
      </c>
      <c r="BG50" s="12" t="s">
        <v>124</v>
      </c>
      <c r="BH50" s="12" t="s">
        <v>124</v>
      </c>
      <c r="BI50" s="12" t="s">
        <v>124</v>
      </c>
      <c r="BJ50" s="12" t="s">
        <v>124</v>
      </c>
      <c r="BK50" s="12" t="s">
        <v>124</v>
      </c>
      <c r="BL50" s="12" t="s">
        <v>124</v>
      </c>
      <c r="BM50" s="12" t="s">
        <v>124</v>
      </c>
      <c r="BN50" s="12" t="s">
        <v>124</v>
      </c>
      <c r="BO50" s="12" t="s">
        <v>124</v>
      </c>
      <c r="BP50" s="12" t="s">
        <v>124</v>
      </c>
      <c r="BQ50" s="12" t="s">
        <v>124</v>
      </c>
      <c r="BR50" s="12" t="s">
        <v>124</v>
      </c>
      <c r="BS50" s="12" t="s">
        <v>124</v>
      </c>
      <c r="BT50" s="12" t="s">
        <v>124</v>
      </c>
      <c r="BU50" s="12" t="s">
        <v>124</v>
      </c>
      <c r="BV50" s="12" t="s">
        <v>124</v>
      </c>
      <c r="BW50" s="12"/>
      <c r="BX50" s="12"/>
      <c r="BY50" s="12" t="s">
        <v>124</v>
      </c>
      <c r="BZ50" s="12" t="s">
        <v>124</v>
      </c>
      <c r="CA50" s="12"/>
      <c r="CB50" s="12"/>
      <c r="CC50" s="12"/>
      <c r="CD50" s="12"/>
      <c r="CE50" s="12"/>
      <c r="CF50" s="12"/>
      <c r="CG50" s="12"/>
      <c r="CH50" s="12"/>
      <c r="CI50" s="12"/>
      <c r="CJ50" s="12"/>
      <c r="CK50" s="12"/>
      <c r="CL50" s="12"/>
      <c r="CM50" s="12"/>
      <c r="CN50" s="12"/>
    </row>
    <row r="51" spans="2:92" ht="25.5" customHeight="1" thickBot="1" x14ac:dyDescent="0.4">
      <c r="C51" s="53"/>
      <c r="D51" s="53"/>
      <c r="F51" s="140" t="s">
        <v>446</v>
      </c>
      <c r="G51" s="205" t="s">
        <v>447</v>
      </c>
      <c r="H51" s="205"/>
      <c r="I51" s="205"/>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row>
    <row r="52" spans="2:92" ht="22.5" customHeight="1" thickBot="1" x14ac:dyDescent="0.4">
      <c r="B52" t="str">
        <f ca="1" xml:space="preserve"> "Produkt "  &amp; B53</f>
        <v>Produkt 2</v>
      </c>
      <c r="C52" s="206" t="str">
        <f>IF(F53="Ingen produkt motsvarar","Felmeddelande",IF(COUNTIF($P$1:$P$6,TRUE)&gt;0,"","Felmeddelande"))</f>
        <v/>
      </c>
      <c r="D52" s="207"/>
      <c r="F52" s="218" t="s">
        <v>271</v>
      </c>
      <c r="G52" s="218"/>
      <c r="H52" s="218"/>
      <c r="I52" s="219"/>
      <c r="O52">
        <v>1</v>
      </c>
      <c r="AN52" s="13" t="str">
        <f t="shared" ref="AN52:AX52" si="50">AN54</f>
        <v>Operativsystem</v>
      </c>
      <c r="AO52" s="13" t="str">
        <f t="shared" si="50"/>
        <v>Skärmstorlek (tum)</v>
      </c>
      <c r="AP52" s="13" t="str">
        <f t="shared" si="50"/>
        <v>Upplösning</v>
      </c>
      <c r="AQ52" s="13" t="str">
        <f t="shared" si="50"/>
        <v>Lagringsutrymme</v>
      </c>
      <c r="AR52" s="13" t="str">
        <f t="shared" si="50"/>
        <v>Kommunikation Bluetooth</v>
      </c>
      <c r="AS52" s="13" t="str">
        <f t="shared" si="50"/>
        <v>Kommunikation WLAN</v>
      </c>
      <c r="AT52" s="13" t="str">
        <f t="shared" si="50"/>
        <v>Batteritid (tim)</v>
      </c>
      <c r="AU52" s="13" t="str">
        <f t="shared" si="50"/>
        <v>Miljömärkning</v>
      </c>
      <c r="AV52" s="13" t="str">
        <f t="shared" si="50"/>
        <v>Kommunikation WLAN</v>
      </c>
      <c r="AW52" s="13" t="str">
        <f t="shared" si="50"/>
        <v>Kommunikation Bluetooth</v>
      </c>
      <c r="AX52" s="13" t="str">
        <f t="shared" si="50"/>
        <v>Batteritid (tim)</v>
      </c>
      <c r="AY52" s="13" t="s">
        <v>52</v>
      </c>
      <c r="AZ52" s="13" t="str">
        <f>AZ54</f>
        <v>Låsskydd</v>
      </c>
      <c r="BA52" s="13" t="str">
        <f>BA54</f>
        <v>Operativsystem</v>
      </c>
      <c r="BB52" s="13" t="str">
        <f>BB54</f>
        <v>Pris</v>
      </c>
      <c r="BC52" t="s">
        <v>224</v>
      </c>
      <c r="BD52" s="100" t="s">
        <v>340</v>
      </c>
      <c r="BE52" s="100" t="s">
        <v>341</v>
      </c>
      <c r="BF52" s="100" t="s">
        <v>342</v>
      </c>
      <c r="BG52" s="100" t="s">
        <v>343</v>
      </c>
      <c r="BH52" s="100" t="s">
        <v>344</v>
      </c>
      <c r="BI52" s="100" t="s">
        <v>345</v>
      </c>
      <c r="BJ52" s="100" t="s">
        <v>346</v>
      </c>
      <c r="BK52" s="100" t="s">
        <v>347</v>
      </c>
      <c r="BL52" s="100" t="s">
        <v>348</v>
      </c>
      <c r="BM52" s="100" t="s">
        <v>349</v>
      </c>
      <c r="BN52" s="56" t="s">
        <v>53</v>
      </c>
      <c r="BO52" s="56" t="s">
        <v>54</v>
      </c>
      <c r="BP52" s="56" t="s">
        <v>55</v>
      </c>
      <c r="BQ52" s="56" t="s">
        <v>59</v>
      </c>
      <c r="BR52" s="56" t="s">
        <v>227</v>
      </c>
      <c r="BS52" s="57" t="s">
        <v>228</v>
      </c>
      <c r="BT52" s="57" t="s">
        <v>229</v>
      </c>
      <c r="BU52" s="57" t="s">
        <v>230</v>
      </c>
      <c r="BV52" s="57" t="s">
        <v>231</v>
      </c>
      <c r="BW52" s="57"/>
      <c r="BX52" s="57"/>
      <c r="BY52" s="57" t="s">
        <v>6</v>
      </c>
      <c r="BZ52" s="4" t="s">
        <v>51</v>
      </c>
      <c r="CA52" s="13"/>
      <c r="CB52" s="13"/>
      <c r="CC52" s="13"/>
      <c r="CD52" s="13"/>
      <c r="CE52" s="13"/>
      <c r="CF52" s="13"/>
      <c r="CG52" s="13"/>
      <c r="CH52" s="13"/>
      <c r="CI52" s="13"/>
      <c r="CJ52" s="13"/>
      <c r="CK52" s="13"/>
      <c r="CL52" s="13"/>
      <c r="CM52" s="13"/>
      <c r="CN52" s="13"/>
    </row>
    <row r="53" spans="2:92" ht="22.5" customHeight="1" x14ac:dyDescent="0.35">
      <c r="B53">
        <f ca="1">COUNTIF($F$7:F56,"Produkt I varukorg*")</f>
        <v>2</v>
      </c>
      <c r="F53" s="51" t="str">
        <f>IF(D88&lt;1,"Inget antal angivet",IFERROR(INDEX($Z$55:$Z$78,MATCH(F50,$AA$55:$AA$78,0)),"Ingen produkt motsvarar"))</f>
        <v>Inget antal angivet</v>
      </c>
      <c r="G53" s="52">
        <f ca="1">IFERROR(P55,"Ingen produkt motsvarar")</f>
        <v>1700</v>
      </c>
      <c r="H53" s="52">
        <f ca="1">IFERROR(P56,"")</f>
        <v>2084</v>
      </c>
      <c r="I53" s="52">
        <f ca="1">IFERROR(P57,"")</f>
        <v>3205</v>
      </c>
      <c r="AA53" t="str">
        <f>IF(COUNTIF(AB53:AI53,FALSE)&gt;0,AL53,"")</f>
        <v/>
      </c>
      <c r="AB53" t="b">
        <f>IF($D$58="",TRUE,IF(AN53=$D$58,TRUE,FALSE))</f>
        <v>1</v>
      </c>
      <c r="AC53" t="b">
        <f>IF(D55="",TRUE,IF(AO53=$D$59,TRUE,FALSE))</f>
        <v>1</v>
      </c>
      <c r="AD53" t="b">
        <f>IF(D58="",TRUE,IF(AP53=D58,TRUE,FALSE))</f>
        <v>1</v>
      </c>
      <c r="AE53" t="b">
        <f>IF(D59="",TRUE,IF(AQ53=D59,TRUE,FALSE))</f>
        <v>1</v>
      </c>
      <c r="AF53" t="b">
        <f>IF(D60="",TRUE,IF(AR53=D60,TRUE,FALSE))</f>
        <v>1</v>
      </c>
      <c r="AG53" t="b">
        <f>IF(D61="",TRUE,IF(AS53=D61,TRUE,FALSE))</f>
        <v>1</v>
      </c>
      <c r="AH53" t="b">
        <f>IF(D57="",TRUE,IF(AT53=D57,TRUE,FALSE))</f>
        <v>1</v>
      </c>
      <c r="AI53" t="b">
        <f>IF(D56="",TRUE,IF(AV53=D56,TRUE,FALSE))</f>
        <v>1</v>
      </c>
      <c r="AL53" t="s">
        <v>126</v>
      </c>
      <c r="AN53" s="58" t="str">
        <f t="shared" ref="AN53:BL53" ca="1" si="51">IFERROR(INDEX(INDIRECT(AN$50&amp;"!$A$10:CC100000"),MATCH($AL53,INDIRECT(AN$50&amp;"!BH$10:BH100000"),0),MATCH(AN$52,INDIRECT(AN$50&amp;"!a10:CC10"),0)),"False")</f>
        <v>False</v>
      </c>
      <c r="AO53" s="58" t="str">
        <f t="shared" ca="1" si="51"/>
        <v>False</v>
      </c>
      <c r="AP53" s="58" t="str">
        <f t="shared" ca="1" si="51"/>
        <v>False</v>
      </c>
      <c r="AQ53" s="58" t="str">
        <f t="shared" ca="1" si="51"/>
        <v>False</v>
      </c>
      <c r="AR53" s="58" t="str">
        <f t="shared" ca="1" si="51"/>
        <v>False</v>
      </c>
      <c r="AS53" s="58" t="str">
        <f t="shared" ca="1" si="51"/>
        <v>False</v>
      </c>
      <c r="AT53" s="58" t="str">
        <f t="shared" ca="1" si="51"/>
        <v>False</v>
      </c>
      <c r="AU53" s="58" t="str">
        <f t="shared" ca="1" si="51"/>
        <v>False</v>
      </c>
      <c r="AV53" s="58" t="str">
        <f t="shared" ca="1" si="51"/>
        <v>False</v>
      </c>
      <c r="AW53" s="58" t="str">
        <f t="shared" ca="1" si="51"/>
        <v>False</v>
      </c>
      <c r="AX53" s="58" t="str">
        <f t="shared" ca="1" si="51"/>
        <v>False</v>
      </c>
      <c r="AY53" s="58" t="str">
        <f t="shared" ca="1" si="51"/>
        <v>False</v>
      </c>
      <c r="AZ53" s="58" t="str">
        <f t="shared" ca="1" si="51"/>
        <v>False</v>
      </c>
      <c r="BA53" s="58" t="str">
        <f t="shared" ca="1" si="51"/>
        <v>False</v>
      </c>
      <c r="BB53" s="58" t="str">
        <f t="shared" ca="1" si="51"/>
        <v>False</v>
      </c>
      <c r="BC53" s="58" t="str">
        <f t="shared" ca="1" si="51"/>
        <v>False</v>
      </c>
      <c r="BD53" s="58" t="str">
        <f t="shared" ca="1" si="51"/>
        <v>False</v>
      </c>
      <c r="BE53" s="58" t="str">
        <f t="shared" ca="1" si="51"/>
        <v>False</v>
      </c>
      <c r="BF53" s="58" t="str">
        <f t="shared" ca="1" si="51"/>
        <v>False</v>
      </c>
      <c r="BG53" s="58" t="str">
        <f t="shared" ca="1" si="51"/>
        <v>False</v>
      </c>
      <c r="BH53" s="58" t="str">
        <f t="shared" ca="1" si="51"/>
        <v>False</v>
      </c>
      <c r="BI53" s="58" t="str">
        <f t="shared" ca="1" si="51"/>
        <v>False</v>
      </c>
      <c r="BJ53" s="58" t="str">
        <f t="shared" ca="1" si="51"/>
        <v>False</v>
      </c>
      <c r="BK53" s="58" t="str">
        <f t="shared" ca="1" si="51"/>
        <v>False</v>
      </c>
      <c r="BL53" s="58" t="str">
        <f t="shared" ca="1" si="51"/>
        <v>False</v>
      </c>
      <c r="BM53" s="58"/>
      <c r="BN53" s="58" t="str">
        <f t="shared" ref="BN53:BV53" ca="1" si="52">IFERROR(INDEX(INDIRECT(BN$50&amp;"!$A$10:CC100000"),MATCH($AL53,INDIRECT(BN$50&amp;"!BH$10:BH100000"),0),MATCH(BN$52,INDIRECT(BN$50&amp;"!a10:CC10"),0)),"False")</f>
        <v>False</v>
      </c>
      <c r="BO53" s="58" t="str">
        <f t="shared" ca="1" si="52"/>
        <v>False</v>
      </c>
      <c r="BP53" s="58" t="str">
        <f t="shared" ca="1" si="52"/>
        <v>False</v>
      </c>
      <c r="BQ53" s="58" t="str">
        <f t="shared" ca="1" si="52"/>
        <v>False</v>
      </c>
      <c r="BR53" s="58" t="str">
        <f t="shared" ca="1" si="52"/>
        <v>False</v>
      </c>
      <c r="BS53" s="58" t="str">
        <f t="shared" ca="1" si="52"/>
        <v>False</v>
      </c>
      <c r="BT53" s="58" t="str">
        <f t="shared" ca="1" si="52"/>
        <v>False</v>
      </c>
      <c r="BU53" s="58" t="str">
        <f t="shared" ca="1" si="52"/>
        <v>False</v>
      </c>
      <c r="BV53" s="58" t="str">
        <f t="shared" ca="1" si="52"/>
        <v>False</v>
      </c>
      <c r="BW53" s="58"/>
      <c r="BX53" s="58"/>
      <c r="BY53" s="58" t="str">
        <f ca="1">IFERROR(INDEX(INDIRECT(BY$50&amp;"!$A$10:CC100000"),MATCH($AL53,INDIRECT(BY$50&amp;"!BH$10:BH100000"),0),MATCH(BY$52,INDIRECT(BY$50&amp;"!a10:CC10"),0)),"False")</f>
        <v>False</v>
      </c>
      <c r="BZ53" s="58" t="str">
        <f ca="1">IFERROR(INDEX(INDIRECT(BZ$50&amp;"!$A$10:CC100000"),MATCH($AL53,INDIRECT(BZ$50&amp;"!BH$10:BH100000"),0),MATCH(BZ$52,INDIRECT(BZ$50&amp;"!a10:CC10"),0)),"False")</f>
        <v>False</v>
      </c>
      <c r="CA53" s="58"/>
      <c r="CB53" s="58"/>
      <c r="CC53" s="58"/>
      <c r="CD53" s="58"/>
      <c r="CE53" s="58"/>
      <c r="CF53" s="58"/>
      <c r="CG53" s="58"/>
      <c r="CH53" s="58"/>
      <c r="CI53" s="58"/>
      <c r="CJ53" s="58"/>
      <c r="CK53" s="58"/>
      <c r="CL53" s="58"/>
      <c r="CM53" s="58"/>
      <c r="CN53" s="58"/>
    </row>
    <row r="54" spans="2:92" ht="22.5" customHeight="1" x14ac:dyDescent="0.35">
      <c r="C54" s="210" t="str">
        <f ca="1" xml:space="preserve"> "Surfplatta "  &amp; RIGHT("00" &amp; B53,2)</f>
        <v>Surfplatta 02</v>
      </c>
      <c r="D54" s="211"/>
      <c r="F54" s="92" t="str">
        <f>IF(F53="Inget antal angivet","",IFERROR(INDEX($AN$54:$BZ$80,MATCH(F$50,$AL$54:$AL$80,0),MATCH("Modellbenämning",$AN$54:$BZ$54,0)),""))</f>
        <v/>
      </c>
      <c r="G54" s="92" t="str">
        <f ca="1">IFERROR(INDEX($AN$54:$BZ$80,MATCH(G$50,$AL$54:$AL$80,0),MATCH("Modellbenämning",$AN$54:$BZ$54,0)),"")</f>
        <v>M10 FHD G2</v>
      </c>
      <c r="H54" s="92" t="str">
        <f ca="1">IFERROR(INDEX($AN$54:$BZ$80,MATCH(H$50,$AL$54:$AL$80,0),MATCH("Modellbenämning",$AN$54:$BZ$54,0)),"")</f>
        <v>Tab M10 (3rd Gen)</v>
      </c>
      <c r="I54" s="92" t="str">
        <f ca="1">IFERROR(INDEX($AN$54:$BZ$80,MATCH(I$50,$AL$54:$AL$80,0),MATCH("Modellbenämning",$AN$54:$BZ$54,0)),"")</f>
        <v>iPad 9th gen (2021)</v>
      </c>
      <c r="J54" s="93"/>
      <c r="K54" s="92"/>
      <c r="L54" s="92"/>
      <c r="M54" s="92"/>
      <c r="N54" s="92" t="e">
        <f ca="1">INDEX($N$55:$N$60,MATCH(Överblick!$L$2,$M$55:$M$60,0))</f>
        <v>#N/A</v>
      </c>
      <c r="O54" s="92"/>
      <c r="P54" s="92"/>
      <c r="Q54" s="92"/>
      <c r="R54" s="92">
        <v>1</v>
      </c>
      <c r="S54" s="92">
        <v>2</v>
      </c>
      <c r="T54" s="92">
        <v>3</v>
      </c>
      <c r="U54" s="92">
        <v>5</v>
      </c>
      <c r="V54" s="92">
        <v>6</v>
      </c>
      <c r="W54" s="92">
        <v>7</v>
      </c>
      <c r="X54" s="92">
        <v>8</v>
      </c>
      <c r="Y54" s="92">
        <v>9</v>
      </c>
      <c r="Z54" s="92"/>
      <c r="AA54" s="92" t="s">
        <v>122</v>
      </c>
      <c r="AB54" s="92" t="s">
        <v>3</v>
      </c>
      <c r="AC54" s="92" t="s">
        <v>7</v>
      </c>
      <c r="AD54" s="92" t="s">
        <v>2</v>
      </c>
      <c r="AE54" s="92" t="s">
        <v>17</v>
      </c>
      <c r="AF54" s="92" t="s">
        <v>75</v>
      </c>
      <c r="AG54" s="92" t="s">
        <v>103</v>
      </c>
      <c r="AH54" s="92" t="s">
        <v>120</v>
      </c>
      <c r="AI54" s="92" t="s">
        <v>39</v>
      </c>
      <c r="AJ54" s="92"/>
      <c r="AK54" s="92"/>
      <c r="AL54" s="92" t="s">
        <v>222</v>
      </c>
      <c r="AM54" s="92">
        <v>1</v>
      </c>
      <c r="AN54" s="92" t="s">
        <v>3</v>
      </c>
      <c r="AO54" s="92" t="s">
        <v>7</v>
      </c>
      <c r="AP54" s="92" t="s">
        <v>2</v>
      </c>
      <c r="AQ54" s="92" t="s">
        <v>17</v>
      </c>
      <c r="AR54" s="92" t="s">
        <v>75</v>
      </c>
      <c r="AS54" s="92" t="s">
        <v>103</v>
      </c>
      <c r="AT54" s="92" t="s">
        <v>120</v>
      </c>
      <c r="AU54" s="92" t="s">
        <v>39</v>
      </c>
      <c r="AV54" s="92" t="s">
        <v>103</v>
      </c>
      <c r="AW54" s="92" t="s">
        <v>75</v>
      </c>
      <c r="AX54" s="92" t="s">
        <v>120</v>
      </c>
      <c r="AY54" s="92" t="s">
        <v>52</v>
      </c>
      <c r="AZ54" s="92" t="s">
        <v>37</v>
      </c>
      <c r="BA54" s="92" t="s">
        <v>3</v>
      </c>
      <c r="BB54" s="92" t="s">
        <v>25</v>
      </c>
      <c r="BC54" s="92" t="s">
        <v>25</v>
      </c>
      <c r="BD54" s="92" t="s">
        <v>340</v>
      </c>
      <c r="BE54" s="92" t="s">
        <v>341</v>
      </c>
      <c r="BF54" s="92" t="s">
        <v>342</v>
      </c>
      <c r="BG54" s="92" t="s">
        <v>343</v>
      </c>
      <c r="BH54" s="92" t="s">
        <v>344</v>
      </c>
      <c r="BI54" s="92" t="s">
        <v>345</v>
      </c>
      <c r="BJ54" s="92" t="s">
        <v>346</v>
      </c>
      <c r="BK54" s="92" t="s">
        <v>347</v>
      </c>
      <c r="BL54" s="92" t="s">
        <v>348</v>
      </c>
      <c r="BM54" s="92" t="s">
        <v>349</v>
      </c>
      <c r="BN54" s="92" t="s">
        <v>53</v>
      </c>
      <c r="BO54" s="92" t="s">
        <v>54</v>
      </c>
      <c r="BP54" s="92" t="s">
        <v>55</v>
      </c>
      <c r="BQ54" s="92" t="s">
        <v>59</v>
      </c>
      <c r="BR54" s="92" t="s">
        <v>227</v>
      </c>
      <c r="BS54" s="92" t="s">
        <v>228</v>
      </c>
      <c r="BT54" s="92" t="s">
        <v>229</v>
      </c>
      <c r="BU54" s="92" t="s">
        <v>230</v>
      </c>
      <c r="BV54" s="92" t="s">
        <v>231</v>
      </c>
      <c r="BW54" s="92"/>
      <c r="BX54" s="92"/>
      <c r="BY54" s="92" t="s">
        <v>6</v>
      </c>
      <c r="BZ54" s="92" t="s">
        <v>51</v>
      </c>
      <c r="CA54" s="92" t="s">
        <v>2</v>
      </c>
      <c r="CB54" s="92" t="s">
        <v>17</v>
      </c>
      <c r="CC54" s="92" t="s">
        <v>75</v>
      </c>
      <c r="CD54" s="92" t="s">
        <v>103</v>
      </c>
      <c r="CE54" s="92" t="s">
        <v>7</v>
      </c>
      <c r="CF54" s="92" t="s">
        <v>120</v>
      </c>
      <c r="CG54" s="92" t="s">
        <v>3</v>
      </c>
      <c r="CH54" s="92" t="s">
        <v>39</v>
      </c>
      <c r="CI54" s="92" t="s">
        <v>103</v>
      </c>
      <c r="CJ54" s="92" t="s">
        <v>75</v>
      </c>
      <c r="CK54" s="92" t="s">
        <v>120</v>
      </c>
      <c r="CL54" s="92" t="s">
        <v>38</v>
      </c>
      <c r="CM54" s="92" t="s">
        <v>37</v>
      </c>
      <c r="CN54" s="92" t="s">
        <v>3</v>
      </c>
    </row>
    <row r="55" spans="2:92" ht="22.5" customHeight="1" outlineLevel="1" x14ac:dyDescent="0.35">
      <c r="C55" s="210" t="s">
        <v>261</v>
      </c>
      <c r="D55" s="211"/>
      <c r="F55" s="76" t="str">
        <f>IF(F53="Inget antal angivet","",IFERROR(INDEX($AN$54:$BZ$80,MATCH(F$50,$AL$54:$AL$80,0),MATCH("Varumärke",$AN$54:$BZ$54,0)),""))</f>
        <v/>
      </c>
      <c r="G55" s="77" t="str">
        <f ca="1">IFERROR(INDEX($AN$54:$BZ$80,MATCH(G$50,$AL$54:$AL$80,0),MATCH("Varumärke",$AN$54:$BZ$54,0)),"")</f>
        <v>Lenovo</v>
      </c>
      <c r="H55" s="77" t="str">
        <f ca="1">IFERROR(INDEX($AN$54:$BZ$80,MATCH(H$50,$AL$54:$AL$80,0),MATCH("Varumärke",$AN$54:$BZ$54,0)),"")</f>
        <v>Lenovo</v>
      </c>
      <c r="I55" s="119" t="str">
        <f ca="1">IFERROR(INDEX($AN$54:$BZ$80,MATCH(I$50,$AL$54:$AL$80,0),MATCH("Varumärke",$AN$54:$BZ$54,0)),"")</f>
        <v>Apple</v>
      </c>
      <c r="K55" s="185">
        <f t="shared" ref="K55:K60" ca="1" si="53">O55*$D$88</f>
        <v>0</v>
      </c>
      <c r="L55" s="185" t="b">
        <f t="shared" ref="L55:L60" si="54">IF($D$88=0,TRUE,IF(K55=0,FALSE,TRUE))</f>
        <v>1</v>
      </c>
      <c r="M55" s="185" t="s">
        <v>162</v>
      </c>
      <c r="N55" s="185" t="str">
        <f t="shared" ref="N55:N60" ca="1" si="55">IFERROR(INDEX($AA$55:$AA$80,MATCH(O55,$Z$55:$Z$80,0)),"")</f>
        <v>Offererad produktnr. 07Advania Sverige AB</v>
      </c>
      <c r="O55" s="185" cm="1">
        <f t="array" aca="1" ref="O55" ca="1">MIN(IF(($BY$55:$BY$78=M55)*($AM$55:$AM$78=$O$52),$Z$55:$Z$78))</f>
        <v>2084</v>
      </c>
      <c r="P55" s="197">
        <f ca="1">SMALL($Z$55:$Z$80,1)</f>
        <v>1700</v>
      </c>
      <c r="Q55" s="185">
        <f t="shared" ref="Q55:Q74" si="56">SUM(R55:Y55)</f>
        <v>0</v>
      </c>
      <c r="R55" s="185">
        <f t="shared" ref="R55:R74" si="57">IF($D$66="",0,BN55)</f>
        <v>0</v>
      </c>
      <c r="S55" s="185">
        <f t="shared" ref="S55:S74" si="58">IF($D$69="",0,BO55)</f>
        <v>0</v>
      </c>
      <c r="T55" s="185">
        <f t="shared" ref="T55:T74" si="59">IF($D$72="",0,BP55)</f>
        <v>0</v>
      </c>
      <c r="U55" s="185">
        <f t="shared" ref="U55:U74" si="60">IF($D$75="",0,BQ55)</f>
        <v>0</v>
      </c>
      <c r="V55" s="185">
        <f t="shared" ref="V55:V74" si="61">IF($D$78="",0,BR55)</f>
        <v>0</v>
      </c>
      <c r="W55" s="185">
        <f t="shared" ref="W55:W74" si="62">IF($D$82="",0,BS55)</f>
        <v>0</v>
      </c>
      <c r="X55" s="185">
        <f t="shared" ref="X55:X74" si="63">IF($D$83="",0,BT55)</f>
        <v>0</v>
      </c>
      <c r="Y55" s="185">
        <f t="shared" ref="Y55:Y74" si="64">IF($D$84="",0,BU55)</f>
        <v>0</v>
      </c>
      <c r="Z55" s="196">
        <f t="shared" ref="Z55:Z74" ca="1" si="65">IF(AA55="","",SUM(BC55,R55:Y55))</f>
        <v>2084</v>
      </c>
      <c r="AA55" s="185" t="str">
        <f t="shared" ref="AA55:AA74" si="66">IF(COUNTIF(AB55:AK55,FALSE)&gt;0,"",AL55)</f>
        <v>Offererad produktnr. 07Advania Sverige AB</v>
      </c>
      <c r="AB55" s="185" t="b">
        <f>IF(D56="",TRUE,IF(COUNTIF(Processor!$M$2:$M$3,D56)=0,IF(AN55=D56,TRUE,FALSE),IF(COUNTIF(AN55,INDEX(Processor!$N$2:$N$3,MATCH(Surfplattor!D56,Processor!$M$2:$M$3,0)))&gt;0,TRUE,FALSE)))</f>
        <v>1</v>
      </c>
      <c r="AC55" s="185" t="b">
        <f>IF($D$57="",TRUE,IF(COUNTIF(Processor!$I$2:$I$9,$D$57)&gt;0,AND(AO55&gt;INDEX(Processor!$J$2:$J$9,MATCH($D$57,Processor!$I$2:$I$9,0)),AO55&lt;INDEX(Processor!$K$2:$K$9,MATCH($D$57,Processor!$I$2:$I$9,0))),IF(AO55=$D$57,TRUE,FALSE)))</f>
        <v>1</v>
      </c>
      <c r="AD55" s="185" t="b">
        <f t="shared" ref="AD55:AD74" si="67">IFERROR(IF($D$58="",TRUE,IF(AND(IF(LEFT($D$58,4)*1&lt;=1*LEFT(AP55,4),TRUE,FALSE),IF(RIGHT(AP55,4)*1&gt;=1*RIGHT($D$58,4),TRUE,FALSE)),TRUE,FALSE)),0)</f>
        <v>1</v>
      </c>
      <c r="AE55" s="185" t="b">
        <f t="shared" ref="AE55:AE74" si="68">IF($D$59="",TRUE,IF(AQ55&gt;=$D$59,TRUE,FALSE))</f>
        <v>1</v>
      </c>
      <c r="AF55" s="185" t="b">
        <f t="shared" ref="AF55:AF74" si="69">IF($D$60="",TRUE,IF(AR55&gt;=$D$60,TRUE,FALSE))</f>
        <v>1</v>
      </c>
      <c r="AG55" s="185" t="b">
        <f t="shared" ref="AG55:AG74" si="70">IF($D$61="",TRUE,IF($D$61="802.11a/b/g/n/ac",TRUE,IF(AS55&gt;=$D$61,TRUE,FALSE)))</f>
        <v>1</v>
      </c>
      <c r="AH55" s="185" t="b">
        <f>IF($D$62="",TRUE,IF(INDEX(Processor!$C$14:$C$20,MATCH(LEFT(AT55,10)&amp;"",Processor!$A$14:$A$20,0))&gt;=INDEX(Processor!$C$14:$C$20,MATCH(LEFT($D$62,10)&amp;"",Processor!$A$14:$A$20,0)),TRUE,FALSE))</f>
        <v>1</v>
      </c>
      <c r="AI55" s="185" t="b">
        <f t="shared" ref="AI55:AI74" si="71">IF($D$63="",TRUE,IF($D$63="Miljömärkt",IF(AU55="Ej miljömärkt",FALSE,TRUE),IF(AU55=$D$63,TRUE,FALSE)))</f>
        <v>1</v>
      </c>
      <c r="AJ55" s="185"/>
      <c r="AK55" s="185"/>
      <c r="AL55" s="185" t="s">
        <v>204</v>
      </c>
      <c r="AM55" s="185">
        <v>1</v>
      </c>
      <c r="AN55" s="185" t="str">
        <f t="shared" ref="AN55:AW64" ca="1" si="72">IFERROR(INDEX(INDIRECT(AN$50&amp;"!$A$10:CC100000"),MATCH($AL55,INDIRECT(AN$50&amp;"!BH$10:BH100000"),0),MATCH(AN$52,INDIRECT(AN$50&amp;"!a10:CC10"),0)),"False")</f>
        <v>Android 11</v>
      </c>
      <c r="AO55" s="185">
        <f t="shared" ca="1" si="72"/>
        <v>10.1</v>
      </c>
      <c r="AP55" s="185" t="str">
        <f t="shared" ca="1" si="72"/>
        <v>1920x1200</v>
      </c>
      <c r="AQ55" s="185">
        <f t="shared" ca="1" si="72"/>
        <v>64</v>
      </c>
      <c r="AR55" s="185">
        <f t="shared" ca="1" si="72"/>
        <v>5</v>
      </c>
      <c r="AS55" s="185" t="str">
        <f t="shared" ca="1" si="72"/>
        <v>802.11a/b/g/n/ac</v>
      </c>
      <c r="AT55" s="185">
        <f t="shared" ca="1" si="72"/>
        <v>9</v>
      </c>
      <c r="AU55" s="185" t="str">
        <f t="shared" ca="1" si="72"/>
        <v>Ej miljömärkt</v>
      </c>
      <c r="AV55" s="185" t="str">
        <f t="shared" ca="1" si="72"/>
        <v>802.11a/b/g/n/ac</v>
      </c>
      <c r="AW55" s="185">
        <f t="shared" ca="1" si="72"/>
        <v>5</v>
      </c>
      <c r="AX55" s="185">
        <f t="shared" ref="AX55:BG64" ca="1" si="73">IFERROR(INDEX(INDIRECT(AX$50&amp;"!$A$10:CC100000"),MATCH($AL55,INDIRECT(AX$50&amp;"!BH$10:BH100000"),0),MATCH(AX$52,INDIRECT(AX$50&amp;"!a10:CC10"),0)),"False")</f>
        <v>9</v>
      </c>
      <c r="AY55" s="185" t="str">
        <f t="shared" ca="1" si="73"/>
        <v>Tab M10 (3rd Gen)</v>
      </c>
      <c r="AZ55" s="185">
        <f t="shared" ca="1" si="73"/>
        <v>0</v>
      </c>
      <c r="BA55" s="185" t="str">
        <f t="shared" ca="1" si="73"/>
        <v>Android 11</v>
      </c>
      <c r="BB55" s="185">
        <f t="shared" ca="1" si="73"/>
        <v>2084</v>
      </c>
      <c r="BC55" s="185">
        <f t="shared" ca="1" si="73"/>
        <v>2084</v>
      </c>
      <c r="BD55" s="192" t="str">
        <f t="shared" ca="1" si="73"/>
        <v>eSTUFF</v>
      </c>
      <c r="BE55" s="192" t="str">
        <f t="shared" ca="1" si="73"/>
        <v>eSTUFF</v>
      </c>
      <c r="BF55" s="192" t="str">
        <f t="shared" ca="1" si="73"/>
        <v>CoreParts</v>
      </c>
      <c r="BG55" s="192" t="str">
        <f t="shared" ca="1" si="73"/>
        <v>DELTACO</v>
      </c>
      <c r="BH55" s="192" t="str">
        <f t="shared" ref="BH55:BV64" ca="1" si="74">IFERROR(INDEX(INDIRECT(BH$50&amp;"!$A$10:CC100000"),MATCH($AL55,INDIRECT(BH$50&amp;"!BH$10:BH100000"),0),MATCH(BH$52,INDIRECT(BH$50&amp;"!a10:CC10"),0)),"False")</f>
        <v xml:space="preserve">ZAGG </v>
      </c>
      <c r="BI55" s="192" t="str">
        <f t="shared" ca="1" si="74"/>
        <v>ES685307-BULK - Vikbart fodral för surfplatta - polyuretan, polykarbonat, konstläder, mikrofiber - svart - för Lenovo Tab M10 (3rd Gen)</v>
      </c>
      <c r="BJ55" s="192" t="str">
        <f t="shared" ca="1" si="74"/>
        <v>ES517003 - Skärmskydd för surfplatta - glas - klar - för Lenovo Tab M10 (3rd Gen)</v>
      </c>
      <c r="BK55" s="192" t="str">
        <f t="shared" ca="1" si="74"/>
        <v>MBXUSB-AC0011 - Strömadapter - 12 Watt - 2.4 A (USB) - på kabel: USB-C - vit - med USB-C cable (2m)</v>
      </c>
      <c r="BL55" s="192" t="str">
        <f t="shared" ca="1" si="74"/>
        <v>TB-631</v>
      </c>
      <c r="BM55" s="192" t="str">
        <f t="shared" ca="1" si="74"/>
        <v>109912139 - Pro Stylus 2 - Aktiv penna - grå</v>
      </c>
      <c r="BN55" s="192">
        <f t="shared" ca="1" si="74"/>
        <v>251</v>
      </c>
      <c r="BO55" s="192">
        <f t="shared" ca="1" si="74"/>
        <v>251</v>
      </c>
      <c r="BP55" s="192">
        <f t="shared" ca="1" si="74"/>
        <v>108</v>
      </c>
      <c r="BQ55" s="192">
        <f t="shared" ca="1" si="74"/>
        <v>169</v>
      </c>
      <c r="BR55" s="192">
        <f t="shared" ca="1" si="74"/>
        <v>595</v>
      </c>
      <c r="BS55" s="192">
        <f t="shared" ca="1" si="74"/>
        <v>781</v>
      </c>
      <c r="BT55" s="192">
        <f t="shared" ca="1" si="74"/>
        <v>50</v>
      </c>
      <c r="BU55" s="192">
        <f t="shared" ca="1" si="74"/>
        <v>50</v>
      </c>
      <c r="BV55" s="192">
        <f t="shared" ca="1" si="74"/>
        <v>0</v>
      </c>
      <c r="BW55" s="192"/>
      <c r="BX55" s="192"/>
      <c r="BY55" s="192" t="str">
        <f t="shared" ref="BY55:BZ74" ca="1" si="75">IFERROR(INDEX(INDIRECT(BY$50&amp;"!$A$10:CC100000"),MATCH($AL55,INDIRECT(BY$50&amp;"!BH$10:BH100000"),0),MATCH(BY$52,INDIRECT(BY$50&amp;"!a10:CC10"),0)),"False")</f>
        <v>Advania Sverige AB</v>
      </c>
      <c r="BZ55" s="192" t="str">
        <f t="shared" ca="1" si="75"/>
        <v>Lenovo</v>
      </c>
      <c r="CA55" s="199" t="s">
        <v>163</v>
      </c>
      <c r="CB55" s="192">
        <v>64</v>
      </c>
      <c r="CC55" s="185">
        <v>4</v>
      </c>
      <c r="CD55" s="192" t="s">
        <v>79</v>
      </c>
      <c r="CE55" s="185" t="s">
        <v>356</v>
      </c>
      <c r="CF55" s="185" t="s">
        <v>148</v>
      </c>
      <c r="CG55" s="185" t="s">
        <v>469</v>
      </c>
      <c r="CH55" s="192" t="s">
        <v>273</v>
      </c>
      <c r="CI55" s="192" t="s">
        <v>79</v>
      </c>
      <c r="CJ55" s="185">
        <v>4</v>
      </c>
      <c r="CK55" s="185" t="s">
        <v>148</v>
      </c>
      <c r="CL55" s="192">
        <v>0</v>
      </c>
      <c r="CM55" s="192">
        <v>0</v>
      </c>
      <c r="CN55" s="185" t="s">
        <v>165</v>
      </c>
    </row>
    <row r="56" spans="2:92" ht="22.5" customHeight="1" outlineLevel="1" x14ac:dyDescent="0.35">
      <c r="C56" s="61" t="s">
        <v>3</v>
      </c>
      <c r="D56" s="64"/>
      <c r="F56" s="78" t="str">
        <f t="shared" ref="F56:F63" si="76">IF(F$53="Inget antal angivet","",IFERROR(INDEX($AN$54:$BZ$80,MATCH(F$50,$AL$54:$AL$80,0),MATCH($C56,$AN$54:$BZ$54,0)),""))</f>
        <v/>
      </c>
      <c r="G56" s="79" t="str">
        <f t="shared" ref="G56:I63" ca="1" si="77">IFERROR(INDEX($AN$54:$BZ$80,MATCH(G$50,$AL$54:$AL$80,0),MATCH($C56,$AN$54:$BZ$54,0)),"")</f>
        <v>Android 9</v>
      </c>
      <c r="H56" s="79" t="str">
        <f t="shared" ca="1" si="77"/>
        <v>Android 11</v>
      </c>
      <c r="I56" s="120" t="str">
        <f t="shared" ca="1" si="77"/>
        <v>iPadOS 15</v>
      </c>
      <c r="J56" s="62"/>
      <c r="K56" s="185">
        <f t="shared" ca="1" si="53"/>
        <v>0</v>
      </c>
      <c r="L56" s="185" t="b">
        <f t="shared" si="54"/>
        <v>1</v>
      </c>
      <c r="M56" s="185" t="s">
        <v>150</v>
      </c>
      <c r="N56" s="185" t="str">
        <f t="shared" ca="1" si="55"/>
        <v>Offererad produktnr. 08Atea Sverige AB</v>
      </c>
      <c r="O56" s="185" cm="1">
        <f t="array" aca="1" ref="O56" ca="1">MIN(IF(($BY$55:$BY$78=M56)*($AM$55:$AM$78=$O$52),$Z$55:$Z$78))</f>
        <v>5254</v>
      </c>
      <c r="P56" s="197">
        <f ca="1">SMALL($Z$55:$Z$80,2)</f>
        <v>2084</v>
      </c>
      <c r="Q56" s="185">
        <f t="shared" si="56"/>
        <v>0</v>
      </c>
      <c r="R56" s="185">
        <f t="shared" si="57"/>
        <v>0</v>
      </c>
      <c r="S56" s="185">
        <f t="shared" si="58"/>
        <v>0</v>
      </c>
      <c r="T56" s="185">
        <f t="shared" si="59"/>
        <v>0</v>
      </c>
      <c r="U56" s="185">
        <f t="shared" si="60"/>
        <v>0</v>
      </c>
      <c r="V56" s="185">
        <f t="shared" si="61"/>
        <v>0</v>
      </c>
      <c r="W56" s="185">
        <f t="shared" si="62"/>
        <v>0</v>
      </c>
      <c r="X56" s="185">
        <f t="shared" si="63"/>
        <v>0</v>
      </c>
      <c r="Y56" s="185">
        <f t="shared" si="64"/>
        <v>0</v>
      </c>
      <c r="Z56" s="196">
        <f t="shared" ca="1" si="65"/>
        <v>4238</v>
      </c>
      <c r="AA56" s="185" t="str">
        <f t="shared" si="66"/>
        <v>Offererad produktnr. 08Advania Sverige AB</v>
      </c>
      <c r="AB56" s="185" t="b">
        <f>IF(D56="",TRUE,IF(COUNTIF(Processor!$M$2:$M$3,D56)=0,IF(AN56=D56,TRUE,FALSE),IF(COUNTIF(AN56,INDEX(Processor!$N$2:$N$3,MATCH(Surfplattor!D56,Processor!$M$2:$M$3,0)))&gt;0,TRUE,FALSE)))</f>
        <v>1</v>
      </c>
      <c r="AC56" s="185" t="b">
        <f>IF($D$57="",TRUE,IF(COUNTIF(Processor!$I$2:$I$9,$D$57)&gt;0,AND(AO56&gt;INDEX(Processor!$J$2:$J$9,MATCH($D$57,Processor!$I$2:$I$9,0)),AO56&lt;INDEX(Processor!$K$2:$K$9,MATCH($D$57,Processor!$I$2:$I$9,0))),IF(AO56=$D$57,TRUE,FALSE)))</f>
        <v>1</v>
      </c>
      <c r="AD56" s="185" t="b">
        <f t="shared" si="67"/>
        <v>1</v>
      </c>
      <c r="AE56" s="185" t="b">
        <f t="shared" si="68"/>
        <v>1</v>
      </c>
      <c r="AF56" s="185" t="b">
        <f t="shared" si="69"/>
        <v>1</v>
      </c>
      <c r="AG56" s="185" t="b">
        <f t="shared" si="70"/>
        <v>1</v>
      </c>
      <c r="AH56" s="185" t="b">
        <f>IF($D$62="",TRUE,IF(INDEX(Processor!$C$14:$C$20,MATCH(LEFT(AT56,10)&amp;"",Processor!$A$14:$A$20,0))&gt;=INDEX(Processor!$C$14:$C$20,MATCH(LEFT($D$62,10)&amp;"",Processor!$A$14:$A$20,0)),TRUE,FALSE))</f>
        <v>1</v>
      </c>
      <c r="AI56" s="185" t="b">
        <f t="shared" si="71"/>
        <v>1</v>
      </c>
      <c r="AJ56" s="185"/>
      <c r="AK56" s="185"/>
      <c r="AL56" s="185" t="s">
        <v>205</v>
      </c>
      <c r="AM56" s="185">
        <v>1</v>
      </c>
      <c r="AN56" s="185" t="str">
        <f t="shared" ca="1" si="72"/>
        <v>iPadOS 14</v>
      </c>
      <c r="AO56" s="185">
        <f t="shared" ca="1" si="72"/>
        <v>10.199999999999999</v>
      </c>
      <c r="AP56" s="185" t="str">
        <f t="shared" ca="1" si="72"/>
        <v>2160x1620</v>
      </c>
      <c r="AQ56" s="185">
        <f t="shared" ca="1" si="72"/>
        <v>64</v>
      </c>
      <c r="AR56" s="185">
        <f t="shared" ca="1" si="72"/>
        <v>4.2</v>
      </c>
      <c r="AS56" s="185" t="str">
        <f t="shared" ca="1" si="72"/>
        <v>802.11a/b/g/n/ac</v>
      </c>
      <c r="AT56" s="185">
        <f t="shared" ca="1" si="72"/>
        <v>10</v>
      </c>
      <c r="AU56" s="185" t="str">
        <f t="shared" ca="1" si="72"/>
        <v>EPEAT Gold</v>
      </c>
      <c r="AV56" s="185" t="str">
        <f t="shared" ca="1" si="72"/>
        <v>802.11a/b/g/n/ac</v>
      </c>
      <c r="AW56" s="185">
        <f t="shared" ca="1" si="72"/>
        <v>4.2</v>
      </c>
      <c r="AX56" s="185">
        <f t="shared" ca="1" si="73"/>
        <v>10</v>
      </c>
      <c r="AY56" s="185" t="str">
        <f t="shared" ca="1" si="73"/>
        <v>10.2-inch iPad Wi-Fi 64GB</v>
      </c>
      <c r="AZ56" s="185">
        <f t="shared" ca="1" si="73"/>
        <v>0</v>
      </c>
      <c r="BA56" s="185" t="str">
        <f t="shared" ca="1" si="73"/>
        <v>iPadOS 14</v>
      </c>
      <c r="BB56" s="185">
        <f t="shared" ca="1" si="73"/>
        <v>4238</v>
      </c>
      <c r="BC56" s="185">
        <f t="shared" ca="1" si="73"/>
        <v>4238</v>
      </c>
      <c r="BD56" s="192" t="str">
        <f t="shared" ca="1" si="73"/>
        <v>eSTUFF</v>
      </c>
      <c r="BE56" s="192" t="str">
        <f t="shared" ca="1" si="73"/>
        <v>eSTUFF</v>
      </c>
      <c r="BF56" s="192" t="str">
        <f t="shared" ca="1" si="73"/>
        <v>DELTACO</v>
      </c>
      <c r="BG56" s="192" t="str">
        <f t="shared" ca="1" si="73"/>
        <v>DELTACO</v>
      </c>
      <c r="BH56" s="192" t="str">
        <f t="shared" ca="1" si="74"/>
        <v xml:space="preserve">ZAGG </v>
      </c>
      <c r="BI56" s="192" t="str">
        <f t="shared" ca="1" si="74"/>
        <v>ES682335-BULK - Baksidesskydd för surfplatta</v>
      </c>
      <c r="BJ56" s="192" t="str">
        <f t="shared" ca="1" si="74"/>
        <v>ES503200 - Titan Shield - skärmskydd för mobiltelefon</v>
      </c>
      <c r="BK56" s="192" t="str">
        <f t="shared" ca="1" si="74"/>
        <v xml:space="preserve">USBC-AC141 </v>
      </c>
      <c r="BL56" s="192" t="str">
        <f t="shared" ca="1" si="74"/>
        <v>TB-631</v>
      </c>
      <c r="BM56" s="192" t="str">
        <f t="shared" ca="1" si="74"/>
        <v>109912139 - Pro Stylus 2 - Aktiv penna - grå</v>
      </c>
      <c r="BN56" s="192">
        <f t="shared" ca="1" si="74"/>
        <v>181</v>
      </c>
      <c r="BO56" s="192">
        <f t="shared" ca="1" si="74"/>
        <v>219</v>
      </c>
      <c r="BP56" s="192">
        <f t="shared" ca="1" si="74"/>
        <v>144</v>
      </c>
      <c r="BQ56" s="192">
        <f t="shared" ca="1" si="74"/>
        <v>169</v>
      </c>
      <c r="BR56" s="192">
        <f t="shared" ca="1" si="74"/>
        <v>595</v>
      </c>
      <c r="BS56" s="192">
        <f t="shared" ca="1" si="74"/>
        <v>781</v>
      </c>
      <c r="BT56" s="192">
        <f t="shared" ca="1" si="74"/>
        <v>50</v>
      </c>
      <c r="BU56" s="192">
        <f t="shared" ca="1" si="74"/>
        <v>50</v>
      </c>
      <c r="BV56" s="192">
        <f t="shared" ca="1" si="74"/>
        <v>0</v>
      </c>
      <c r="BW56" s="192"/>
      <c r="BX56" s="192"/>
      <c r="BY56" s="192" t="str">
        <f t="shared" ca="1" si="75"/>
        <v>Advania Sverige AB</v>
      </c>
      <c r="BZ56" s="192" t="str">
        <f t="shared" ca="1" si="75"/>
        <v>Apple</v>
      </c>
      <c r="CA56" s="200" t="s">
        <v>141</v>
      </c>
      <c r="CB56" s="185">
        <v>128</v>
      </c>
      <c r="CC56" s="185">
        <v>4.2</v>
      </c>
      <c r="CD56" s="185" t="s">
        <v>86</v>
      </c>
      <c r="CE56" s="185" t="s">
        <v>353</v>
      </c>
      <c r="CF56" s="185" t="s">
        <v>164</v>
      </c>
      <c r="CG56" s="185" t="s">
        <v>470</v>
      </c>
      <c r="CH56" s="192" t="s">
        <v>142</v>
      </c>
      <c r="CI56" s="185" t="s">
        <v>86</v>
      </c>
      <c r="CJ56" s="185">
        <v>4.2</v>
      </c>
      <c r="CK56" s="185" t="s">
        <v>164</v>
      </c>
      <c r="CL56" s="185" t="s">
        <v>352</v>
      </c>
      <c r="CM56" s="185" t="s">
        <v>69</v>
      </c>
      <c r="CN56" s="185" t="s">
        <v>83</v>
      </c>
    </row>
    <row r="57" spans="2:92" ht="22.5" customHeight="1" outlineLevel="1" x14ac:dyDescent="0.35">
      <c r="C57" s="61" t="s">
        <v>7</v>
      </c>
      <c r="D57" s="64"/>
      <c r="F57" s="78" t="str">
        <f t="shared" si="76"/>
        <v/>
      </c>
      <c r="G57" s="79">
        <f t="shared" ca="1" si="77"/>
        <v>10.3</v>
      </c>
      <c r="H57" s="79">
        <f t="shared" ca="1" si="77"/>
        <v>10.1</v>
      </c>
      <c r="I57" s="120">
        <f t="shared" ca="1" si="77"/>
        <v>10.199999999999999</v>
      </c>
      <c r="J57" s="62"/>
      <c r="K57" s="185">
        <f t="shared" ca="1" si="53"/>
        <v>0</v>
      </c>
      <c r="L57" s="185" t="b">
        <f t="shared" si="54"/>
        <v>1</v>
      </c>
      <c r="M57" s="185" t="s">
        <v>128</v>
      </c>
      <c r="N57" s="185" t="str">
        <f t="shared" ca="1" si="55"/>
        <v>Offererad produktnr. 07Dustin Sverige AB</v>
      </c>
      <c r="O57" s="185" cm="1">
        <f t="array" aca="1" ref="O57" ca="1">MIN(IF(($BY$55:$BY$78=M57)*($AM$55:$AM$78=$O$52),$Z$55:$Z$78))</f>
        <v>3261</v>
      </c>
      <c r="P57" s="197">
        <f ca="1">SMALL($Z$55:$Z$80,3)</f>
        <v>3205</v>
      </c>
      <c r="Q57" s="185">
        <f t="shared" si="56"/>
        <v>0</v>
      </c>
      <c r="R57" s="185">
        <f t="shared" si="57"/>
        <v>0</v>
      </c>
      <c r="S57" s="185">
        <f t="shared" si="58"/>
        <v>0</v>
      </c>
      <c r="T57" s="185">
        <f t="shared" si="59"/>
        <v>0</v>
      </c>
      <c r="U57" s="185">
        <f t="shared" si="60"/>
        <v>0</v>
      </c>
      <c r="V57" s="185">
        <f t="shared" si="61"/>
        <v>0</v>
      </c>
      <c r="W57" s="185">
        <f t="shared" si="62"/>
        <v>0</v>
      </c>
      <c r="X57" s="185">
        <f t="shared" si="63"/>
        <v>0</v>
      </c>
      <c r="Y57" s="185">
        <f t="shared" si="64"/>
        <v>0</v>
      </c>
      <c r="Z57" s="196">
        <f t="shared" ca="1" si="65"/>
        <v>8671</v>
      </c>
      <c r="AA57" s="185" t="str">
        <f t="shared" si="66"/>
        <v>Offererad produktnr. 09Advania Sverige AB</v>
      </c>
      <c r="AB57" s="185" t="b">
        <f>IF(D56="",TRUE,IF(COUNTIF(Processor!$M$2:$M$3,D56)=0,IF(AN57=D56,TRUE,FALSE),IF(COUNTIF(AN57,INDEX(Processor!$N$2:$N$3,MATCH(Surfplattor!D56,Processor!$M$2:$M$3,0)))&gt;0,TRUE,FALSE)))</f>
        <v>1</v>
      </c>
      <c r="AC57" s="185" t="b">
        <f>IF($D$57="",TRUE,IF(COUNTIF(Processor!$I$2:$I$9,$D$57)&gt;0,AND(AO57&gt;INDEX(Processor!$J$2:$J$9,MATCH($D$57,Processor!$I$2:$I$9,0)),AO57&lt;INDEX(Processor!$K$2:$K$9,MATCH($D$57,Processor!$I$2:$I$9,0))),IF(AO57=$D$57,TRUE,FALSE)))</f>
        <v>1</v>
      </c>
      <c r="AD57" s="185" t="b">
        <f t="shared" si="67"/>
        <v>1</v>
      </c>
      <c r="AE57" s="185" t="b">
        <f t="shared" si="68"/>
        <v>1</v>
      </c>
      <c r="AF57" s="185" t="b">
        <f t="shared" si="69"/>
        <v>1</v>
      </c>
      <c r="AG57" s="185" t="b">
        <f t="shared" si="70"/>
        <v>1</v>
      </c>
      <c r="AH57" s="185" t="b">
        <f>IF($D$62="",TRUE,IF(INDEX(Processor!$C$14:$C$20,MATCH(LEFT(AT57,10)&amp;"",Processor!$A$14:$A$20,0))&gt;=INDEX(Processor!$C$14:$C$20,MATCH(LEFT($D$62,10)&amp;"",Processor!$A$14:$A$20,0)),TRUE,FALSE))</f>
        <v>1</v>
      </c>
      <c r="AI57" s="185" t="b">
        <f t="shared" si="71"/>
        <v>1</v>
      </c>
      <c r="AJ57" s="185"/>
      <c r="AK57" s="185"/>
      <c r="AL57" s="185" t="s">
        <v>206</v>
      </c>
      <c r="AM57" s="185">
        <v>1</v>
      </c>
      <c r="AN57" s="185" t="str">
        <f t="shared" ca="1" si="72"/>
        <v>Android 11</v>
      </c>
      <c r="AO57" s="185">
        <f t="shared" ca="1" si="72"/>
        <v>11</v>
      </c>
      <c r="AP57" s="185" t="str">
        <f t="shared" ca="1" si="72"/>
        <v>2560x1600</v>
      </c>
      <c r="AQ57" s="185">
        <f t="shared" ca="1" si="72"/>
        <v>128</v>
      </c>
      <c r="AR57" s="185">
        <f t="shared" ca="1" si="72"/>
        <v>5.3</v>
      </c>
      <c r="AS57" s="185" t="str">
        <f t="shared" ca="1" si="72"/>
        <v>802.11a/b/g/n/ac/ax</v>
      </c>
      <c r="AT57" s="185">
        <f t="shared" ca="1" si="72"/>
        <v>13</v>
      </c>
      <c r="AU57" s="185" t="str">
        <f t="shared" ca="1" si="72"/>
        <v>Ej miljömärkt</v>
      </c>
      <c r="AV57" s="185" t="str">
        <f t="shared" ca="1" si="72"/>
        <v>802.11a/b/g/n/ac/ax</v>
      </c>
      <c r="AW57" s="185">
        <f t="shared" ca="1" si="72"/>
        <v>5.3</v>
      </c>
      <c r="AX57" s="185">
        <f t="shared" ca="1" si="73"/>
        <v>13</v>
      </c>
      <c r="AY57" s="185" t="str">
        <f t="shared" ca="1" si="73"/>
        <v>Samsung Galaxy Tab S9</v>
      </c>
      <c r="AZ57" s="185">
        <f t="shared" ca="1" si="73"/>
        <v>0</v>
      </c>
      <c r="BA57" s="185" t="str">
        <f t="shared" ca="1" si="73"/>
        <v>Android 11</v>
      </c>
      <c r="BB57" s="185">
        <f t="shared" ca="1" si="73"/>
        <v>8671</v>
      </c>
      <c r="BC57" s="185">
        <f t="shared" ca="1" si="73"/>
        <v>8671</v>
      </c>
      <c r="BD57" s="192" t="str">
        <f t="shared" ca="1" si="73"/>
        <v>Insmat</v>
      </c>
      <c r="BE57" s="192" t="str">
        <f t="shared" ca="1" si="73"/>
        <v>Samsung</v>
      </c>
      <c r="BF57" s="192" t="str">
        <f t="shared" ca="1" si="73"/>
        <v>CoreParts</v>
      </c>
      <c r="BG57" s="192" t="str">
        <f t="shared" ca="1" si="73"/>
        <v>DELTACO</v>
      </c>
      <c r="BH57" s="192" t="str">
        <f t="shared" ca="1" si="74"/>
        <v>Samsung</v>
      </c>
      <c r="BI57" s="192" t="str">
        <f t="shared" ca="1" si="74"/>
        <v xml:space="preserve">652-1287 - Baksidesskydd för surfplatta - robust - rugged armor </v>
      </c>
      <c r="BJ57" s="192" t="str">
        <f t="shared" ca="1" si="74"/>
        <v>EF-UX710CTEGWW - EF-UX710 - Skärmskydd för surfplatta</v>
      </c>
      <c r="BK57" s="192" t="str">
        <f t="shared" ca="1" si="74"/>
        <v>MBXUSB-AC0011 - Strömadapter - 12 Watt - 2.4 A (USB) - på kabel: USB-C - vit - med USB-C cable (2m)</v>
      </c>
      <c r="BL57" s="192" t="str">
        <f t="shared" ca="1" si="74"/>
        <v>TB-631</v>
      </c>
      <c r="BM57" s="192" t="str">
        <f t="shared" ca="1" si="74"/>
        <v>EJ-PX710BBEGEU - S Pen - Aktiv penna - Bluetooth</v>
      </c>
      <c r="BN57" s="192">
        <f t="shared" ca="1" si="74"/>
        <v>174</v>
      </c>
      <c r="BO57" s="192">
        <f t="shared" ca="1" si="74"/>
        <v>219</v>
      </c>
      <c r="BP57" s="192">
        <f t="shared" ca="1" si="74"/>
        <v>108</v>
      </c>
      <c r="BQ57" s="192">
        <f t="shared" ca="1" si="74"/>
        <v>169</v>
      </c>
      <c r="BR57" s="192">
        <f t="shared" ca="1" si="74"/>
        <v>295</v>
      </c>
      <c r="BS57" s="192">
        <f t="shared" ca="1" si="74"/>
        <v>269</v>
      </c>
      <c r="BT57" s="192">
        <f t="shared" ca="1" si="74"/>
        <v>50</v>
      </c>
      <c r="BU57" s="192">
        <f t="shared" ca="1" si="74"/>
        <v>50</v>
      </c>
      <c r="BV57" s="192">
        <f t="shared" ca="1" si="74"/>
        <v>0</v>
      </c>
      <c r="BW57" s="192"/>
      <c r="BX57" s="192"/>
      <c r="BY57" s="192" t="str">
        <f t="shared" ca="1" si="75"/>
        <v>Advania Sverige AB</v>
      </c>
      <c r="BZ57" s="192" t="str">
        <f t="shared" ca="1" si="75"/>
        <v>Samsung</v>
      </c>
      <c r="CA57" s="199" t="s">
        <v>90</v>
      </c>
      <c r="CB57" s="185">
        <v>0</v>
      </c>
      <c r="CC57" s="186">
        <v>5</v>
      </c>
      <c r="CD57" s="185"/>
      <c r="CE57" s="185">
        <v>10.199999999999999</v>
      </c>
      <c r="CF57" s="185" t="s">
        <v>144</v>
      </c>
      <c r="CG57" s="185" t="s">
        <v>96</v>
      </c>
      <c r="CH57" s="185" t="s">
        <v>94</v>
      </c>
      <c r="CI57" s="185"/>
      <c r="CJ57" s="186">
        <v>5</v>
      </c>
      <c r="CK57" s="185" t="s">
        <v>144</v>
      </c>
      <c r="CL57" s="185"/>
      <c r="CM57" s="185"/>
      <c r="CN57" s="185" t="s">
        <v>91</v>
      </c>
    </row>
    <row r="58" spans="2:92" ht="22.5" customHeight="1" outlineLevel="1" x14ac:dyDescent="0.35">
      <c r="C58" s="61" t="s">
        <v>2</v>
      </c>
      <c r="D58" s="64"/>
      <c r="F58" s="78" t="str">
        <f t="shared" si="76"/>
        <v/>
      </c>
      <c r="G58" s="79" t="str">
        <f t="shared" ca="1" si="77"/>
        <v>1920x1200</v>
      </c>
      <c r="H58" s="79" t="str">
        <f t="shared" ca="1" si="77"/>
        <v>1920x1200</v>
      </c>
      <c r="I58" s="120" t="str">
        <f t="shared" ca="1" si="77"/>
        <v>2160x1620</v>
      </c>
      <c r="J58" s="62"/>
      <c r="K58" s="185">
        <f t="shared" ca="1" si="53"/>
        <v>0</v>
      </c>
      <c r="L58" s="185" t="b">
        <f t="shared" si="54"/>
        <v>1</v>
      </c>
      <c r="M58" s="185" t="s">
        <v>169</v>
      </c>
      <c r="N58" s="185" t="str">
        <f t="shared" ca="1" si="55"/>
        <v>Offererad produktnr. 08Foxway Education AB</v>
      </c>
      <c r="O58" s="185" cm="1">
        <f t="array" aca="1" ref="O58" ca="1">MIN(IF(($BY$55:$BY$78=M58)*($AM$55:$AM$78=$O$52),$Z$55:$Z$78))</f>
        <v>3894</v>
      </c>
      <c r="P58" s="197"/>
      <c r="Q58" s="185">
        <f t="shared" si="56"/>
        <v>0</v>
      </c>
      <c r="R58" s="185">
        <f t="shared" si="57"/>
        <v>0</v>
      </c>
      <c r="S58" s="185">
        <f t="shared" si="58"/>
        <v>0</v>
      </c>
      <c r="T58" s="185">
        <f t="shared" si="59"/>
        <v>0</v>
      </c>
      <c r="U58" s="185">
        <f t="shared" si="60"/>
        <v>0</v>
      </c>
      <c r="V58" s="185">
        <f t="shared" si="61"/>
        <v>0</v>
      </c>
      <c r="W58" s="185">
        <f t="shared" si="62"/>
        <v>0</v>
      </c>
      <c r="X58" s="185">
        <f t="shared" si="63"/>
        <v>0</v>
      </c>
      <c r="Y58" s="185">
        <f t="shared" si="64"/>
        <v>0</v>
      </c>
      <c r="Z58" s="196">
        <f t="shared" ca="1" si="65"/>
        <v>6116</v>
      </c>
      <c r="AA58" s="185" t="str">
        <f t="shared" si="66"/>
        <v>Offererad produktnr. 10Advania Sverige AB</v>
      </c>
      <c r="AB58" s="185" t="b">
        <f>IF(D56="",TRUE,IF(COUNTIF(Processor!$M$2:$M$3,D56)=0,IF(AN58=D56,TRUE,FALSE),IF(COUNTIF(AN58,INDEX(Processor!$N$2:$N$3,MATCH(Surfplattor!D56,Processor!$M$2:$M$3,0)))&gt;0,TRUE,FALSE)))</f>
        <v>1</v>
      </c>
      <c r="AC58" s="185" t="b">
        <f>IF($D$57="",TRUE,IF(COUNTIF(Processor!$I$2:$I$9,$D$57)&gt;0,AND(AO58&gt;INDEX(Processor!$J$2:$J$9,MATCH($D$57,Processor!$I$2:$I$9,0)),AO58&lt;INDEX(Processor!$K$2:$K$9,MATCH($D$57,Processor!$I$2:$I$9,0))),IF(AO58=$D$57,TRUE,FALSE)))</f>
        <v>1</v>
      </c>
      <c r="AD58" s="185" t="b">
        <f t="shared" si="67"/>
        <v>1</v>
      </c>
      <c r="AE58" s="185" t="b">
        <f t="shared" si="68"/>
        <v>1</v>
      </c>
      <c r="AF58" s="185" t="b">
        <f t="shared" si="69"/>
        <v>1</v>
      </c>
      <c r="AG58" s="185" t="b">
        <f t="shared" si="70"/>
        <v>1</v>
      </c>
      <c r="AH58" s="185" t="b">
        <f>IF($D$62="",TRUE,IF(INDEX(Processor!$C$14:$C$20,MATCH(LEFT(AT58,10)&amp;"",Processor!$A$14:$A$20,0))&gt;=INDEX(Processor!$C$14:$C$20,MATCH(LEFT($D$62,10)&amp;"",Processor!$A$14:$A$20,0)),TRUE,FALSE))</f>
        <v>1</v>
      </c>
      <c r="AI58" s="185" t="b">
        <f t="shared" si="71"/>
        <v>1</v>
      </c>
      <c r="AJ58" s="185"/>
      <c r="AK58" s="185"/>
      <c r="AL58" s="185" t="s">
        <v>207</v>
      </c>
      <c r="AM58" s="185">
        <v>1</v>
      </c>
      <c r="AN58" s="185" t="str">
        <f t="shared" ca="1" si="72"/>
        <v>Android 11</v>
      </c>
      <c r="AO58" s="185">
        <f t="shared" ca="1" si="72"/>
        <v>11</v>
      </c>
      <c r="AP58" s="185" t="str">
        <f t="shared" ca="1" si="72"/>
        <v>2560x1600</v>
      </c>
      <c r="AQ58" s="185">
        <f t="shared" ca="1" si="72"/>
        <v>128</v>
      </c>
      <c r="AR58" s="185">
        <f t="shared" ca="1" si="72"/>
        <v>5.2</v>
      </c>
      <c r="AS58" s="185" t="str">
        <f t="shared" ca="1" si="72"/>
        <v>802.11a/b/g/n/ac/ax</v>
      </c>
      <c r="AT58" s="185">
        <f t="shared" ca="1" si="72"/>
        <v>13</v>
      </c>
      <c r="AU58" s="185" t="str">
        <f t="shared" ca="1" si="72"/>
        <v>Ej miljömärkt</v>
      </c>
      <c r="AV58" s="185" t="str">
        <f t="shared" ca="1" si="72"/>
        <v>802.11a/b/g/n/ac/ax</v>
      </c>
      <c r="AW58" s="185">
        <f t="shared" ca="1" si="72"/>
        <v>5.2</v>
      </c>
      <c r="AX58" s="185">
        <f t="shared" ca="1" si="73"/>
        <v>13</v>
      </c>
      <c r="AY58" s="185" t="str">
        <f t="shared" ca="1" si="73"/>
        <v>Samsung Galaxy Tab S8</v>
      </c>
      <c r="AZ58" s="185">
        <f t="shared" ca="1" si="73"/>
        <v>0</v>
      </c>
      <c r="BA58" s="185" t="str">
        <f t="shared" ca="1" si="73"/>
        <v>Android 11</v>
      </c>
      <c r="BB58" s="185">
        <f t="shared" ca="1" si="73"/>
        <v>6116</v>
      </c>
      <c r="BC58" s="185">
        <f t="shared" ca="1" si="73"/>
        <v>6116</v>
      </c>
      <c r="BD58" s="192" t="str">
        <f t="shared" ca="1" si="73"/>
        <v>Insmat</v>
      </c>
      <c r="BE58" s="192" t="str">
        <f t="shared" ca="1" si="73"/>
        <v>Tolerate</v>
      </c>
      <c r="BF58" s="192" t="str">
        <f t="shared" ca="1" si="73"/>
        <v>CoreParts</v>
      </c>
      <c r="BG58" s="192" t="str">
        <f t="shared" ca="1" si="73"/>
        <v>DELTACO</v>
      </c>
      <c r="BH58" s="192" t="str">
        <f t="shared" ca="1" si="74"/>
        <v xml:space="preserve">ZAGG </v>
      </c>
      <c r="BI58" s="192" t="str">
        <f t="shared" ca="1" si="74"/>
        <v xml:space="preserve">652-1287 - Baksidesskydd för surfplatta - robust - rugged armor </v>
      </c>
      <c r="BJ58" s="192" t="str">
        <f t="shared" ca="1" si="74"/>
        <v>ED600189 - Skärmskydd för surfplatta</v>
      </c>
      <c r="BK58" s="192" t="str">
        <f t="shared" ca="1" si="74"/>
        <v>MBXUSB-AC0011 - Strömadapter - 12 Watt - 2.4 A (USB) - på kabel: USB-C - vit - med USB-C cable (2m)</v>
      </c>
      <c r="BL58" s="192" t="str">
        <f t="shared" ca="1" si="74"/>
        <v>TB-631</v>
      </c>
      <c r="BM58" s="192" t="str">
        <f t="shared" ca="1" si="74"/>
        <v>109912139 - Pro Stylus 2 - Aktiv penna - grå</v>
      </c>
      <c r="BN58" s="192">
        <f t="shared" ca="1" si="74"/>
        <v>181</v>
      </c>
      <c r="BO58" s="192">
        <f t="shared" ca="1" si="74"/>
        <v>228</v>
      </c>
      <c r="BP58" s="192">
        <f t="shared" ca="1" si="74"/>
        <v>108</v>
      </c>
      <c r="BQ58" s="192">
        <f t="shared" ca="1" si="74"/>
        <v>169</v>
      </c>
      <c r="BR58" s="192">
        <f t="shared" ca="1" si="74"/>
        <v>595</v>
      </c>
      <c r="BS58" s="192">
        <f t="shared" ca="1" si="74"/>
        <v>781</v>
      </c>
      <c r="BT58" s="192">
        <f t="shared" ca="1" si="74"/>
        <v>50</v>
      </c>
      <c r="BU58" s="192">
        <f t="shared" ca="1" si="74"/>
        <v>50</v>
      </c>
      <c r="BV58" s="192">
        <f t="shared" ca="1" si="74"/>
        <v>0</v>
      </c>
      <c r="BW58" s="192"/>
      <c r="BX58" s="192"/>
      <c r="BY58" s="192" t="str">
        <f t="shared" ca="1" si="75"/>
        <v>Advania Sverige AB</v>
      </c>
      <c r="BZ58" s="192" t="str">
        <f t="shared" ca="1" si="75"/>
        <v>Samsung</v>
      </c>
      <c r="CA58" s="199" t="s">
        <v>95</v>
      </c>
      <c r="CB58" s="185"/>
      <c r="CC58" s="185"/>
      <c r="CD58" s="185"/>
      <c r="CE58" s="185">
        <v>10.3</v>
      </c>
      <c r="CF58" s="185" t="s">
        <v>130</v>
      </c>
      <c r="CG58" s="185" t="s">
        <v>530</v>
      </c>
      <c r="CH58" s="185" t="s">
        <v>171</v>
      </c>
      <c r="CI58" s="185"/>
      <c r="CJ58" s="185">
        <v>5.2</v>
      </c>
      <c r="CK58" s="185" t="s">
        <v>130</v>
      </c>
      <c r="CL58" s="185"/>
      <c r="CM58" s="185"/>
      <c r="CN58" s="185" t="s">
        <v>96</v>
      </c>
    </row>
    <row r="59" spans="2:92" ht="22.5" customHeight="1" outlineLevel="1" x14ac:dyDescent="0.35">
      <c r="C59" s="61" t="s">
        <v>17</v>
      </c>
      <c r="D59" s="64"/>
      <c r="F59" s="78" t="str">
        <f t="shared" si="76"/>
        <v/>
      </c>
      <c r="G59" s="79">
        <f t="shared" ca="1" si="77"/>
        <v>64</v>
      </c>
      <c r="H59" s="79">
        <f t="shared" ca="1" si="77"/>
        <v>64</v>
      </c>
      <c r="I59" s="120">
        <f t="shared" ca="1" si="77"/>
        <v>64</v>
      </c>
      <c r="J59" s="62"/>
      <c r="K59" s="185">
        <f t="shared" ca="1" si="53"/>
        <v>0</v>
      </c>
      <c r="L59" s="185" t="b">
        <f t="shared" si="54"/>
        <v>1</v>
      </c>
      <c r="M59" s="185" t="s">
        <v>167</v>
      </c>
      <c r="N59" s="185" t="str">
        <f t="shared" ca="1" si="55"/>
        <v/>
      </c>
      <c r="O59" s="185" cm="1">
        <f t="array" aca="1" ref="O59" ca="1">MIN(IF(($BY$55:$BY$78=M59)*($AM$55:$AM$78=$O$52),$Z$55:$Z$78))</f>
        <v>0</v>
      </c>
      <c r="P59" s="197"/>
      <c r="Q59" s="185">
        <f t="shared" si="56"/>
        <v>0</v>
      </c>
      <c r="R59" s="185">
        <f t="shared" si="57"/>
        <v>0</v>
      </c>
      <c r="S59" s="185">
        <f t="shared" si="58"/>
        <v>0</v>
      </c>
      <c r="T59" s="185">
        <f t="shared" si="59"/>
        <v>0</v>
      </c>
      <c r="U59" s="185">
        <f t="shared" si="60"/>
        <v>0</v>
      </c>
      <c r="V59" s="185">
        <f t="shared" si="61"/>
        <v>0</v>
      </c>
      <c r="W59" s="185">
        <f t="shared" si="62"/>
        <v>0</v>
      </c>
      <c r="X59" s="185">
        <f t="shared" si="63"/>
        <v>0</v>
      </c>
      <c r="Y59" s="185">
        <f t="shared" si="64"/>
        <v>0</v>
      </c>
      <c r="Z59" s="196">
        <f t="shared" ca="1" si="65"/>
        <v>9140</v>
      </c>
      <c r="AA59" s="185" t="str">
        <f t="shared" si="66"/>
        <v>Offererad produktnr. 07Atea Sverige AB</v>
      </c>
      <c r="AB59" s="185" t="b">
        <f>IF(D56="",TRUE,IF(COUNTIF(Processor!$M$2:$M$3,D56)=0,IF(AN59=D56,TRUE,FALSE),IF(COUNTIF(AN59,INDEX(Processor!$N$2:$N$3,MATCH(Surfplattor!D56,Processor!$M$2:$M$3,0)))&gt;0,TRUE,FALSE)))</f>
        <v>1</v>
      </c>
      <c r="AC59" s="185" t="b">
        <f>IF($D$57="",TRUE,IF(COUNTIF(Processor!$I$2:$I$9,$D$57)&gt;0,AND(AO59&gt;INDEX(Processor!$J$2:$J$9,MATCH($D$57,Processor!$I$2:$I$9,0)),AO59&lt;INDEX(Processor!$K$2:$K$9,MATCH($D$57,Processor!$I$2:$I$9,0))),IF(AO59=$D$57,TRUE,FALSE)))</f>
        <v>1</v>
      </c>
      <c r="AD59" s="185" t="b">
        <f t="shared" si="67"/>
        <v>1</v>
      </c>
      <c r="AE59" s="185" t="b">
        <f t="shared" si="68"/>
        <v>1</v>
      </c>
      <c r="AF59" s="185" t="b">
        <f t="shared" si="69"/>
        <v>1</v>
      </c>
      <c r="AG59" s="185" t="b">
        <f t="shared" si="70"/>
        <v>1</v>
      </c>
      <c r="AH59" s="185" t="b">
        <f>IF($D$62="",TRUE,IF(INDEX(Processor!$C$14:$C$20,MATCH(LEFT(AT59,10)&amp;"",Processor!$A$14:$A$20,0))&gt;=INDEX(Processor!$C$14:$C$20,MATCH(LEFT($D$62,10)&amp;"",Processor!$A$14:$A$20,0)),TRUE,FALSE))</f>
        <v>1</v>
      </c>
      <c r="AI59" s="185" t="b">
        <f t="shared" si="71"/>
        <v>1</v>
      </c>
      <c r="AJ59" s="185"/>
      <c r="AK59" s="185"/>
      <c r="AL59" s="185" t="s">
        <v>192</v>
      </c>
      <c r="AM59" s="185">
        <v>1</v>
      </c>
      <c r="AN59" s="185" t="str">
        <f t="shared" ca="1" si="72"/>
        <v>iPadOS 15</v>
      </c>
      <c r="AO59" s="185">
        <f t="shared" ca="1" si="72"/>
        <v>10.9</v>
      </c>
      <c r="AP59" s="185" t="str">
        <f t="shared" ca="1" si="72"/>
        <v>2360x1640</v>
      </c>
      <c r="AQ59" s="185">
        <f t="shared" ca="1" si="72"/>
        <v>64</v>
      </c>
      <c r="AR59" s="185">
        <f t="shared" ca="1" si="72"/>
        <v>5</v>
      </c>
      <c r="AS59" s="185" t="str">
        <f t="shared" ca="1" si="72"/>
        <v>802.11a/b/g/n/ac/ax</v>
      </c>
      <c r="AT59" s="185">
        <f t="shared" ca="1" si="72"/>
        <v>10</v>
      </c>
      <c r="AU59" s="185" t="str">
        <f t="shared" ca="1" si="72"/>
        <v>EPEAT Gold</v>
      </c>
      <c r="AV59" s="185" t="str">
        <f t="shared" ca="1" si="72"/>
        <v>802.11a/b/g/n/ac/ax</v>
      </c>
      <c r="AW59" s="185">
        <f t="shared" ca="1" si="72"/>
        <v>5</v>
      </c>
      <c r="AX59" s="185">
        <f t="shared" ca="1" si="73"/>
        <v>10</v>
      </c>
      <c r="AY59" s="185" t="str">
        <f t="shared" ca="1" si="73"/>
        <v>10.9-inch iPad Air Wi-Fi 5th Gen</v>
      </c>
      <c r="AZ59" s="185">
        <f t="shared" ca="1" si="73"/>
        <v>0</v>
      </c>
      <c r="BA59" s="185" t="str">
        <f t="shared" ca="1" si="73"/>
        <v>iPadOS 15</v>
      </c>
      <c r="BB59" s="185">
        <f t="shared" ca="1" si="73"/>
        <v>9140</v>
      </c>
      <c r="BC59" s="185">
        <f t="shared" ca="1" si="73"/>
        <v>9140</v>
      </c>
      <c r="BD59" s="192" t="str">
        <f t="shared" ca="1" si="73"/>
        <v>ZAGG</v>
      </c>
      <c r="BE59" s="192" t="str">
        <f t="shared" ca="1" si="73"/>
        <v>ZAGG</v>
      </c>
      <c r="BF59" s="192" t="str">
        <f t="shared" ca="1" si="73"/>
        <v xml:space="preserve">Mophie </v>
      </c>
      <c r="BG59" s="192" t="str">
        <f t="shared" ca="1" si="73"/>
        <v>Tolerate</v>
      </c>
      <c r="BH59" s="192" t="str">
        <f t="shared" ca="1" si="74"/>
        <v>Apple</v>
      </c>
      <c r="BI59" s="192" t="str">
        <f t="shared" ca="1" si="74"/>
        <v>GEAR4 Case Brompton + Folio Apple iPad Air 10.9" (4th Gen)/ iPad Pro 11" (1st &amp; 2nd Gen) - smoke</v>
      </c>
      <c r="BJ59" s="192" t="str">
        <f t="shared" ca="1" si="74"/>
        <v>InvisibleShield Glass Elite+ iPad Air 4/11P (2021) Case friendly Screen</v>
      </c>
      <c r="BK59" s="192" t="str">
        <f t="shared" ca="1" si="74"/>
        <v>Mophie USB typ C-kabel/MOPHIE WALL ADAPTER USB-C 20W</v>
      </c>
      <c r="BL59" s="192" t="str">
        <f t="shared" ca="1" si="74"/>
        <v>TOLERATE KEYBOARD FOLIO IPAD AIR 10,9 BLACK</v>
      </c>
      <c r="BM59" s="192" t="str">
        <f t="shared" ca="1" si="74"/>
        <v>Apple Pencil 2nd Generation - Penna för surfplatta - för 10.9-inch iPad Air (4th generation); 11-inch iPad Pro (1st generation, 2nd generation, 3rd generation); 12.9-inch iPad Pro (3rd generation, 4th generation, 5th generation)</v>
      </c>
      <c r="BN59" s="192">
        <f t="shared" ca="1" si="74"/>
        <v>344</v>
      </c>
      <c r="BO59" s="192">
        <f t="shared" ca="1" si="74"/>
        <v>302</v>
      </c>
      <c r="BP59" s="192">
        <f t="shared" ca="1" si="74"/>
        <v>289</v>
      </c>
      <c r="BQ59" s="192">
        <f t="shared" ca="1" si="74"/>
        <v>756</v>
      </c>
      <c r="BR59" s="192">
        <f t="shared" ca="1" si="74"/>
        <v>1742</v>
      </c>
      <c r="BS59" s="192">
        <f t="shared" ca="1" si="74"/>
        <v>672</v>
      </c>
      <c r="BT59" s="192">
        <f t="shared" ca="1" si="74"/>
        <v>85</v>
      </c>
      <c r="BU59" s="192">
        <f t="shared" ca="1" si="74"/>
        <v>100</v>
      </c>
      <c r="BV59" s="192">
        <f t="shared" ca="1" si="74"/>
        <v>0</v>
      </c>
      <c r="BW59" s="192"/>
      <c r="BX59" s="192"/>
      <c r="BY59" s="192" t="str">
        <f t="shared" ca="1" si="75"/>
        <v>Atea Sverige AB</v>
      </c>
      <c r="BZ59" s="192" t="str">
        <f t="shared" ca="1" si="75"/>
        <v>Apple</v>
      </c>
      <c r="CA59" s="199" t="s">
        <v>435</v>
      </c>
      <c r="CB59" s="185"/>
      <c r="CC59" s="185"/>
      <c r="CD59" s="185"/>
      <c r="CE59" s="185">
        <v>10.4</v>
      </c>
      <c r="CF59" s="185" t="s">
        <v>225</v>
      </c>
      <c r="CG59" s="185" t="s">
        <v>165</v>
      </c>
      <c r="CH59" s="185"/>
      <c r="CI59" s="185"/>
      <c r="CJ59" s="185"/>
      <c r="CK59" s="185" t="s">
        <v>225</v>
      </c>
      <c r="CL59" s="185"/>
      <c r="CM59" s="185"/>
      <c r="CN59" s="185"/>
    </row>
    <row r="60" spans="2:92" ht="28.5" customHeight="1" outlineLevel="1" x14ac:dyDescent="0.35">
      <c r="C60" s="61" t="s">
        <v>75</v>
      </c>
      <c r="D60" s="110"/>
      <c r="F60" s="78" t="str">
        <f t="shared" si="76"/>
        <v/>
      </c>
      <c r="G60" s="79">
        <f t="shared" ca="1" si="77"/>
        <v>5</v>
      </c>
      <c r="H60" s="79">
        <f t="shared" ca="1" si="77"/>
        <v>5</v>
      </c>
      <c r="I60" s="120">
        <f t="shared" ca="1" si="77"/>
        <v>4.2</v>
      </c>
      <c r="J60" s="62"/>
      <c r="K60" s="185">
        <f t="shared" ca="1" si="53"/>
        <v>0</v>
      </c>
      <c r="L60" s="185" t="b">
        <f t="shared" si="54"/>
        <v>1</v>
      </c>
      <c r="M60" s="185" t="s">
        <v>546</v>
      </c>
      <c r="N60" s="185" t="str">
        <f t="shared" ca="1" si="55"/>
        <v>Offererad produktnr. 07Qlosr Göteborg AB</v>
      </c>
      <c r="O60" s="185" cm="1">
        <f t="array" aca="1" ref="O60" ca="1">MIN(IF(($BY$55:$BY$78=M60)*($AM$55:$AM$78=$O$52),$Z$55:$Z$78))</f>
        <v>1700</v>
      </c>
      <c r="P60" s="197"/>
      <c r="Q60" s="185">
        <f t="shared" si="56"/>
        <v>0</v>
      </c>
      <c r="R60" s="185">
        <f t="shared" si="57"/>
        <v>0</v>
      </c>
      <c r="S60" s="185">
        <f t="shared" si="58"/>
        <v>0</v>
      </c>
      <c r="T60" s="185">
        <f t="shared" si="59"/>
        <v>0</v>
      </c>
      <c r="U60" s="185">
        <f t="shared" si="60"/>
        <v>0</v>
      </c>
      <c r="V60" s="185">
        <f t="shared" si="61"/>
        <v>0</v>
      </c>
      <c r="W60" s="185">
        <f t="shared" si="62"/>
        <v>0</v>
      </c>
      <c r="X60" s="185">
        <f t="shared" si="63"/>
        <v>0</v>
      </c>
      <c r="Y60" s="185">
        <f t="shared" si="64"/>
        <v>0</v>
      </c>
      <c r="Z60" s="196">
        <f t="shared" ca="1" si="65"/>
        <v>5254</v>
      </c>
      <c r="AA60" s="185" t="str">
        <f t="shared" si="66"/>
        <v>Offererad produktnr. 08Atea Sverige AB</v>
      </c>
      <c r="AB60" s="185" t="b">
        <f>IF(D56="",TRUE,IF(COUNTIF(Processor!$M$2:$M$3,D56)=0,IF(AN60=D56,TRUE,FALSE),IF(COUNTIF(AN60,INDEX(Processor!$N$2:$N$3,MATCH(Surfplattor!D56,Processor!$M$2:$M$3,0)))&gt;0,TRUE,FALSE)))</f>
        <v>1</v>
      </c>
      <c r="AC60" s="185" t="b">
        <f>IF($D$57="",TRUE,IF(COUNTIF(Processor!$I$2:$I$9,$D$57)&gt;0,AND(AO60&gt;INDEX(Processor!$J$2:$J$9,MATCH($D$57,Processor!$I$2:$I$9,0)),AO60&lt;INDEX(Processor!$K$2:$K$9,MATCH($D$57,Processor!$I$2:$I$9,0))),IF(AO60=$D$57,TRUE,FALSE)))</f>
        <v>1</v>
      </c>
      <c r="AD60" s="185" t="b">
        <f t="shared" si="67"/>
        <v>1</v>
      </c>
      <c r="AE60" s="185" t="b">
        <f t="shared" si="68"/>
        <v>1</v>
      </c>
      <c r="AF60" s="185" t="b">
        <f t="shared" si="69"/>
        <v>1</v>
      </c>
      <c r="AG60" s="185" t="b">
        <f t="shared" si="70"/>
        <v>1</v>
      </c>
      <c r="AH60" s="185" t="b">
        <f>IF($D$62="",TRUE,IF(INDEX(Processor!$C$14:$C$20,MATCH(LEFT(AT60,10)&amp;"",Processor!$A$14:$A$20,0))&gt;=INDEX(Processor!$C$14:$C$20,MATCH(LEFT($D$62,10)&amp;"",Processor!$A$14:$A$20,0)),TRUE,FALSE))</f>
        <v>1</v>
      </c>
      <c r="AI60" s="185" t="b">
        <f t="shared" si="71"/>
        <v>1</v>
      </c>
      <c r="AJ60" s="185"/>
      <c r="AK60" s="185"/>
      <c r="AL60" s="185" t="s">
        <v>193</v>
      </c>
      <c r="AM60" s="185">
        <v>1</v>
      </c>
      <c r="AN60" s="185" t="str">
        <f t="shared" ca="1" si="72"/>
        <v>iPadOS 14</v>
      </c>
      <c r="AO60" s="185">
        <f t="shared" ca="1" si="72"/>
        <v>10.199999999999999</v>
      </c>
      <c r="AP60" s="185" t="str">
        <f t="shared" ca="1" si="72"/>
        <v>2160x1620</v>
      </c>
      <c r="AQ60" s="185">
        <f t="shared" ca="1" si="72"/>
        <v>64</v>
      </c>
      <c r="AR60" s="185">
        <f t="shared" ca="1" si="72"/>
        <v>4.2</v>
      </c>
      <c r="AS60" s="185" t="str">
        <f t="shared" ca="1" si="72"/>
        <v>802.11a/b/g/n/ac</v>
      </c>
      <c r="AT60" s="185">
        <f t="shared" ca="1" si="72"/>
        <v>10</v>
      </c>
      <c r="AU60" s="185" t="str">
        <f t="shared" ca="1" si="72"/>
        <v>EPEAT Gold</v>
      </c>
      <c r="AV60" s="185" t="str">
        <f t="shared" ca="1" si="72"/>
        <v>802.11a/b/g/n/ac</v>
      </c>
      <c r="AW60" s="185">
        <f t="shared" ca="1" si="72"/>
        <v>4.2</v>
      </c>
      <c r="AX60" s="185">
        <f t="shared" ca="1" si="73"/>
        <v>10</v>
      </c>
      <c r="AY60" s="185" t="str">
        <f t="shared" ca="1" si="73"/>
        <v>iPad Wi-Fi 9:e Generationen</v>
      </c>
      <c r="AZ60" s="185">
        <f t="shared" ca="1" si="73"/>
        <v>0</v>
      </c>
      <c r="BA60" s="185" t="str">
        <f t="shared" ca="1" si="73"/>
        <v>iPadOS 14</v>
      </c>
      <c r="BB60" s="185">
        <f t="shared" ca="1" si="73"/>
        <v>5254</v>
      </c>
      <c r="BC60" s="185">
        <f t="shared" ca="1" si="73"/>
        <v>5254</v>
      </c>
      <c r="BD60" s="192" t="str">
        <f t="shared" ca="1" si="73"/>
        <v>ZAGG</v>
      </c>
      <c r="BE60" s="192" t="str">
        <f t="shared" ca="1" si="73"/>
        <v>ZAGG</v>
      </c>
      <c r="BF60" s="192" t="str">
        <f t="shared" ca="1" si="73"/>
        <v>Mophie</v>
      </c>
      <c r="BG60" s="192" t="str">
        <f t="shared" ca="1" si="73"/>
        <v>Tolerate</v>
      </c>
      <c r="BH60" s="192" t="str">
        <f t="shared" ca="1" si="74"/>
        <v>Apple</v>
      </c>
      <c r="BI60" s="192" t="str">
        <f t="shared" ca="1" si="74"/>
        <v>ZAGG Rugged Messenger Case - Skyddsfodral för surfplatta - robust - 10.2" - för Apple 10.2-inch iPad</v>
      </c>
      <c r="BJ60" s="192" t="str">
        <f t="shared" ca="1" si="74"/>
        <v>InvisibleShield Glass Elite+ Apple iPad 10.2" Screen</v>
      </c>
      <c r="BK60" s="192" t="str">
        <f t="shared" ca="1" si="74"/>
        <v>Wall Adapter-USB-C-20W-White-EU/mophie Charge and Sync Cable- USB-C to Lightning Cable 1.8M – White</v>
      </c>
      <c r="BL60" s="192" t="str">
        <f t="shared" ca="1" si="74"/>
        <v>Tolerate KEYBOARD FOLIO - Tangentbord och foliefodral - Bluetooth - svensk - svart - för Apple 10.2-inch iPad</v>
      </c>
      <c r="BM60" s="192" t="str">
        <f t="shared" ca="1" si="74"/>
        <v>Apple Pencil - Penna för surfplatta - för 10.2-inch iPad (7th generation, 8th generation); 10.5-inch iPad Air (3rd generation); 10.5-inch iPad Pro; 12.9-inch iPad Pro (1st generation, 2nd generation); 9.7-inch iPad (6th generation); 9.7-inch iPad Pro; iPad mini 5</v>
      </c>
      <c r="BN60" s="192">
        <f t="shared" ca="1" si="74"/>
        <v>430</v>
      </c>
      <c r="BO60" s="192">
        <f t="shared" ca="1" si="74"/>
        <v>302</v>
      </c>
      <c r="BP60" s="192">
        <f t="shared" ca="1" si="74"/>
        <v>226</v>
      </c>
      <c r="BQ60" s="192">
        <f t="shared" ca="1" si="74"/>
        <v>756</v>
      </c>
      <c r="BR60" s="192">
        <f t="shared" ca="1" si="74"/>
        <v>1284</v>
      </c>
      <c r="BS60" s="192">
        <f t="shared" ca="1" si="74"/>
        <v>672</v>
      </c>
      <c r="BT60" s="192">
        <f t="shared" ca="1" si="74"/>
        <v>85</v>
      </c>
      <c r="BU60" s="192">
        <f t="shared" ca="1" si="74"/>
        <v>100</v>
      </c>
      <c r="BV60" s="192">
        <f t="shared" ca="1" si="74"/>
        <v>0</v>
      </c>
      <c r="BW60" s="192"/>
      <c r="BX60" s="192"/>
      <c r="BY60" s="192" t="str">
        <f t="shared" ca="1" si="75"/>
        <v>Atea Sverige AB</v>
      </c>
      <c r="BZ60" s="192" t="str">
        <f t="shared" ca="1" si="75"/>
        <v>Apple</v>
      </c>
      <c r="CA60" s="199" t="s">
        <v>93</v>
      </c>
      <c r="CB60" s="185"/>
      <c r="CC60" s="185"/>
      <c r="CD60" s="185"/>
      <c r="CE60" s="185">
        <v>10.9</v>
      </c>
      <c r="CF60" s="185" t="s">
        <v>146</v>
      </c>
      <c r="CG60" s="185" t="s">
        <v>91</v>
      </c>
      <c r="CH60" s="185"/>
      <c r="CI60" s="185"/>
      <c r="CJ60" s="185"/>
      <c r="CK60" s="185" t="s">
        <v>146</v>
      </c>
      <c r="CL60" s="185"/>
      <c r="CM60" s="185"/>
      <c r="CN60" s="185"/>
    </row>
    <row r="61" spans="2:92" ht="29.25" customHeight="1" outlineLevel="1" x14ac:dyDescent="0.35">
      <c r="C61" s="61" t="s">
        <v>103</v>
      </c>
      <c r="D61" s="64"/>
      <c r="F61" s="78" t="str">
        <f t="shared" si="76"/>
        <v/>
      </c>
      <c r="G61" s="79" t="str">
        <f t="shared" ca="1" si="77"/>
        <v>802.11a/b/g/n/ac</v>
      </c>
      <c r="H61" s="79" t="str">
        <f t="shared" ca="1" si="77"/>
        <v>802.11a/b/g/n/ac</v>
      </c>
      <c r="I61" s="120" t="str">
        <f t="shared" ca="1" si="77"/>
        <v>802.11a/b/g/n/ac</v>
      </c>
      <c r="J61" s="62"/>
      <c r="Q61" s="185">
        <f t="shared" si="56"/>
        <v>0</v>
      </c>
      <c r="R61" s="185">
        <f t="shared" si="57"/>
        <v>0</v>
      </c>
      <c r="S61" s="185">
        <f t="shared" si="58"/>
        <v>0</v>
      </c>
      <c r="T61" s="185">
        <f t="shared" si="59"/>
        <v>0</v>
      </c>
      <c r="U61" s="185">
        <f t="shared" si="60"/>
        <v>0</v>
      </c>
      <c r="V61" s="185">
        <f t="shared" si="61"/>
        <v>0</v>
      </c>
      <c r="W61" s="185">
        <f t="shared" si="62"/>
        <v>0</v>
      </c>
      <c r="X61" s="185">
        <f t="shared" si="63"/>
        <v>0</v>
      </c>
      <c r="Y61" s="185">
        <f t="shared" si="64"/>
        <v>0</v>
      </c>
      <c r="Z61" s="196">
        <f t="shared" ca="1" si="65"/>
        <v>10177</v>
      </c>
      <c r="AA61" s="185" t="str">
        <f t="shared" si="66"/>
        <v>Offererad produktnr. 09Atea Sverige AB</v>
      </c>
      <c r="AB61" s="185" t="b">
        <f>IF(D56="",TRUE,IF(COUNTIF(Processor!$M$2:$M$3,D56)=0,IF(AN61=D56,TRUE,FALSE),IF(COUNTIF(AN61,INDEX(Processor!$N$2:$N$3,MATCH(Surfplattor!D56,Processor!$M$2:$M$3,0)))&gt;0,TRUE,FALSE)))</f>
        <v>1</v>
      </c>
      <c r="AC61" s="185" t="b">
        <f>IF($D$57="",TRUE,IF(COUNTIF(Processor!$I$2:$I$9,$D$57)&gt;0,AND(AO61&gt;INDEX(Processor!$J$2:$J$9,MATCH($D$57,Processor!$I$2:$I$9,0)),AO61&lt;INDEX(Processor!$K$2:$K$9,MATCH($D$57,Processor!$I$2:$I$9,0))),IF(AO61=$D$57,TRUE,FALSE)))</f>
        <v>1</v>
      </c>
      <c r="AD61" s="185" t="b">
        <f t="shared" si="67"/>
        <v>1</v>
      </c>
      <c r="AE61" s="185" t="b">
        <f t="shared" si="68"/>
        <v>1</v>
      </c>
      <c r="AF61" s="185" t="b">
        <f t="shared" si="69"/>
        <v>1</v>
      </c>
      <c r="AG61" s="185" t="b">
        <f t="shared" si="70"/>
        <v>1</v>
      </c>
      <c r="AH61" s="185" t="b">
        <f>IF($D$62="",TRUE,IF(INDEX(Processor!$C$14:$C$20,MATCH(LEFT(AT61,10)&amp;"",Processor!$A$14:$A$20,0))&gt;=INDEX(Processor!$C$14:$C$20,MATCH(LEFT($D$62,10)&amp;"",Processor!$A$14:$A$20,0)),TRUE,FALSE))</f>
        <v>1</v>
      </c>
      <c r="AI61" s="185" t="b">
        <f t="shared" si="71"/>
        <v>1</v>
      </c>
      <c r="AJ61" s="185"/>
      <c r="AK61" s="185"/>
      <c r="AL61" s="185" t="s">
        <v>194</v>
      </c>
      <c r="AM61" s="185">
        <v>1</v>
      </c>
      <c r="AN61" s="185" t="str">
        <f t="shared" ca="1" si="72"/>
        <v>Android 13</v>
      </c>
      <c r="AO61" s="185">
        <f t="shared" ca="1" si="72"/>
        <v>11</v>
      </c>
      <c r="AP61" s="185" t="str">
        <f t="shared" ca="1" si="72"/>
        <v>2560x1600</v>
      </c>
      <c r="AQ61" s="185">
        <f t="shared" ca="1" si="72"/>
        <v>128</v>
      </c>
      <c r="AR61" s="185">
        <f t="shared" ca="1" si="72"/>
        <v>5.3</v>
      </c>
      <c r="AS61" s="185" t="str">
        <f t="shared" ca="1" si="72"/>
        <v>802.11a/b/g/n/ac/ax</v>
      </c>
      <c r="AT61" s="185">
        <f t="shared" ca="1" si="72"/>
        <v>13</v>
      </c>
      <c r="AU61" s="185" t="str">
        <f t="shared" ca="1" si="72"/>
        <v>Ej miljömärkt</v>
      </c>
      <c r="AV61" s="185" t="str">
        <f t="shared" ca="1" si="72"/>
        <v>802.11a/b/g/n/ac/ax</v>
      </c>
      <c r="AW61" s="185">
        <f t="shared" ca="1" si="72"/>
        <v>5.3</v>
      </c>
      <c r="AX61" s="185">
        <f t="shared" ca="1" si="73"/>
        <v>13</v>
      </c>
      <c r="AY61" s="185" t="str">
        <f t="shared" ca="1" si="73"/>
        <v>Galaxy Tab S9 Wifi (128GB)</v>
      </c>
      <c r="AZ61" s="185">
        <f t="shared" ca="1" si="73"/>
        <v>0</v>
      </c>
      <c r="BA61" s="185" t="str">
        <f t="shared" ca="1" si="73"/>
        <v>Android 13</v>
      </c>
      <c r="BB61" s="185">
        <f t="shared" ca="1" si="73"/>
        <v>10177</v>
      </c>
      <c r="BC61" s="185">
        <f t="shared" ca="1" si="73"/>
        <v>10177</v>
      </c>
      <c r="BD61" s="192" t="str">
        <f t="shared" ca="1" si="73"/>
        <v>Tolerate</v>
      </c>
      <c r="BE61" s="192" t="str">
        <f t="shared" ca="1" si="73"/>
        <v>Tolerate</v>
      </c>
      <c r="BF61" s="192" t="str">
        <f t="shared" ca="1" si="73"/>
        <v>Samsung</v>
      </c>
      <c r="BG61" s="192" t="str">
        <f t="shared" ca="1" si="73"/>
        <v>Tolerate</v>
      </c>
      <c r="BH61" s="192" t="str">
        <f t="shared" ca="1" si="74"/>
        <v>Samsung</v>
      </c>
      <c r="BI61" s="192" t="str">
        <f t="shared" ca="1" si="74"/>
        <v>TOLERATE ARMOUR FOLIO TAB S9 BULK</v>
      </c>
      <c r="BJ61" s="192" t="str">
        <f t="shared" ca="1" si="74"/>
        <v>TOLERATE GLASS SCREEN PROTECTOR SAMSUNG TAB S9 BULK</v>
      </c>
      <c r="BK61" s="192" t="str">
        <f t="shared" ca="1" si="74"/>
        <v>Samsung Travel Adapter/USB-C till USB-A-kabel - 1.5 m</v>
      </c>
      <c r="BL61" s="192" t="str">
        <f t="shared" ca="1" si="74"/>
        <v xml:space="preserve">TOLERATE KEYBOARD FOLIO SAMSUNG TAB S8 </v>
      </c>
      <c r="BM61" s="192" t="str">
        <f t="shared" ca="1" si="74"/>
        <v>Samsung S-Pen</v>
      </c>
      <c r="BN61" s="192">
        <f t="shared" ca="1" si="74"/>
        <v>461</v>
      </c>
      <c r="BO61" s="192">
        <f t="shared" ca="1" si="74"/>
        <v>281</v>
      </c>
      <c r="BP61" s="192">
        <f t="shared" ca="1" si="74"/>
        <v>386</v>
      </c>
      <c r="BQ61" s="192">
        <f t="shared" ca="1" si="74"/>
        <v>756</v>
      </c>
      <c r="BR61" s="192">
        <f t="shared" ca="1" si="74"/>
        <v>504</v>
      </c>
      <c r="BS61" s="192">
        <f t="shared" ca="1" si="74"/>
        <v>1</v>
      </c>
      <c r="BT61" s="192">
        <f t="shared" ca="1" si="74"/>
        <v>85</v>
      </c>
      <c r="BU61" s="192">
        <f t="shared" ca="1" si="74"/>
        <v>100</v>
      </c>
      <c r="BV61" s="192">
        <f t="shared" ca="1" si="74"/>
        <v>0</v>
      </c>
      <c r="BW61" s="192"/>
      <c r="BX61" s="192"/>
      <c r="BY61" s="192" t="str">
        <f t="shared" ca="1" si="75"/>
        <v>Atea Sverige AB</v>
      </c>
      <c r="BZ61" s="192" t="str">
        <f t="shared" ca="1" si="75"/>
        <v>Samsung</v>
      </c>
      <c r="CA61" s="199" t="s">
        <v>147</v>
      </c>
      <c r="CB61" s="185"/>
      <c r="CC61" s="185"/>
      <c r="CD61" s="185"/>
      <c r="CE61" s="185">
        <v>11</v>
      </c>
      <c r="CF61" s="185"/>
      <c r="CG61" s="192"/>
      <c r="CH61" s="185"/>
      <c r="CI61" s="185"/>
      <c r="CJ61" s="185"/>
      <c r="CK61" s="185"/>
      <c r="CL61" s="185"/>
      <c r="CM61" s="185"/>
      <c r="CN61" s="192"/>
    </row>
    <row r="62" spans="2:92" ht="29.25" customHeight="1" outlineLevel="1" x14ac:dyDescent="0.35">
      <c r="C62" s="61" t="s">
        <v>120</v>
      </c>
      <c r="D62" s="64"/>
      <c r="F62" s="80" t="str">
        <f t="shared" si="76"/>
        <v/>
      </c>
      <c r="G62" s="81">
        <f t="shared" ca="1" si="77"/>
        <v>9</v>
      </c>
      <c r="H62" s="81">
        <f t="shared" ca="1" si="77"/>
        <v>9</v>
      </c>
      <c r="I62" s="121">
        <f t="shared" ca="1" si="77"/>
        <v>10</v>
      </c>
      <c r="J62" s="62"/>
      <c r="Q62" s="185">
        <f t="shared" si="56"/>
        <v>0</v>
      </c>
      <c r="R62" s="185">
        <f t="shared" si="57"/>
        <v>0</v>
      </c>
      <c r="S62" s="185">
        <f t="shared" si="58"/>
        <v>0</v>
      </c>
      <c r="T62" s="185">
        <f t="shared" si="59"/>
        <v>0</v>
      </c>
      <c r="U62" s="185">
        <f t="shared" si="60"/>
        <v>0</v>
      </c>
      <c r="V62" s="185">
        <f t="shared" si="61"/>
        <v>0</v>
      </c>
      <c r="W62" s="185">
        <f t="shared" si="62"/>
        <v>0</v>
      </c>
      <c r="X62" s="185">
        <f t="shared" si="63"/>
        <v>0</v>
      </c>
      <c r="Y62" s="185">
        <f t="shared" si="64"/>
        <v>0</v>
      </c>
      <c r="Z62" s="196">
        <f t="shared" ca="1" si="65"/>
        <v>8276</v>
      </c>
      <c r="AA62" s="185" t="str">
        <f t="shared" si="66"/>
        <v>Offererad produktnr. 10Atea Sverige AB</v>
      </c>
      <c r="AB62" s="185" t="b">
        <f>IF(D56="",TRUE,IF(COUNTIF(Processor!$M$2:$M$3,D56)=0,IF(AN62=D56,TRUE,FALSE),IF(COUNTIF(AN62,INDEX(Processor!$N$2:$N$3,MATCH(Surfplattor!D56,Processor!$M$2:$M$3,0)))&gt;0,TRUE,FALSE)))</f>
        <v>1</v>
      </c>
      <c r="AC62" s="185" t="b">
        <f>IF($D$57="",TRUE,IF(COUNTIF(Processor!$I$2:$I$9,$D$57)&gt;0,AND(AO62&gt;INDEX(Processor!$J$2:$J$9,MATCH($D$57,Processor!$I$2:$I$9,0)),AO62&lt;INDEX(Processor!$K$2:$K$9,MATCH($D$57,Processor!$I$2:$I$9,0))),IF(AO62=$D$57,TRUE,FALSE)))</f>
        <v>1</v>
      </c>
      <c r="AD62" s="185" t="b">
        <f t="shared" si="67"/>
        <v>1</v>
      </c>
      <c r="AE62" s="185" t="b">
        <f t="shared" si="68"/>
        <v>1</v>
      </c>
      <c r="AF62" s="185" t="b">
        <f t="shared" si="69"/>
        <v>1</v>
      </c>
      <c r="AG62" s="185" t="b">
        <f t="shared" si="70"/>
        <v>1</v>
      </c>
      <c r="AH62" s="185" t="b">
        <f>IF($D$62="",TRUE,IF(INDEX(Processor!$C$14:$C$20,MATCH(LEFT(AT62,10)&amp;"",Processor!$A$14:$A$20,0))&gt;=INDEX(Processor!$C$14:$C$20,MATCH(LEFT($D$62,10)&amp;"",Processor!$A$14:$A$20,0)),TRUE,FALSE))</f>
        <v>1</v>
      </c>
      <c r="AI62" s="185" t="b">
        <f t="shared" si="71"/>
        <v>1</v>
      </c>
      <c r="AJ62" s="185"/>
      <c r="AK62" s="185"/>
      <c r="AL62" s="185" t="s">
        <v>195</v>
      </c>
      <c r="AM62" s="185">
        <v>1</v>
      </c>
      <c r="AN62" s="185" t="str">
        <f t="shared" ca="1" si="72"/>
        <v>Android 10</v>
      </c>
      <c r="AO62" s="185">
        <f t="shared" ca="1" si="72"/>
        <v>11.5</v>
      </c>
      <c r="AP62" s="185" t="str">
        <f t="shared" ca="1" si="72"/>
        <v>2560x1600</v>
      </c>
      <c r="AQ62" s="185">
        <f t="shared" ca="1" si="72"/>
        <v>128</v>
      </c>
      <c r="AR62" s="185">
        <f t="shared" ca="1" si="72"/>
        <v>5</v>
      </c>
      <c r="AS62" s="185" t="str">
        <f t="shared" ca="1" si="72"/>
        <v>802.11a/b/g/n/ac</v>
      </c>
      <c r="AT62" s="185">
        <f t="shared" ca="1" si="72"/>
        <v>8</v>
      </c>
      <c r="AU62" s="185" t="str">
        <f t="shared" ca="1" si="72"/>
        <v>Ej miljömärkt</v>
      </c>
      <c r="AV62" s="185" t="str">
        <f t="shared" ca="1" si="72"/>
        <v>802.11a/b/g/n/ac</v>
      </c>
      <c r="AW62" s="185">
        <f t="shared" ca="1" si="72"/>
        <v>5</v>
      </c>
      <c r="AX62" s="185">
        <f t="shared" ca="1" si="73"/>
        <v>8</v>
      </c>
      <c r="AY62" s="185" t="str">
        <f t="shared" ca="1" si="73"/>
        <v>Lenovo Tab P11 Pro</v>
      </c>
      <c r="AZ62" s="185">
        <f t="shared" ca="1" si="73"/>
        <v>0</v>
      </c>
      <c r="BA62" s="185" t="str">
        <f t="shared" ca="1" si="73"/>
        <v>Android 10</v>
      </c>
      <c r="BB62" s="185">
        <f t="shared" ca="1" si="73"/>
        <v>8276</v>
      </c>
      <c r="BC62" s="185">
        <f t="shared" ca="1" si="73"/>
        <v>8276</v>
      </c>
      <c r="BD62" s="192" t="str">
        <f t="shared" ca="1" si="73"/>
        <v>Tolerate</v>
      </c>
      <c r="BE62" s="192" t="str">
        <f t="shared" ca="1" si="73"/>
        <v>Zagg</v>
      </c>
      <c r="BF62" s="192" t="str">
        <f t="shared" ca="1" si="73"/>
        <v>Lenovo</v>
      </c>
      <c r="BG62" s="192" t="str">
        <f t="shared" ca="1" si="73"/>
        <v>Lenovo</v>
      </c>
      <c r="BH62" s="192" t="str">
        <f t="shared" ca="1" si="74"/>
        <v>Lenovo</v>
      </c>
      <c r="BI62" s="192" t="str">
        <f t="shared" ca="1" si="74"/>
        <v>TOLERATE ARMOR FOLIO LENOVO TAB 11 PRO</v>
      </c>
      <c r="BJ62" s="192" t="str">
        <f t="shared" ca="1" si="74"/>
        <v>InvisibleShield Glass Elite+</v>
      </c>
      <c r="BK62" s="192" t="str">
        <f t="shared" ca="1" si="74"/>
        <v xml:space="preserve">Lenovo Smart Charge station </v>
      </c>
      <c r="BL62" s="192" t="str">
        <f t="shared" ca="1" si="74"/>
        <v>Lenovo P11 Pro Keyboard</v>
      </c>
      <c r="BM62" s="192" t="str">
        <f t="shared" ca="1" si="74"/>
        <v>Lenovo Precision Pen 2</v>
      </c>
      <c r="BN62" s="192">
        <f t="shared" ca="1" si="74"/>
        <v>502</v>
      </c>
      <c r="BO62" s="192">
        <f t="shared" ca="1" si="74"/>
        <v>293</v>
      </c>
      <c r="BP62" s="192">
        <f t="shared" ca="1" si="74"/>
        <v>324</v>
      </c>
      <c r="BQ62" s="192">
        <f t="shared" ca="1" si="74"/>
        <v>1138</v>
      </c>
      <c r="BR62" s="192">
        <f t="shared" ca="1" si="74"/>
        <v>718</v>
      </c>
      <c r="BS62" s="192">
        <f t="shared" ca="1" si="74"/>
        <v>1</v>
      </c>
      <c r="BT62" s="192">
        <f t="shared" ca="1" si="74"/>
        <v>85</v>
      </c>
      <c r="BU62" s="192">
        <f t="shared" ca="1" si="74"/>
        <v>100</v>
      </c>
      <c r="BV62" s="192">
        <f t="shared" ca="1" si="74"/>
        <v>0</v>
      </c>
      <c r="BW62" s="192"/>
      <c r="BX62" s="192"/>
      <c r="BY62" s="192" t="str">
        <f t="shared" ca="1" si="75"/>
        <v>Atea Sverige AB</v>
      </c>
      <c r="BZ62" s="192" t="str">
        <f t="shared" ca="1" si="75"/>
        <v>Lenovo</v>
      </c>
      <c r="CA62" s="199"/>
      <c r="CB62" s="185"/>
      <c r="CC62" s="185"/>
      <c r="CD62" s="185"/>
      <c r="CE62" s="185">
        <v>11.5</v>
      </c>
      <c r="CF62" s="185"/>
      <c r="CG62" s="185"/>
      <c r="CH62" s="185"/>
      <c r="CI62" s="185"/>
      <c r="CJ62" s="185"/>
      <c r="CK62" s="192"/>
      <c r="CL62" s="185"/>
      <c r="CM62" s="185"/>
      <c r="CN62" s="185"/>
    </row>
    <row r="63" spans="2:92" ht="29.25" customHeight="1" outlineLevel="1" x14ac:dyDescent="0.35">
      <c r="C63" s="61" t="s">
        <v>39</v>
      </c>
      <c r="D63" s="64"/>
      <c r="F63" s="78" t="str">
        <f t="shared" si="76"/>
        <v/>
      </c>
      <c r="G63" s="79" t="str">
        <f t="shared" ca="1" si="77"/>
        <v>Ej miljömärkt</v>
      </c>
      <c r="H63" s="79" t="str">
        <f t="shared" ca="1" si="77"/>
        <v>Ej miljömärkt</v>
      </c>
      <c r="I63" s="120" t="str">
        <f t="shared" ca="1" si="77"/>
        <v>Ej miljömärkt</v>
      </c>
      <c r="J63" s="62"/>
      <c r="Q63" s="185">
        <f t="shared" si="56"/>
        <v>0</v>
      </c>
      <c r="R63" s="185">
        <f t="shared" si="57"/>
        <v>0</v>
      </c>
      <c r="S63" s="185">
        <f t="shared" si="58"/>
        <v>0</v>
      </c>
      <c r="T63" s="185">
        <f t="shared" si="59"/>
        <v>0</v>
      </c>
      <c r="U63" s="185">
        <f t="shared" si="60"/>
        <v>0</v>
      </c>
      <c r="V63" s="185">
        <f t="shared" si="61"/>
        <v>0</v>
      </c>
      <c r="W63" s="185">
        <f t="shared" si="62"/>
        <v>0</v>
      </c>
      <c r="X63" s="185">
        <f t="shared" si="63"/>
        <v>0</v>
      </c>
      <c r="Y63" s="185">
        <f t="shared" si="64"/>
        <v>0</v>
      </c>
      <c r="Z63" s="196">
        <f t="shared" ca="1" si="65"/>
        <v>3261</v>
      </c>
      <c r="AA63" s="185" t="str">
        <f t="shared" si="66"/>
        <v>Offererad produktnr. 07Dustin Sverige AB</v>
      </c>
      <c r="AB63" s="185" t="b">
        <f>IF(D56="",TRUE,IF(COUNTIF(Processor!$M$2:$M$3,D56)=0,IF(AN63=D56,TRUE,FALSE),IF(COUNTIF(AN63,INDEX(Processor!$N$2:$N$3,MATCH(Surfplattor!D56,Processor!$M$2:$M$3,0)))&gt;0,TRUE,FALSE)))</f>
        <v>1</v>
      </c>
      <c r="AC63" s="185" t="b">
        <f>IF($D$57="",TRUE,IF(COUNTIF(Processor!$I$2:$I$9,$D$57)&gt;0,AND(AO63&gt;INDEX(Processor!$J$2:$J$9,MATCH($D$57,Processor!$I$2:$I$9,0)),AO63&lt;INDEX(Processor!$K$2:$K$9,MATCH($D$57,Processor!$I$2:$I$9,0))),IF(AO63=$D$57,TRUE,FALSE)))</f>
        <v>1</v>
      </c>
      <c r="AD63" s="185" t="b">
        <f t="shared" si="67"/>
        <v>1</v>
      </c>
      <c r="AE63" s="185" t="b">
        <f t="shared" si="68"/>
        <v>1</v>
      </c>
      <c r="AF63" s="185" t="b">
        <f t="shared" si="69"/>
        <v>1</v>
      </c>
      <c r="AG63" s="185" t="b">
        <f t="shared" si="70"/>
        <v>1</v>
      </c>
      <c r="AH63" s="185" t="b">
        <f>IF($D$62="",TRUE,IF(INDEX(Processor!$C$14:$C$20,MATCH(LEFT(AT63,10)&amp;"",Processor!$A$14:$A$20,0))&gt;=INDEX(Processor!$C$14:$C$20,MATCH(LEFT($D$62,10)&amp;"",Processor!$A$14:$A$20,0)),TRUE,FALSE))</f>
        <v>1</v>
      </c>
      <c r="AI63" s="185" t="b">
        <f t="shared" si="71"/>
        <v>1</v>
      </c>
      <c r="AJ63" s="185"/>
      <c r="AK63" s="185"/>
      <c r="AL63" s="185" t="s">
        <v>180</v>
      </c>
      <c r="AM63" s="185">
        <v>1</v>
      </c>
      <c r="AN63" s="185" t="str">
        <f t="shared" ca="1" si="72"/>
        <v>Android 11</v>
      </c>
      <c r="AO63" s="185">
        <f t="shared" ca="1" si="72"/>
        <v>10.4</v>
      </c>
      <c r="AP63" s="185" t="str">
        <f t="shared" ca="1" si="72"/>
        <v>2000x1200</v>
      </c>
      <c r="AQ63" s="185">
        <f t="shared" ca="1" si="72"/>
        <v>64</v>
      </c>
      <c r="AR63" s="185">
        <f t="shared" ca="1" si="72"/>
        <v>5</v>
      </c>
      <c r="AS63" s="185" t="str">
        <f t="shared" ca="1" si="72"/>
        <v>802.11a/b/g/n/ac</v>
      </c>
      <c r="AT63" s="185">
        <f t="shared" ca="1" si="72"/>
        <v>12</v>
      </c>
      <c r="AU63" s="185" t="str">
        <f t="shared" ca="1" si="72"/>
        <v>EPEAT Bronze (Canada)</v>
      </c>
      <c r="AV63" s="185" t="str">
        <f t="shared" ca="1" si="72"/>
        <v>802.11a/b/g/n/ac</v>
      </c>
      <c r="AW63" s="185">
        <f t="shared" ca="1" si="72"/>
        <v>5</v>
      </c>
      <c r="AX63" s="185">
        <f t="shared" ca="1" si="73"/>
        <v>12</v>
      </c>
      <c r="AY63" s="185" t="str">
        <f t="shared" ca="1" si="73"/>
        <v>Galaxy Tab S6 Lite WiFi (64GB)</v>
      </c>
      <c r="AZ63" s="185">
        <f t="shared" ca="1" si="73"/>
        <v>0</v>
      </c>
      <c r="BA63" s="185" t="str">
        <f t="shared" ca="1" si="73"/>
        <v>Android 11</v>
      </c>
      <c r="BB63" s="185">
        <f t="shared" ca="1" si="73"/>
        <v>3261</v>
      </c>
      <c r="BC63" s="185">
        <f t="shared" ca="1" si="73"/>
        <v>3261</v>
      </c>
      <c r="BD63" s="192" t="str">
        <f t="shared" ca="1" si="73"/>
        <v>Samsung</v>
      </c>
      <c r="BE63" s="192" t="str">
        <f t="shared" ca="1" si="73"/>
        <v>Hama</v>
      </c>
      <c r="BF63" s="192" t="str">
        <f t="shared" ca="1" si="73"/>
        <v>Samsung</v>
      </c>
      <c r="BG63" s="192" t="str">
        <f t="shared" ca="1" si="73"/>
        <v>Voxicon</v>
      </c>
      <c r="BH63" s="192" t="str">
        <f t="shared" ca="1" si="74"/>
        <v>Samsung</v>
      </c>
      <c r="BI63" s="192" t="str">
        <f t="shared" ca="1" si="74"/>
        <v>GH96-13408A</v>
      </c>
      <c r="BJ63" s="192" t="str">
        <f t="shared" ca="1" si="74"/>
        <v>KAP12483</v>
      </c>
      <c r="BK63" s="192" t="str">
        <f t="shared" ca="1" si="74"/>
        <v>EP-T1510NBEGEU / EP-TA20EWECGWW</v>
      </c>
      <c r="BL63" s="192" t="str">
        <f t="shared" ca="1" si="74"/>
        <v>DK-199B-G</v>
      </c>
      <c r="BM63" s="192" t="str">
        <f t="shared" ca="1" si="74"/>
        <v>EJ-PP610BJEGEU / EJ-PP610BLEGEU</v>
      </c>
      <c r="BN63" s="192">
        <f t="shared" ca="1" si="74"/>
        <v>518</v>
      </c>
      <c r="BO63" s="192">
        <f t="shared" ca="1" si="74"/>
        <v>219</v>
      </c>
      <c r="BP63" s="192">
        <f t="shared" ca="1" si="74"/>
        <v>111</v>
      </c>
      <c r="BQ63" s="192">
        <f t="shared" ca="1" si="74"/>
        <v>936</v>
      </c>
      <c r="BR63" s="192">
        <f t="shared" ca="1" si="74"/>
        <v>305</v>
      </c>
      <c r="BS63" s="192">
        <f t="shared" ca="1" si="74"/>
        <v>532</v>
      </c>
      <c r="BT63" s="192">
        <f t="shared" ca="1" si="74"/>
        <v>20</v>
      </c>
      <c r="BU63" s="192">
        <f t="shared" ca="1" si="74"/>
        <v>20</v>
      </c>
      <c r="BV63" s="192">
        <f t="shared" ca="1" si="74"/>
        <v>0</v>
      </c>
      <c r="BW63" s="192"/>
      <c r="BX63" s="192"/>
      <c r="BY63" s="192" t="str">
        <f t="shared" ca="1" si="75"/>
        <v>Dustin Sverige AB</v>
      </c>
      <c r="BZ63" s="192" t="str">
        <f t="shared" ca="1" si="75"/>
        <v>Samsung</v>
      </c>
      <c r="CA63" s="199"/>
      <c r="CB63" s="185"/>
      <c r="CC63" s="185"/>
      <c r="CD63" s="185"/>
      <c r="CE63" s="186">
        <v>12.4</v>
      </c>
      <c r="CF63" s="185"/>
      <c r="CG63" s="185"/>
      <c r="CH63" s="185"/>
      <c r="CI63" s="185"/>
      <c r="CJ63" s="185"/>
      <c r="CK63" s="185"/>
      <c r="CL63" s="185"/>
      <c r="CM63" s="185"/>
      <c r="CN63" s="185"/>
    </row>
    <row r="64" spans="2:92" ht="22.5" customHeight="1" outlineLevel="1" x14ac:dyDescent="0.35">
      <c r="C64" s="66"/>
      <c r="D64" s="67"/>
      <c r="G64" s="62"/>
      <c r="H64" s="62"/>
      <c r="I64" s="62"/>
      <c r="J64" s="62"/>
      <c r="Q64" s="185">
        <f t="shared" si="56"/>
        <v>0</v>
      </c>
      <c r="R64" s="185">
        <f t="shared" si="57"/>
        <v>0</v>
      </c>
      <c r="S64" s="185">
        <f t="shared" si="58"/>
        <v>0</v>
      </c>
      <c r="T64" s="185">
        <f t="shared" si="59"/>
        <v>0</v>
      </c>
      <c r="U64" s="185">
        <f t="shared" si="60"/>
        <v>0</v>
      </c>
      <c r="V64" s="185">
        <f t="shared" si="61"/>
        <v>0</v>
      </c>
      <c r="W64" s="185">
        <f t="shared" si="62"/>
        <v>0</v>
      </c>
      <c r="X64" s="185">
        <f t="shared" si="63"/>
        <v>0</v>
      </c>
      <c r="Y64" s="185">
        <f t="shared" si="64"/>
        <v>0</v>
      </c>
      <c r="Z64" s="196">
        <f t="shared" ca="1" si="65"/>
        <v>3751</v>
      </c>
      <c r="AA64" s="185" t="str">
        <f t="shared" si="66"/>
        <v>Offererad produktnr. 08Dustin Sverige AB</v>
      </c>
      <c r="AB64" s="185" t="b">
        <f>IF(D56="",TRUE,IF(COUNTIF(Processor!$M$2:$M$3,D56)=0,IF(AN64=D56,TRUE,FALSE),IF(COUNTIF(AN64,INDEX(Processor!$N$2:$N$3,MATCH(Surfplattor!D56,Processor!$M$2:$M$3,0)))&gt;0,TRUE,FALSE)))</f>
        <v>1</v>
      </c>
      <c r="AC64" s="185" t="b">
        <f>IF($D$57="",TRUE,IF(COUNTIF(Processor!$I$2:$I$9,$D$57)&gt;0,AND(AO64&gt;INDEX(Processor!$J$2:$J$9,MATCH($D$57,Processor!$I$2:$I$9,0)),AO64&lt;INDEX(Processor!$K$2:$K$9,MATCH($D$57,Processor!$I$2:$I$9,0))),IF(AO64=$D$57,TRUE,FALSE)))</f>
        <v>1</v>
      </c>
      <c r="AD64" s="185" t="b">
        <f t="shared" si="67"/>
        <v>1</v>
      </c>
      <c r="AE64" s="185" t="b">
        <f t="shared" si="68"/>
        <v>1</v>
      </c>
      <c r="AF64" s="185" t="b">
        <f t="shared" si="69"/>
        <v>1</v>
      </c>
      <c r="AG64" s="185" t="b">
        <f t="shared" si="70"/>
        <v>1</v>
      </c>
      <c r="AH64" s="185" t="b">
        <f>IF($D$62="",TRUE,IF(INDEX(Processor!$C$14:$C$20,MATCH(LEFT(AT64,10)&amp;"",Processor!$A$14:$A$20,0))&gt;=INDEX(Processor!$C$14:$C$20,MATCH(LEFT($D$62,10)&amp;"",Processor!$A$14:$A$20,0)),TRUE,FALSE))</f>
        <v>1</v>
      </c>
      <c r="AI64" s="185" t="b">
        <f t="shared" si="71"/>
        <v>1</v>
      </c>
      <c r="AJ64" s="185"/>
      <c r="AK64" s="185"/>
      <c r="AL64" s="185" t="s">
        <v>181</v>
      </c>
      <c r="AM64" s="185">
        <v>1</v>
      </c>
      <c r="AN64" s="185" t="str">
        <f t="shared" ca="1" si="72"/>
        <v>iPadOS 14</v>
      </c>
      <c r="AO64" s="185">
        <f t="shared" ca="1" si="72"/>
        <v>10.199999999999999</v>
      </c>
      <c r="AP64" s="185" t="str">
        <f t="shared" ca="1" si="72"/>
        <v>2160x1620</v>
      </c>
      <c r="AQ64" s="185">
        <f t="shared" ca="1" si="72"/>
        <v>64</v>
      </c>
      <c r="AR64" s="185">
        <f t="shared" ca="1" si="72"/>
        <v>4.2</v>
      </c>
      <c r="AS64" s="185" t="str">
        <f t="shared" ca="1" si="72"/>
        <v>802.11a/b/g/n/ac</v>
      </c>
      <c r="AT64" s="185">
        <f t="shared" ca="1" si="72"/>
        <v>10</v>
      </c>
      <c r="AU64" s="185" t="str">
        <f t="shared" ca="1" si="72"/>
        <v>EPEAT Gold</v>
      </c>
      <c r="AV64" s="185" t="str">
        <f t="shared" ca="1" si="72"/>
        <v>802.11a/b/g/n/ac</v>
      </c>
      <c r="AW64" s="185">
        <f t="shared" ca="1" si="72"/>
        <v>4.2</v>
      </c>
      <c r="AX64" s="185">
        <f t="shared" ca="1" si="73"/>
        <v>10</v>
      </c>
      <c r="AY64" s="185" t="str">
        <f t="shared" ca="1" si="73"/>
        <v>iPad 9th gen</v>
      </c>
      <c r="AZ64" s="185">
        <f t="shared" ca="1" si="73"/>
        <v>0</v>
      </c>
      <c r="BA64" s="185" t="str">
        <f t="shared" ca="1" si="73"/>
        <v>iPadOS 14</v>
      </c>
      <c r="BB64" s="185">
        <f t="shared" ca="1" si="73"/>
        <v>3751</v>
      </c>
      <c r="BC64" s="185">
        <f t="shared" ca="1" si="73"/>
        <v>3751</v>
      </c>
      <c r="BD64" s="192" t="str">
        <f t="shared" ca="1" si="73"/>
        <v>Cirafon</v>
      </c>
      <c r="BE64" s="192" t="str">
        <f t="shared" ca="1" si="73"/>
        <v>Cirafon</v>
      </c>
      <c r="BF64" s="192" t="str">
        <f t="shared" ca="1" si="73"/>
        <v>Cirafon</v>
      </c>
      <c r="BG64" s="192" t="str">
        <f t="shared" ca="1" si="73"/>
        <v>Voxicon</v>
      </c>
      <c r="BH64" s="192" t="str">
        <f t="shared" ca="1" si="74"/>
        <v>Zagg</v>
      </c>
      <c r="BI64" s="192" t="str">
        <f t="shared" ca="1" si="74"/>
        <v>APD9-HBSFO-BLCK</v>
      </c>
      <c r="BJ64" s="192" t="str">
        <f t="shared" ca="1" si="74"/>
        <v>CG-TG-APL-IDP102</v>
      </c>
      <c r="BK64" s="192" t="str">
        <f t="shared" ca="1" si="74"/>
        <v>PD20E-1TGA-W/DMA-038#KIT</v>
      </c>
      <c r="BL64" s="192" t="str">
        <f t="shared" ca="1" si="74"/>
        <v>DK-400B-WHT</v>
      </c>
      <c r="BM64" s="192">
        <f t="shared" ca="1" si="74"/>
        <v>109907068</v>
      </c>
      <c r="BN64" s="192">
        <f t="shared" ca="1" si="74"/>
        <v>347</v>
      </c>
      <c r="BO64" s="192">
        <f t="shared" ca="1" si="74"/>
        <v>234</v>
      </c>
      <c r="BP64" s="192">
        <f t="shared" ca="1" si="74"/>
        <v>309</v>
      </c>
      <c r="BQ64" s="192">
        <f t="shared" ca="1" si="74"/>
        <v>407</v>
      </c>
      <c r="BR64" s="192">
        <f t="shared" ca="1" si="74"/>
        <v>373</v>
      </c>
      <c r="BS64" s="192">
        <f t="shared" ca="1" si="74"/>
        <v>532</v>
      </c>
      <c r="BT64" s="192">
        <f t="shared" ca="1" si="74"/>
        <v>20</v>
      </c>
      <c r="BU64" s="192">
        <f t="shared" ca="1" si="74"/>
        <v>20</v>
      </c>
      <c r="BV64" s="192">
        <f t="shared" ca="1" si="74"/>
        <v>0</v>
      </c>
      <c r="BW64" s="192"/>
      <c r="BX64" s="192"/>
      <c r="BY64" s="192" t="str">
        <f t="shared" ca="1" si="75"/>
        <v>Dustin Sverige AB</v>
      </c>
      <c r="BZ64" s="192" t="str">
        <f t="shared" ca="1" si="75"/>
        <v>Apple</v>
      </c>
      <c r="CA64" s="199"/>
      <c r="CB64" s="185"/>
      <c r="CC64" s="185"/>
      <c r="CD64" s="185"/>
      <c r="CE64" s="185"/>
      <c r="CF64" s="185"/>
      <c r="CG64" s="185"/>
      <c r="CH64" s="185"/>
      <c r="CI64" s="185"/>
      <c r="CJ64" s="185"/>
      <c r="CK64" s="185"/>
      <c r="CL64" s="185"/>
      <c r="CM64" s="185"/>
      <c r="CN64" s="185"/>
    </row>
    <row r="65" spans="2:94" ht="22.5" customHeight="1" outlineLevel="1" x14ac:dyDescent="0.35">
      <c r="C65" s="212" t="s">
        <v>366</v>
      </c>
      <c r="D65" s="213"/>
      <c r="E65" s="213"/>
      <c r="F65" s="213"/>
      <c r="G65" s="213"/>
      <c r="H65" s="213"/>
      <c r="I65" s="214"/>
      <c r="J65" s="94"/>
      <c r="Q65" s="185">
        <f t="shared" si="56"/>
        <v>0</v>
      </c>
      <c r="R65" s="185">
        <f t="shared" si="57"/>
        <v>0</v>
      </c>
      <c r="S65" s="185">
        <f t="shared" si="58"/>
        <v>0</v>
      </c>
      <c r="T65" s="185">
        <f t="shared" si="59"/>
        <v>0</v>
      </c>
      <c r="U65" s="185">
        <f t="shared" si="60"/>
        <v>0</v>
      </c>
      <c r="V65" s="185">
        <f t="shared" si="61"/>
        <v>0</v>
      </c>
      <c r="W65" s="185">
        <f t="shared" si="62"/>
        <v>0</v>
      </c>
      <c r="X65" s="185">
        <f t="shared" si="63"/>
        <v>0</v>
      </c>
      <c r="Y65" s="185">
        <f t="shared" si="64"/>
        <v>0</v>
      </c>
      <c r="Z65" s="196">
        <f t="shared" ca="1" si="65"/>
        <v>5710</v>
      </c>
      <c r="AA65" s="185" t="str">
        <f t="shared" si="66"/>
        <v>Offererad produktnr. 09Dustin Sverige AB</v>
      </c>
      <c r="AB65" s="185" t="b">
        <f>IF(D56="",TRUE,IF(COUNTIF(Processor!$M$2:$M$3,D56)=0,IF(AN65=D56,TRUE,FALSE),IF(COUNTIF(AN65,INDEX(Processor!$N$2:$N$3,MATCH(Surfplattor!D56,Processor!$M$2:$M$3,0)))&gt;0,TRUE,FALSE)))</f>
        <v>1</v>
      </c>
      <c r="AC65" s="185" t="b">
        <f>IF($D$57="",TRUE,IF(COUNTIF(Processor!$I$2:$I$9,$D$57)&gt;0,AND(AO65&gt;INDEX(Processor!$J$2:$J$9,MATCH($D$57,Processor!$I$2:$I$9,0)),AO65&lt;INDEX(Processor!$K$2:$K$9,MATCH($D$57,Processor!$I$2:$I$9,0))),IF(AO65=$D$57,TRUE,FALSE)))</f>
        <v>1</v>
      </c>
      <c r="AD65" s="185" t="b">
        <f t="shared" si="67"/>
        <v>1</v>
      </c>
      <c r="AE65" s="185" t="b">
        <f t="shared" si="68"/>
        <v>1</v>
      </c>
      <c r="AF65" s="185" t="b">
        <f t="shared" si="69"/>
        <v>1</v>
      </c>
      <c r="AG65" s="185" t="b">
        <f t="shared" si="70"/>
        <v>1</v>
      </c>
      <c r="AH65" s="185" t="b">
        <f>IF($D$62="",TRUE,IF(INDEX(Processor!$C$14:$C$20,MATCH(LEFT(AT65,10)&amp;"",Processor!$A$14:$A$20,0))&gt;=INDEX(Processor!$C$14:$C$20,MATCH(LEFT($D$62,10)&amp;"",Processor!$A$14:$A$20,0)),TRUE,FALSE))</f>
        <v>1</v>
      </c>
      <c r="AI65" s="185" t="b">
        <f t="shared" si="71"/>
        <v>1</v>
      </c>
      <c r="AJ65" s="185"/>
      <c r="AK65" s="185"/>
      <c r="AL65" s="185" t="s">
        <v>182</v>
      </c>
      <c r="AM65" s="185">
        <v>1</v>
      </c>
      <c r="AN65" s="185" t="str">
        <f t="shared" ref="AN65:AW74" ca="1" si="78">IFERROR(INDEX(INDIRECT(AN$50&amp;"!$A$10:CC100000"),MATCH($AL65,INDIRECT(AN$50&amp;"!BH$10:BH100000"),0),MATCH(AN$52,INDIRECT(AN$50&amp;"!a10:CC10"),0)),"False")</f>
        <v>Android 13</v>
      </c>
      <c r="AO65" s="185">
        <f t="shared" ca="1" si="78"/>
        <v>11</v>
      </c>
      <c r="AP65" s="185" t="str">
        <f t="shared" ca="1" si="78"/>
        <v>2560x1600</v>
      </c>
      <c r="AQ65" s="185">
        <f t="shared" ca="1" si="78"/>
        <v>128</v>
      </c>
      <c r="AR65" s="185">
        <f t="shared" ca="1" si="78"/>
        <v>5.3</v>
      </c>
      <c r="AS65" s="185" t="str">
        <f t="shared" ca="1" si="78"/>
        <v>802.11a/b/g/n/ac/ax</v>
      </c>
      <c r="AT65" s="185">
        <f t="shared" ca="1" si="78"/>
        <v>13</v>
      </c>
      <c r="AU65" s="185" t="str">
        <f t="shared" ca="1" si="78"/>
        <v>EPEAT Bronze (Canada)</v>
      </c>
      <c r="AV65" s="185" t="str">
        <f t="shared" ca="1" si="78"/>
        <v>802.11a/b/g/n/ac/ax</v>
      </c>
      <c r="AW65" s="185">
        <f t="shared" ca="1" si="78"/>
        <v>5.3</v>
      </c>
      <c r="AX65" s="185">
        <f t="shared" ref="AX65:BG74" ca="1" si="79">IFERROR(INDEX(INDIRECT(AX$50&amp;"!$A$10:CC100000"),MATCH($AL65,INDIRECT(AX$50&amp;"!BH$10:BH100000"),0),MATCH(AX$52,INDIRECT(AX$50&amp;"!a10:CC10"),0)),"False")</f>
        <v>13</v>
      </c>
      <c r="AY65" s="185" t="str">
        <f t="shared" ca="1" si="79"/>
        <v>Galaxy Tab S9</v>
      </c>
      <c r="AZ65" s="185">
        <f t="shared" ca="1" si="79"/>
        <v>0</v>
      </c>
      <c r="BA65" s="185" t="str">
        <f t="shared" ca="1" si="79"/>
        <v>Android 13</v>
      </c>
      <c r="BB65" s="185">
        <f t="shared" ca="1" si="79"/>
        <v>5710</v>
      </c>
      <c r="BC65" s="185">
        <f t="shared" ca="1" si="79"/>
        <v>5710</v>
      </c>
      <c r="BD65" s="192" t="str">
        <f t="shared" ca="1" si="79"/>
        <v>UAG METROPOLIS SE</v>
      </c>
      <c r="BE65" s="192" t="str">
        <f t="shared" ca="1" si="79"/>
        <v>Panzerglass</v>
      </c>
      <c r="BF65" s="192" t="str">
        <f t="shared" ca="1" si="79"/>
        <v xml:space="preserve">Samsung </v>
      </c>
      <c r="BG65" s="192" t="str">
        <f t="shared" ca="1" si="79"/>
        <v>Voxicon</v>
      </c>
      <c r="BH65" s="192" t="str">
        <f t="shared" ref="BH65:BV74" ca="1" si="80">IFERROR(INDEX(INDIRECT(BH$50&amp;"!$A$10:CC100000"),MATCH($AL65,INDIRECT(BH$50&amp;"!BH$10:BH100000"),0),MATCH(BH$52,INDIRECT(BH$50&amp;"!a10:CC10"),0)),"False")</f>
        <v>INGÅR</v>
      </c>
      <c r="BI65" s="192">
        <f t="shared" ca="1" si="80"/>
        <v>224339114040</v>
      </c>
      <c r="BJ65" s="192">
        <f t="shared" ca="1" si="80"/>
        <v>7332</v>
      </c>
      <c r="BK65" s="192" t="str">
        <f t="shared" ca="1" si="80"/>
        <v>EP-T1510NBEGEU / EP-TA20EWECGWW</v>
      </c>
      <c r="BL65" s="192" t="str">
        <f t="shared" ca="1" si="80"/>
        <v>DK-199B-G</v>
      </c>
      <c r="BM65" s="192">
        <f t="shared" ca="1" si="80"/>
        <v>0</v>
      </c>
      <c r="BN65" s="192">
        <f t="shared" ca="1" si="80"/>
        <v>419</v>
      </c>
      <c r="BO65" s="192">
        <f t="shared" ca="1" si="80"/>
        <v>269</v>
      </c>
      <c r="BP65" s="192">
        <f t="shared" ca="1" si="80"/>
        <v>111</v>
      </c>
      <c r="BQ65" s="192">
        <f t="shared" ca="1" si="80"/>
        <v>866</v>
      </c>
      <c r="BR65" s="192">
        <f t="shared" ca="1" si="80"/>
        <v>0</v>
      </c>
      <c r="BS65" s="192">
        <f t="shared" ca="1" si="80"/>
        <v>532</v>
      </c>
      <c r="BT65" s="192">
        <f t="shared" ca="1" si="80"/>
        <v>20</v>
      </c>
      <c r="BU65" s="192">
        <f t="shared" ca="1" si="80"/>
        <v>20</v>
      </c>
      <c r="BV65" s="192">
        <f t="shared" ca="1" si="80"/>
        <v>0</v>
      </c>
      <c r="BW65" s="192"/>
      <c r="BX65" s="192"/>
      <c r="BY65" s="192" t="str">
        <f t="shared" ca="1" si="75"/>
        <v>Dustin Sverige AB</v>
      </c>
      <c r="BZ65" s="192" t="str">
        <f t="shared" ca="1" si="75"/>
        <v>Samsung</v>
      </c>
      <c r="CE65" s="101"/>
    </row>
    <row r="66" spans="2:94" ht="30" customHeight="1" outlineLevel="1" x14ac:dyDescent="0.35">
      <c r="B66" s="69" t="s">
        <v>53</v>
      </c>
      <c r="C66" s="115" t="s">
        <v>372</v>
      </c>
      <c r="D66" s="70"/>
      <c r="F66" s="161" t="str">
        <f t="shared" ref="F66:F80" si="81">IF(F$53="Inget antal angivet","",IFERROR(INDEX($AN$54:$BZ$80,MATCH(F$50,$AL$54:$AL$80,0),MATCH($B66,$AN$54:$BZ$54,0)),""))</f>
        <v/>
      </c>
      <c r="G66" s="162">
        <f t="shared" ref="G66:I80" ca="1" si="82">IFERROR(INDEX($AN$54:$BZ$80,MATCH(G$50,$AL$54:$AL$80,0),MATCH($B66,$AN$54:$BZ$54,0)),"")</f>
        <v>325</v>
      </c>
      <c r="H66" s="162">
        <f t="shared" ca="1" si="82"/>
        <v>251</v>
      </c>
      <c r="I66" s="162">
        <f t="shared" ca="1" si="82"/>
        <v>460</v>
      </c>
      <c r="J66" s="62"/>
      <c r="Q66" s="185">
        <f t="shared" si="56"/>
        <v>0</v>
      </c>
      <c r="R66" s="185">
        <f t="shared" si="57"/>
        <v>0</v>
      </c>
      <c r="S66" s="185">
        <f t="shared" si="58"/>
        <v>0</v>
      </c>
      <c r="T66" s="185">
        <f t="shared" si="59"/>
        <v>0</v>
      </c>
      <c r="U66" s="185">
        <f t="shared" si="60"/>
        <v>0</v>
      </c>
      <c r="V66" s="185">
        <f t="shared" si="61"/>
        <v>0</v>
      </c>
      <c r="W66" s="185">
        <f t="shared" si="62"/>
        <v>0</v>
      </c>
      <c r="X66" s="185">
        <f t="shared" si="63"/>
        <v>0</v>
      </c>
      <c r="Y66" s="185">
        <f t="shared" si="64"/>
        <v>0</v>
      </c>
      <c r="Z66" s="196">
        <f t="shared" ca="1" si="65"/>
        <v>10190</v>
      </c>
      <c r="AA66" s="185" t="str">
        <f t="shared" si="66"/>
        <v>Offererad produktnr. 10Dustin Sverige AB</v>
      </c>
      <c r="AB66" s="185" t="b">
        <f>IF(D56="",TRUE,IF(COUNTIF(Processor!$M$2:$M$3,D56)=0,IF(AN66=D56,TRUE,FALSE),IF(COUNTIF(AN66,INDEX(Processor!$N$2:$N$3,MATCH(Surfplattor!D56,Processor!$M$2:$M$3,0)))&gt;0,TRUE,FALSE)))</f>
        <v>1</v>
      </c>
      <c r="AC66" s="185" t="b">
        <f>IF($D$57="",TRUE,IF(COUNTIF(Processor!$I$2:$I$9,$D$57)&gt;0,AND(AO66&gt;INDEX(Processor!$J$2:$J$9,MATCH($D$57,Processor!$I$2:$I$9,0)),AO66&lt;INDEX(Processor!$K$2:$K$9,MATCH($D$57,Processor!$I$2:$I$9,0))),IF(AO66=$D$57,TRUE,FALSE)))</f>
        <v>1</v>
      </c>
      <c r="AD66" s="185" t="b">
        <f t="shared" si="67"/>
        <v>1</v>
      </c>
      <c r="AE66" s="185" t="b">
        <f t="shared" si="68"/>
        <v>1</v>
      </c>
      <c r="AF66" s="185" t="b">
        <f t="shared" si="69"/>
        <v>1</v>
      </c>
      <c r="AG66" s="185" t="b">
        <f t="shared" si="70"/>
        <v>1</v>
      </c>
      <c r="AH66" s="185" t="b">
        <f>IF($D$62="",TRUE,IF(INDEX(Processor!$C$14:$C$20,MATCH(LEFT(AT66,10)&amp;"",Processor!$A$14:$A$20,0))&gt;=INDEX(Processor!$C$14:$C$20,MATCH(LEFT($D$62,10)&amp;"",Processor!$A$14:$A$20,0)),TRUE,FALSE))</f>
        <v>1</v>
      </c>
      <c r="AI66" s="185" t="b">
        <f t="shared" si="71"/>
        <v>1</v>
      </c>
      <c r="AJ66" s="185"/>
      <c r="AK66" s="185"/>
      <c r="AL66" s="185" t="s">
        <v>183</v>
      </c>
      <c r="AM66" s="185">
        <v>1</v>
      </c>
      <c r="AN66" s="185" t="str">
        <f t="shared" ca="1" si="78"/>
        <v>Android 13</v>
      </c>
      <c r="AO66" s="185">
        <f t="shared" ca="1" si="78"/>
        <v>12.4</v>
      </c>
      <c r="AP66" s="185" t="str">
        <f t="shared" ca="1" si="78"/>
        <v>2800x1752</v>
      </c>
      <c r="AQ66" s="185">
        <f t="shared" ca="1" si="78"/>
        <v>256</v>
      </c>
      <c r="AR66" s="185">
        <f t="shared" ca="1" si="78"/>
        <v>5.3</v>
      </c>
      <c r="AS66" s="185" t="str">
        <f t="shared" ca="1" si="78"/>
        <v>802.11a/b/g/n/ac/ax</v>
      </c>
      <c r="AT66" s="185">
        <f t="shared" ca="1" si="78"/>
        <v>13</v>
      </c>
      <c r="AU66" s="185" t="str">
        <f t="shared" ca="1" si="78"/>
        <v>EPEAT Bronze (Canada)</v>
      </c>
      <c r="AV66" s="185" t="str">
        <f t="shared" ca="1" si="78"/>
        <v>802.11a/b/g/n/ac/ax</v>
      </c>
      <c r="AW66" s="185">
        <f t="shared" ca="1" si="78"/>
        <v>5.3</v>
      </c>
      <c r="AX66" s="185">
        <f t="shared" ca="1" si="79"/>
        <v>13</v>
      </c>
      <c r="AY66" s="185" t="str">
        <f t="shared" ca="1" si="79"/>
        <v>Galaxy Tab S9+</v>
      </c>
      <c r="AZ66" s="185">
        <f t="shared" ca="1" si="79"/>
        <v>0</v>
      </c>
      <c r="BA66" s="185" t="str">
        <f t="shared" ca="1" si="79"/>
        <v>Android 13</v>
      </c>
      <c r="BB66" s="185">
        <f t="shared" ca="1" si="79"/>
        <v>10190</v>
      </c>
      <c r="BC66" s="185">
        <f t="shared" ca="1" si="79"/>
        <v>10190</v>
      </c>
      <c r="BD66" s="192" t="str">
        <f t="shared" ca="1" si="79"/>
        <v>Targus</v>
      </c>
      <c r="BE66" s="192" t="str">
        <f t="shared" ca="1" si="79"/>
        <v>Panzerglass</v>
      </c>
      <c r="BF66" s="192" t="str">
        <f t="shared" ca="1" si="79"/>
        <v>Samsung</v>
      </c>
      <c r="BG66" s="192" t="str">
        <f t="shared" ca="1" si="79"/>
        <v>Voxicon</v>
      </c>
      <c r="BH66" s="192" t="str">
        <f t="shared" ca="1" si="80"/>
        <v>INGÅR</v>
      </c>
      <c r="BI66" s="192" t="str">
        <f t="shared" ca="1" si="80"/>
        <v>THZ904GL </v>
      </c>
      <c r="BJ66" s="192">
        <f t="shared" ca="1" si="80"/>
        <v>7242</v>
      </c>
      <c r="BK66" s="192" t="str">
        <f t="shared" ca="1" si="80"/>
        <v>EP-T1510NBEGEU / EP-TA20EWECGWW</v>
      </c>
      <c r="BL66" s="192" t="str">
        <f t="shared" ca="1" si="80"/>
        <v>DK-199B-G</v>
      </c>
      <c r="BM66" s="192">
        <f t="shared" ca="1" si="80"/>
        <v>0</v>
      </c>
      <c r="BN66" s="192">
        <f t="shared" ca="1" si="80"/>
        <v>279</v>
      </c>
      <c r="BO66" s="192">
        <f t="shared" ca="1" si="80"/>
        <v>206</v>
      </c>
      <c r="BP66" s="192">
        <f t="shared" ca="1" si="80"/>
        <v>111</v>
      </c>
      <c r="BQ66" s="192">
        <f t="shared" ca="1" si="80"/>
        <v>979</v>
      </c>
      <c r="BR66" s="192">
        <f t="shared" ca="1" si="80"/>
        <v>0</v>
      </c>
      <c r="BS66" s="192">
        <f t="shared" ca="1" si="80"/>
        <v>532</v>
      </c>
      <c r="BT66" s="192">
        <f t="shared" ca="1" si="80"/>
        <v>20</v>
      </c>
      <c r="BU66" s="192">
        <f t="shared" ca="1" si="80"/>
        <v>20</v>
      </c>
      <c r="BV66" s="192">
        <f t="shared" ca="1" si="80"/>
        <v>0</v>
      </c>
      <c r="BW66" s="192"/>
      <c r="BX66" s="192"/>
      <c r="BY66" s="192" t="str">
        <f t="shared" ca="1" si="75"/>
        <v>Dustin Sverige AB</v>
      </c>
      <c r="BZ66" s="192" t="str">
        <f t="shared" ca="1" si="75"/>
        <v>Samsung</v>
      </c>
      <c r="CE66" s="101"/>
    </row>
    <row r="67" spans="2:94" ht="30" customHeight="1" outlineLevel="1" x14ac:dyDescent="0.35">
      <c r="B67" s="69" t="s">
        <v>340</v>
      </c>
      <c r="C67" s="96" t="s">
        <v>51</v>
      </c>
      <c r="D67" s="131" t="str">
        <f>IF("Ska Ingå"=D66,"Ska Ingå","")</f>
        <v/>
      </c>
      <c r="F67" s="84" t="str">
        <f t="shared" si="81"/>
        <v/>
      </c>
      <c r="G67" s="85" t="str">
        <f t="shared" ca="1" si="82"/>
        <v>Phonelife</v>
      </c>
      <c r="H67" s="85" t="str">
        <f t="shared" ca="1" si="82"/>
        <v>eSTUFF</v>
      </c>
      <c r="I67" s="85" t="str">
        <f t="shared" ca="1" si="82"/>
        <v>Otterbox Defender Series</v>
      </c>
      <c r="J67" s="62"/>
      <c r="Q67" s="185">
        <f t="shared" si="56"/>
        <v>0</v>
      </c>
      <c r="R67" s="185">
        <f t="shared" si="57"/>
        <v>0</v>
      </c>
      <c r="S67" s="185">
        <f t="shared" si="58"/>
        <v>0</v>
      </c>
      <c r="T67" s="185">
        <f t="shared" si="59"/>
        <v>0</v>
      </c>
      <c r="U67" s="185">
        <f t="shared" si="60"/>
        <v>0</v>
      </c>
      <c r="V67" s="185">
        <f t="shared" si="61"/>
        <v>0</v>
      </c>
      <c r="W67" s="185">
        <f t="shared" si="62"/>
        <v>0</v>
      </c>
      <c r="X67" s="185">
        <f t="shared" si="63"/>
        <v>0</v>
      </c>
      <c r="Y67" s="185">
        <f t="shared" si="64"/>
        <v>0</v>
      </c>
      <c r="Z67" s="196">
        <f t="shared" ca="1" si="65"/>
        <v>4068</v>
      </c>
      <c r="AA67" s="185" t="str">
        <f t="shared" si="66"/>
        <v>Offererad produktnr. 07Foxway Education AB</v>
      </c>
      <c r="AB67" s="185" t="b">
        <f>IF(D56="",TRUE,IF(COUNTIF(Processor!$M$2:$M$3,D56)=0,IF(AN67=D56,TRUE,FALSE),IF(COUNTIF(AN67,INDEX(Processor!$N$2:$N$3,MATCH(Surfplattor!D56,Processor!$M$2:$M$3,0)))&gt;0,TRUE,FALSE)))</f>
        <v>1</v>
      </c>
      <c r="AC67" s="185" t="b">
        <f>IF($D$57="",TRUE,IF(COUNTIF(Processor!$I$2:$I$9,$D$57)&gt;0,AND(AO67&gt;INDEX(Processor!$J$2:$J$9,MATCH($D$57,Processor!$I$2:$I$9,0)),AO67&lt;INDEX(Processor!$K$2:$K$9,MATCH($D$57,Processor!$I$2:$I$9,0))),IF(AO67=$D$57,TRUE,FALSE)))</f>
        <v>1</v>
      </c>
      <c r="AD67" s="185" t="b">
        <f t="shared" si="67"/>
        <v>1</v>
      </c>
      <c r="AE67" s="185" t="b">
        <f t="shared" si="68"/>
        <v>1</v>
      </c>
      <c r="AF67" s="185" t="b">
        <f t="shared" si="69"/>
        <v>1</v>
      </c>
      <c r="AG67" s="185" t="b">
        <f t="shared" si="70"/>
        <v>1</v>
      </c>
      <c r="AH67" s="185" t="b">
        <f>IF($D$62="",TRUE,IF(INDEX(Processor!$C$14:$C$20,MATCH(LEFT(AT67,10)&amp;"",Processor!$A$14:$A$20,0))&gt;=INDEX(Processor!$C$14:$C$20,MATCH(LEFT($D$62,10)&amp;"",Processor!$A$14:$A$20,0)),TRUE,FALSE))</f>
        <v>1</v>
      </c>
      <c r="AI67" s="185" t="b">
        <f t="shared" si="71"/>
        <v>1</v>
      </c>
      <c r="AJ67" s="185"/>
      <c r="AK67" s="185"/>
      <c r="AL67" s="185" t="s">
        <v>216</v>
      </c>
      <c r="AM67" s="185">
        <v>1</v>
      </c>
      <c r="AN67" s="185" t="str">
        <f t="shared" ca="1" si="78"/>
        <v>iPadOS 15</v>
      </c>
      <c r="AO67" s="185">
        <f t="shared" ca="1" si="78"/>
        <v>10.199999999999999</v>
      </c>
      <c r="AP67" s="185" t="str">
        <f t="shared" ca="1" si="78"/>
        <v>2160x1620</v>
      </c>
      <c r="AQ67" s="185">
        <f t="shared" ca="1" si="78"/>
        <v>64</v>
      </c>
      <c r="AR67" s="185">
        <f t="shared" ca="1" si="78"/>
        <v>4.2</v>
      </c>
      <c r="AS67" s="185" t="str">
        <f t="shared" ca="1" si="78"/>
        <v>802.11a/b/g/n/ac</v>
      </c>
      <c r="AT67" s="185">
        <f t="shared" ca="1" si="78"/>
        <v>10</v>
      </c>
      <c r="AU67" s="185" t="str">
        <f t="shared" ca="1" si="78"/>
        <v>EPEAT Gold</v>
      </c>
      <c r="AV67" s="185" t="str">
        <f t="shared" ca="1" si="78"/>
        <v>802.11a/b/g/n/ac</v>
      </c>
      <c r="AW67" s="185">
        <f t="shared" ca="1" si="78"/>
        <v>4.2</v>
      </c>
      <c r="AX67" s="185">
        <f t="shared" ca="1" si="79"/>
        <v>10</v>
      </c>
      <c r="AY67" s="185" t="str">
        <f t="shared" ca="1" si="79"/>
        <v>10.2-inch (9th-gen) iPad Wi-Fi 64GB</v>
      </c>
      <c r="AZ67" s="185">
        <f t="shared" ca="1" si="79"/>
        <v>0</v>
      </c>
      <c r="BA67" s="185" t="str">
        <f t="shared" ca="1" si="79"/>
        <v>iPadOS 15</v>
      </c>
      <c r="BB67" s="185">
        <f t="shared" ca="1" si="79"/>
        <v>4068</v>
      </c>
      <c r="BC67" s="185">
        <f t="shared" ca="1" si="79"/>
        <v>4068</v>
      </c>
      <c r="BD67" s="192" t="str">
        <f t="shared" ca="1" si="79"/>
        <v>Targus</v>
      </c>
      <c r="BE67" s="192" t="str">
        <f t="shared" ca="1" si="79"/>
        <v>Screenor</v>
      </c>
      <c r="BF67" s="192" t="str">
        <f t="shared" ca="1" si="79"/>
        <v>Apple</v>
      </c>
      <c r="BG67" s="192" t="str">
        <f t="shared" ca="1" si="79"/>
        <v>Deltaco</v>
      </c>
      <c r="BH67" s="192" t="str">
        <f t="shared" ca="1" si="80"/>
        <v>Apple</v>
      </c>
      <c r="BI67" s="192" t="str">
        <f t="shared" ca="1" si="80"/>
        <v>Targus SafePORT Rugged</v>
      </c>
      <c r="BJ67" s="192" t="str">
        <f t="shared" ca="1" si="80"/>
        <v>SCREENOR TEMPERED IPAD 10.2</v>
      </c>
      <c r="BK67" s="192" t="str">
        <f t="shared" ca="1" si="80"/>
        <v>Laddkit iPad</v>
      </c>
      <c r="BL67" s="192" t="str">
        <f t="shared" ca="1" si="80"/>
        <v>DELTACO trådlöst minitangentbord, 78 tangenter, Bluetooth, nordisk layout, dämpade tangenter, svart</v>
      </c>
      <c r="BM67" s="192" t="str">
        <f t="shared" ca="1" si="80"/>
        <v>Apple Pencil</v>
      </c>
      <c r="BN67" s="192">
        <f t="shared" ca="1" si="80"/>
        <v>210</v>
      </c>
      <c r="BO67" s="192">
        <f t="shared" ca="1" si="80"/>
        <v>240</v>
      </c>
      <c r="BP67" s="192">
        <f t="shared" ca="1" si="80"/>
        <v>372</v>
      </c>
      <c r="BQ67" s="192">
        <f t="shared" ca="1" si="80"/>
        <v>156</v>
      </c>
      <c r="BR67" s="192">
        <f t="shared" ca="1" si="80"/>
        <v>1080</v>
      </c>
      <c r="BS67" s="192">
        <f t="shared" ca="1" si="80"/>
        <v>480</v>
      </c>
      <c r="BT67" s="192">
        <f t="shared" ca="1" si="80"/>
        <v>60</v>
      </c>
      <c r="BU67" s="192">
        <f t="shared" ca="1" si="80"/>
        <v>50</v>
      </c>
      <c r="BV67" s="192">
        <f t="shared" ca="1" si="80"/>
        <v>0</v>
      </c>
      <c r="BW67" s="192"/>
      <c r="BX67" s="192"/>
      <c r="BY67" s="192" t="str">
        <f t="shared" ca="1" si="75"/>
        <v>Foxway Education AB</v>
      </c>
      <c r="BZ67" s="192" t="str">
        <f t="shared" ca="1" si="75"/>
        <v>Apple</v>
      </c>
      <c r="CB67" s="63"/>
      <c r="CC67" s="63"/>
      <c r="CD67" s="63"/>
      <c r="CE67" s="102"/>
      <c r="CF67" s="63"/>
      <c r="CG67" s="63"/>
      <c r="CH67" s="63"/>
      <c r="CI67" s="63"/>
      <c r="CJ67" s="63"/>
      <c r="CK67" s="63"/>
      <c r="CL67" s="63"/>
      <c r="CM67" s="63"/>
      <c r="CN67" s="63"/>
      <c r="CO67" s="63"/>
      <c r="CP67" s="63"/>
    </row>
    <row r="68" spans="2:94" ht="67.5" customHeight="1" outlineLevel="1" x14ac:dyDescent="0.35">
      <c r="B68" s="69" t="s">
        <v>345</v>
      </c>
      <c r="C68" s="97" t="s">
        <v>52</v>
      </c>
      <c r="D68" s="132" t="str">
        <f>IF("Ska Ingå"=D66,"Ska Ingå","")</f>
        <v/>
      </c>
      <c r="F68" s="86" t="str">
        <f t="shared" si="81"/>
        <v/>
      </c>
      <c r="G68" s="87" t="str">
        <f t="shared" ca="1" si="82"/>
        <v>GBXRUGGEDLENTAB-V1</v>
      </c>
      <c r="H68" s="87" t="str">
        <f t="shared" ca="1" si="82"/>
        <v>ES685307-BULK - Vikbart fodral för surfplatta - polyuretan, polykarbonat, konstläder, mikrofiber - svart - för Lenovo Tab M10 (3rd Gen)</v>
      </c>
      <c r="I68" s="87" t="str">
        <f t="shared" ca="1" si="82"/>
        <v>GBX77-62032</v>
      </c>
      <c r="J68" s="62"/>
      <c r="Q68" s="185">
        <f t="shared" si="56"/>
        <v>0</v>
      </c>
      <c r="R68" s="185">
        <f t="shared" si="57"/>
        <v>0</v>
      </c>
      <c r="S68" s="185">
        <f t="shared" si="58"/>
        <v>0</v>
      </c>
      <c r="T68" s="185">
        <f t="shared" si="59"/>
        <v>0</v>
      </c>
      <c r="U68" s="185">
        <f t="shared" si="60"/>
        <v>0</v>
      </c>
      <c r="V68" s="185">
        <f t="shared" si="61"/>
        <v>0</v>
      </c>
      <c r="W68" s="185">
        <f t="shared" si="62"/>
        <v>0</v>
      </c>
      <c r="X68" s="185">
        <f t="shared" si="63"/>
        <v>0</v>
      </c>
      <c r="Y68" s="185">
        <f t="shared" si="64"/>
        <v>0</v>
      </c>
      <c r="Z68" s="196">
        <f t="shared" ca="1" si="65"/>
        <v>3894</v>
      </c>
      <c r="AA68" s="185" t="str">
        <f t="shared" si="66"/>
        <v>Offererad produktnr. 08Foxway Education AB</v>
      </c>
      <c r="AB68" s="185" t="b">
        <f>IF(D56="",TRUE,IF(COUNTIF(Processor!$M$2:$M$3,D56)=0,IF(AN68=D56,TRUE,FALSE),IF(COUNTIF(AN68,INDEX(Processor!$N$2:$N$3,MATCH(Surfplattor!D56,Processor!$M$2:$M$3,0)))&gt;0,TRUE,FALSE)))</f>
        <v>1</v>
      </c>
      <c r="AC68" s="185" t="b">
        <f>IF($D$57="",TRUE,IF(COUNTIF(Processor!$I$2:$I$9,$D$57)&gt;0,AND(AO68&gt;INDEX(Processor!$J$2:$J$9,MATCH($D$57,Processor!$I$2:$I$9,0)),AO68&lt;INDEX(Processor!$K$2:$K$9,MATCH($D$57,Processor!$I$2:$I$9,0))),IF(AO68=$D$57,TRUE,FALSE)))</f>
        <v>1</v>
      </c>
      <c r="AD68" s="185" t="b">
        <f t="shared" si="67"/>
        <v>1</v>
      </c>
      <c r="AE68" s="185" t="b">
        <f t="shared" si="68"/>
        <v>1</v>
      </c>
      <c r="AF68" s="185" t="b">
        <f t="shared" si="69"/>
        <v>1</v>
      </c>
      <c r="AG68" s="185" t="b">
        <f t="shared" si="70"/>
        <v>1</v>
      </c>
      <c r="AH68" s="185" t="b">
        <f>IF($D$62="",TRUE,IF(INDEX(Processor!$C$14:$C$20,MATCH(LEFT(AT68,10)&amp;"",Processor!$A$14:$A$20,0))&gt;=INDEX(Processor!$C$14:$C$20,MATCH(LEFT($D$62,10)&amp;"",Processor!$A$14:$A$20,0)),TRUE,FALSE))</f>
        <v>1</v>
      </c>
      <c r="AI68" s="185" t="b">
        <f t="shared" si="71"/>
        <v>1</v>
      </c>
      <c r="AJ68" s="185"/>
      <c r="AK68" s="185"/>
      <c r="AL68" s="185" t="s">
        <v>217</v>
      </c>
      <c r="AM68" s="185">
        <v>1</v>
      </c>
      <c r="AN68" s="185" t="str">
        <f t="shared" ca="1" si="78"/>
        <v>Android 11</v>
      </c>
      <c r="AO68" s="185">
        <f t="shared" ca="1" si="78"/>
        <v>10.4</v>
      </c>
      <c r="AP68" s="185" t="str">
        <f t="shared" ca="1" si="78"/>
        <v>2000x1200</v>
      </c>
      <c r="AQ68" s="185">
        <f t="shared" ca="1" si="78"/>
        <v>64</v>
      </c>
      <c r="AR68" s="185">
        <f t="shared" ca="1" si="78"/>
        <v>5</v>
      </c>
      <c r="AS68" s="185" t="str">
        <f t="shared" ca="1" si="78"/>
        <v>802.11a/b/g/n/ac</v>
      </c>
      <c r="AT68" s="185">
        <f t="shared" ca="1" si="78"/>
        <v>12</v>
      </c>
      <c r="AU68" s="185" t="str">
        <f t="shared" ca="1" si="78"/>
        <v>Epeat Bronze</v>
      </c>
      <c r="AV68" s="185" t="str">
        <f t="shared" ca="1" si="78"/>
        <v>802.11a/b/g/n/ac</v>
      </c>
      <c r="AW68" s="185">
        <f t="shared" ca="1" si="78"/>
        <v>5</v>
      </c>
      <c r="AX68" s="185">
        <f t="shared" ca="1" si="79"/>
        <v>12</v>
      </c>
      <c r="AY68" s="185" t="str">
        <f t="shared" ca="1" si="79"/>
        <v>Galaxy Tab S6 Lite WiFi (64GB)</v>
      </c>
      <c r="AZ68" s="185">
        <f t="shared" ca="1" si="79"/>
        <v>0</v>
      </c>
      <c r="BA68" s="185" t="str">
        <f t="shared" ca="1" si="79"/>
        <v>Android 11</v>
      </c>
      <c r="BB68" s="185">
        <f t="shared" ca="1" si="79"/>
        <v>3894</v>
      </c>
      <c r="BC68" s="185">
        <f t="shared" ca="1" si="79"/>
        <v>3894</v>
      </c>
      <c r="BD68" s="192" t="str">
        <f t="shared" ca="1" si="79"/>
        <v>Tolerate</v>
      </c>
      <c r="BE68" s="192" t="str">
        <f t="shared" ca="1" si="79"/>
        <v xml:space="preserve">Insmat </v>
      </c>
      <c r="BF68" s="192" t="str">
        <f t="shared" ca="1" si="79"/>
        <v>Samsung</v>
      </c>
      <c r="BG68" s="192" t="str">
        <f t="shared" ca="1" si="79"/>
        <v>Deltaco</v>
      </c>
      <c r="BH68" s="192" t="str">
        <f t="shared" ca="1" si="80"/>
        <v>Samsung</v>
      </c>
      <c r="BI68" s="192" t="str">
        <f t="shared" ca="1" si="80"/>
        <v xml:space="preserve">TOLERATE ARMOR FOLIO SAMSUNG TAB S6 LITE BLACK </v>
      </c>
      <c r="BJ68" s="192" t="str">
        <f t="shared" ca="1" si="80"/>
        <v>Insmat Brilliant</v>
      </c>
      <c r="BK68" s="192" t="str">
        <f t="shared" ca="1" si="80"/>
        <v>SAMSUNG FAST TRAVEL CHARGER USB-C BLACK</v>
      </c>
      <c r="BL68" s="192" t="str">
        <f t="shared" ca="1" si="80"/>
        <v>DELTACO trådlöst minitangentbord, 78 tangenter, Bluetooth, nordisk layout, dämpade tangenter, svart</v>
      </c>
      <c r="BM68" s="192" t="str">
        <f t="shared" ca="1" si="80"/>
        <v xml:space="preserve">SAMSUNG S-PEN GALAXY TAB S6 LITE GREY </v>
      </c>
      <c r="BN68" s="192">
        <f t="shared" ca="1" si="80"/>
        <v>350</v>
      </c>
      <c r="BO68" s="192">
        <f t="shared" ca="1" si="80"/>
        <v>165</v>
      </c>
      <c r="BP68" s="192">
        <f t="shared" ca="1" si="80"/>
        <v>114</v>
      </c>
      <c r="BQ68" s="192">
        <f t="shared" ca="1" si="80"/>
        <v>156</v>
      </c>
      <c r="BR68" s="192">
        <f t="shared" ca="1" si="80"/>
        <v>306</v>
      </c>
      <c r="BS68" s="192">
        <f t="shared" ca="1" si="80"/>
        <v>1</v>
      </c>
      <c r="BT68" s="192">
        <f t="shared" ca="1" si="80"/>
        <v>60</v>
      </c>
      <c r="BU68" s="192">
        <f t="shared" ca="1" si="80"/>
        <v>50</v>
      </c>
      <c r="BV68" s="192">
        <f t="shared" ca="1" si="80"/>
        <v>0</v>
      </c>
      <c r="BW68" s="192"/>
      <c r="BX68" s="192"/>
      <c r="BY68" s="192" t="str">
        <f t="shared" ca="1" si="75"/>
        <v>Foxway Education AB</v>
      </c>
      <c r="BZ68" s="192" t="str">
        <f t="shared" ca="1" si="75"/>
        <v>Samsung</v>
      </c>
      <c r="CA68" s="63"/>
      <c r="CB68" s="63"/>
      <c r="CC68" s="63"/>
      <c r="CD68" s="63"/>
      <c r="CE68" s="63"/>
      <c r="CF68" s="63"/>
      <c r="CG68" s="63"/>
      <c r="CH68" s="63"/>
      <c r="CI68" s="63"/>
      <c r="CJ68" s="63"/>
      <c r="CK68" s="63"/>
      <c r="CL68" s="63"/>
      <c r="CM68" s="63"/>
      <c r="CN68" s="63"/>
    </row>
    <row r="69" spans="2:94" ht="30" customHeight="1" outlineLevel="1" x14ac:dyDescent="0.35">
      <c r="B69" s="69" t="s">
        <v>54</v>
      </c>
      <c r="C69" s="98" t="s">
        <v>373</v>
      </c>
      <c r="D69" s="70"/>
      <c r="F69" s="157" t="str">
        <f t="shared" si="81"/>
        <v/>
      </c>
      <c r="G69" s="158">
        <f t="shared" ca="1" si="82"/>
        <v>180</v>
      </c>
      <c r="H69" s="158">
        <f t="shared" ca="1" si="82"/>
        <v>251</v>
      </c>
      <c r="I69" s="158">
        <f t="shared" ca="1" si="82"/>
        <v>189</v>
      </c>
      <c r="J69" s="62"/>
      <c r="Q69" s="185">
        <f t="shared" si="56"/>
        <v>0</v>
      </c>
      <c r="R69" s="185">
        <f t="shared" si="57"/>
        <v>0</v>
      </c>
      <c r="S69" s="185">
        <f t="shared" si="58"/>
        <v>0</v>
      </c>
      <c r="T69" s="185">
        <f t="shared" si="59"/>
        <v>0</v>
      </c>
      <c r="U69" s="185">
        <f t="shared" si="60"/>
        <v>0</v>
      </c>
      <c r="V69" s="185">
        <f t="shared" si="61"/>
        <v>0</v>
      </c>
      <c r="W69" s="185">
        <f t="shared" si="62"/>
        <v>0</v>
      </c>
      <c r="X69" s="185">
        <f t="shared" si="63"/>
        <v>0</v>
      </c>
      <c r="Y69" s="185">
        <f t="shared" si="64"/>
        <v>0</v>
      </c>
      <c r="Z69" s="196">
        <f t="shared" ca="1" si="65"/>
        <v>7350</v>
      </c>
      <c r="AA69" s="185" t="str">
        <f t="shared" si="66"/>
        <v>Offererad produktnr. 09Foxway Education AB</v>
      </c>
      <c r="AB69" s="185" t="b">
        <f>IF(D56="",TRUE,IF(COUNTIF(Processor!$M$2:$M$3,D56)=0,IF(AN69=D56,TRUE,FALSE),IF(COUNTIF(AN69,INDEX(Processor!$N$2:$N$3,MATCH(Surfplattor!D56,Processor!$M$2:$M$3,0)))&gt;0,TRUE,FALSE)))</f>
        <v>1</v>
      </c>
      <c r="AC69" s="185" t="b">
        <f>IF($D$57="",TRUE,IF(COUNTIF(Processor!$I$2:$I$9,$D$57)&gt;0,AND(AO69&gt;INDEX(Processor!$J$2:$J$9,MATCH($D$57,Processor!$I$2:$I$9,0)),AO69&lt;INDEX(Processor!$K$2:$K$9,MATCH($D$57,Processor!$I$2:$I$9,0))),IF(AO69=$D$57,TRUE,FALSE)))</f>
        <v>1</v>
      </c>
      <c r="AD69" s="185" t="b">
        <f t="shared" si="67"/>
        <v>1</v>
      </c>
      <c r="AE69" s="185" t="b">
        <f t="shared" si="68"/>
        <v>1</v>
      </c>
      <c r="AF69" s="185" t="b">
        <f t="shared" si="69"/>
        <v>1</v>
      </c>
      <c r="AG69" s="185" t="b">
        <f t="shared" si="70"/>
        <v>1</v>
      </c>
      <c r="AH69" s="185" t="b">
        <f>IF($D$62="",TRUE,IF(INDEX(Processor!$C$14:$C$20,MATCH(LEFT(AT69,10)&amp;"",Processor!$A$14:$A$20,0))&gt;=INDEX(Processor!$C$14:$C$20,MATCH(LEFT($D$62,10)&amp;"",Processor!$A$14:$A$20,0)),TRUE,FALSE))</f>
        <v>1</v>
      </c>
      <c r="AI69" s="185" t="b">
        <f t="shared" si="71"/>
        <v>1</v>
      </c>
      <c r="AJ69" s="185"/>
      <c r="AK69" s="185"/>
      <c r="AL69" s="185" t="s">
        <v>218</v>
      </c>
      <c r="AM69" s="185">
        <v>1</v>
      </c>
      <c r="AN69" s="185" t="str">
        <f t="shared" ca="1" si="78"/>
        <v>Android 11</v>
      </c>
      <c r="AO69" s="185">
        <f t="shared" ca="1" si="78"/>
        <v>11</v>
      </c>
      <c r="AP69" s="185" t="str">
        <f t="shared" ca="1" si="78"/>
        <v>2560x1600</v>
      </c>
      <c r="AQ69" s="185">
        <f t="shared" ca="1" si="78"/>
        <v>128</v>
      </c>
      <c r="AR69" s="185">
        <f t="shared" ca="1" si="78"/>
        <v>5</v>
      </c>
      <c r="AS69" s="185" t="str">
        <f t="shared" ca="1" si="78"/>
        <v>802.11a/b/g/n/ac/ax</v>
      </c>
      <c r="AT69" s="185">
        <f t="shared" ca="1" si="78"/>
        <v>13</v>
      </c>
      <c r="AU69" s="185" t="str">
        <f t="shared" ca="1" si="78"/>
        <v>Epeat Bronze</v>
      </c>
      <c r="AV69" s="185" t="str">
        <f t="shared" ca="1" si="78"/>
        <v>802.11a/b/g/n/ac/ax</v>
      </c>
      <c r="AW69" s="185">
        <f t="shared" ca="1" si="78"/>
        <v>5</v>
      </c>
      <c r="AX69" s="185">
        <f t="shared" ca="1" si="79"/>
        <v>13</v>
      </c>
      <c r="AY69" s="185" t="str">
        <f t="shared" ca="1" si="79"/>
        <v>Galaxy Tab S8 Wifi (128GB)</v>
      </c>
      <c r="AZ69" s="185">
        <f t="shared" ca="1" si="79"/>
        <v>0</v>
      </c>
      <c r="BA69" s="185" t="str">
        <f t="shared" ca="1" si="79"/>
        <v>Android 11</v>
      </c>
      <c r="BB69" s="185">
        <f t="shared" ca="1" si="79"/>
        <v>7350</v>
      </c>
      <c r="BC69" s="185">
        <f t="shared" ca="1" si="79"/>
        <v>7350</v>
      </c>
      <c r="BD69" s="192" t="str">
        <f t="shared" ca="1" si="79"/>
        <v>Insmat</v>
      </c>
      <c r="BE69" s="192" t="str">
        <f t="shared" ca="1" si="79"/>
        <v>Tolerate</v>
      </c>
      <c r="BF69" s="192" t="str">
        <f t="shared" ca="1" si="79"/>
        <v>Samsung</v>
      </c>
      <c r="BG69" s="192" t="str">
        <f t="shared" ca="1" si="79"/>
        <v>Deltaco</v>
      </c>
      <c r="BH69" s="192" t="str">
        <f t="shared" ca="1" si="80"/>
        <v>Samsung</v>
      </c>
      <c r="BI69" s="192" t="str">
        <f t="shared" ca="1" si="80"/>
        <v>Insmat Rugged Armor S8</v>
      </c>
      <c r="BJ69" s="192" t="str">
        <f t="shared" ca="1" si="80"/>
        <v>TOLERATE GLASS SCREEN PROTECTOR SAMSUNG TAB S8</v>
      </c>
      <c r="BK69" s="192" t="str">
        <f t="shared" ca="1" si="80"/>
        <v>SAMSUNG FAST TRAVEL CHARGER USB-C BLACK</v>
      </c>
      <c r="BL69" s="192" t="str">
        <f t="shared" ca="1" si="80"/>
        <v>DELTACO trådlöst minitangentbord, 78 tangenter, Bluetooth, nordisk layout, dämpade tangenter, svart</v>
      </c>
      <c r="BM69" s="192" t="str">
        <f t="shared" ca="1" si="80"/>
        <v>SAMSUNG S-PEN GALAXY TAB S7</v>
      </c>
      <c r="BN69" s="192">
        <f t="shared" ca="1" si="80"/>
        <v>340</v>
      </c>
      <c r="BO69" s="185">
        <f t="shared" ca="1" si="80"/>
        <v>205</v>
      </c>
      <c r="BP69" s="192">
        <f t="shared" ca="1" si="80"/>
        <v>114</v>
      </c>
      <c r="BQ69" s="192">
        <f t="shared" ca="1" si="80"/>
        <v>156</v>
      </c>
      <c r="BR69" s="192">
        <f t="shared" ca="1" si="80"/>
        <v>360</v>
      </c>
      <c r="BS69" s="185">
        <f t="shared" ca="1" si="80"/>
        <v>1</v>
      </c>
      <c r="BT69" s="185">
        <f t="shared" ca="1" si="80"/>
        <v>60</v>
      </c>
      <c r="BU69" s="185">
        <f t="shared" ca="1" si="80"/>
        <v>50</v>
      </c>
      <c r="BV69" s="185">
        <f t="shared" ca="1" si="80"/>
        <v>0</v>
      </c>
      <c r="BW69" s="185"/>
      <c r="BX69" s="185"/>
      <c r="BY69" s="185" t="str">
        <f t="shared" ca="1" si="75"/>
        <v>Foxway Education AB</v>
      </c>
      <c r="BZ69" s="185" t="str">
        <f t="shared" ca="1" si="75"/>
        <v>Samsung</v>
      </c>
      <c r="CA69" s="63"/>
      <c r="CB69" s="63"/>
      <c r="CC69" s="63"/>
      <c r="CD69" s="63"/>
      <c r="CE69" s="63"/>
      <c r="CF69" s="63"/>
      <c r="CG69" s="63"/>
      <c r="CH69" s="63"/>
      <c r="CI69" s="63"/>
      <c r="CJ69" s="63"/>
      <c r="CK69" s="63"/>
      <c r="CL69" s="63"/>
      <c r="CM69" s="63"/>
      <c r="CN69" s="63"/>
    </row>
    <row r="70" spans="2:94" ht="30" customHeight="1" outlineLevel="1" x14ac:dyDescent="0.35">
      <c r="B70" s="69" t="s">
        <v>341</v>
      </c>
      <c r="C70" s="61" t="s">
        <v>51</v>
      </c>
      <c r="D70" s="131" t="str">
        <f>IF("Ska Ingå"=D69,"Ska Ingå","")</f>
        <v/>
      </c>
      <c r="F70" s="88" t="str">
        <f t="shared" si="81"/>
        <v/>
      </c>
      <c r="G70" s="89" t="str">
        <f t="shared" ca="1" si="82"/>
        <v>Lenovo</v>
      </c>
      <c r="H70" s="89" t="str">
        <f t="shared" ca="1" si="82"/>
        <v>eSTUFF</v>
      </c>
      <c r="I70" s="89" t="str">
        <f t="shared" ca="1" si="82"/>
        <v>ZAGG</v>
      </c>
      <c r="J70" s="62"/>
      <c r="Q70" s="185">
        <f t="shared" si="56"/>
        <v>0</v>
      </c>
      <c r="R70" s="185">
        <f t="shared" si="57"/>
        <v>0</v>
      </c>
      <c r="S70" s="185">
        <f t="shared" si="58"/>
        <v>0</v>
      </c>
      <c r="T70" s="185">
        <f t="shared" si="59"/>
        <v>0</v>
      </c>
      <c r="U70" s="185">
        <f t="shared" si="60"/>
        <v>0</v>
      </c>
      <c r="V70" s="185">
        <f t="shared" si="61"/>
        <v>0</v>
      </c>
      <c r="W70" s="185">
        <f t="shared" si="62"/>
        <v>0</v>
      </c>
      <c r="X70" s="185">
        <f t="shared" si="63"/>
        <v>0</v>
      </c>
      <c r="Y70" s="185">
        <f t="shared" si="64"/>
        <v>0</v>
      </c>
      <c r="Z70" s="196">
        <f t="shared" ca="1" si="65"/>
        <v>5256</v>
      </c>
      <c r="AA70" s="185" t="str">
        <f t="shared" si="66"/>
        <v>Offererad produktnr. 10Foxway Education AB</v>
      </c>
      <c r="AB70" s="185" t="b">
        <f>IF(D56="",TRUE,IF(COUNTIF(Processor!$M$2:$M$3,D56)=0,IF(AN70=D56,TRUE,FALSE),IF(COUNTIF(AN70,INDEX(Processor!$N$2:$N$3,MATCH(Surfplattor!D56,Processor!$M$2:$M$3,0)))&gt;0,TRUE,FALSE)))</f>
        <v>1</v>
      </c>
      <c r="AC70" s="185" t="b">
        <f>IF($D$57="",TRUE,IF(COUNTIF(Processor!$I$2:$I$9,$D$57)&gt;0,AND(AO70&gt;INDEX(Processor!$J$2:$J$9,MATCH($D$57,Processor!$I$2:$I$9,0)),AO70&lt;INDEX(Processor!$K$2:$K$9,MATCH($D$57,Processor!$I$2:$I$9,0))),IF(AO70=$D$57,TRUE,FALSE)))</f>
        <v>1</v>
      </c>
      <c r="AD70" s="185" t="b">
        <f t="shared" si="67"/>
        <v>1</v>
      </c>
      <c r="AE70" s="185" t="b">
        <f t="shared" si="68"/>
        <v>1</v>
      </c>
      <c r="AF70" s="185" t="b">
        <f t="shared" si="69"/>
        <v>1</v>
      </c>
      <c r="AG70" s="185" t="b">
        <f t="shared" si="70"/>
        <v>1</v>
      </c>
      <c r="AH70" s="185" t="b">
        <f>IF($D$62="",TRUE,IF(INDEX(Processor!$C$14:$C$20,MATCH(LEFT(AT70,10)&amp;"",Processor!$A$14:$A$20,0))&gt;=INDEX(Processor!$C$14:$C$20,MATCH(LEFT($D$62,10)&amp;"",Processor!$A$14:$A$20,0)),TRUE,FALSE))</f>
        <v>1</v>
      </c>
      <c r="AI70" s="185" t="b">
        <f t="shared" si="71"/>
        <v>1</v>
      </c>
      <c r="AJ70" s="185"/>
      <c r="AK70" s="185"/>
      <c r="AL70" s="185" t="s">
        <v>219</v>
      </c>
      <c r="AM70" s="185">
        <v>1</v>
      </c>
      <c r="AN70" s="185" t="str">
        <f t="shared" ca="1" si="78"/>
        <v>Android 10</v>
      </c>
      <c r="AO70" s="185">
        <f t="shared" ca="1" si="78"/>
        <v>11.5</v>
      </c>
      <c r="AP70" s="185" t="str">
        <f t="shared" ca="1" si="78"/>
        <v>2560x1600</v>
      </c>
      <c r="AQ70" s="185">
        <f t="shared" ca="1" si="78"/>
        <v>128</v>
      </c>
      <c r="AR70" s="185">
        <f t="shared" ca="1" si="78"/>
        <v>5</v>
      </c>
      <c r="AS70" s="185" t="str">
        <f t="shared" ca="1" si="78"/>
        <v>802.11a/b/g/n/ac</v>
      </c>
      <c r="AT70" s="185">
        <f t="shared" ca="1" si="78"/>
        <v>8</v>
      </c>
      <c r="AU70" s="185" t="str">
        <f t="shared" ca="1" si="78"/>
        <v>Ej miljömärkt</v>
      </c>
      <c r="AV70" s="185" t="str">
        <f t="shared" ca="1" si="78"/>
        <v>802.11a/b/g/n/ac</v>
      </c>
      <c r="AW70" s="185">
        <f t="shared" ca="1" si="78"/>
        <v>5</v>
      </c>
      <c r="AX70" s="185">
        <f t="shared" ca="1" si="79"/>
        <v>8</v>
      </c>
      <c r="AY70" s="185" t="str">
        <f t="shared" ca="1" si="79"/>
        <v>Tab P11 Pro</v>
      </c>
      <c r="AZ70" s="185">
        <f t="shared" ca="1" si="79"/>
        <v>0</v>
      </c>
      <c r="BA70" s="185" t="str">
        <f t="shared" ca="1" si="79"/>
        <v>Android 10</v>
      </c>
      <c r="BB70" s="185">
        <f t="shared" ca="1" si="79"/>
        <v>5256</v>
      </c>
      <c r="BC70" s="185">
        <f t="shared" ca="1" si="79"/>
        <v>5256</v>
      </c>
      <c r="BD70" s="192" t="str">
        <f t="shared" ca="1" si="79"/>
        <v>Lenovo</v>
      </c>
      <c r="BE70" s="192" t="str">
        <f t="shared" ca="1" si="79"/>
        <v>Lenovo</v>
      </c>
      <c r="BF70" s="192" t="str">
        <f t="shared" ca="1" si="79"/>
        <v>Lenovo</v>
      </c>
      <c r="BG70" s="192" t="str">
        <f t="shared" ca="1" si="79"/>
        <v>Deltaco</v>
      </c>
      <c r="BH70" s="192" t="str">
        <f t="shared" ca="1" si="80"/>
        <v>Lenovo</v>
      </c>
      <c r="BI70" s="192" t="str">
        <f t="shared" ca="1" si="80"/>
        <v>P11 Pro Folio Case &amp; Film Grey</v>
      </c>
      <c r="BJ70" s="192" t="str">
        <f t="shared" ca="1" si="80"/>
        <v>Skyddsfilm</v>
      </c>
      <c r="BK70" s="192" t="str">
        <f t="shared" ca="1" si="80"/>
        <v xml:space="preserve">Lenovo Smart Charge station </v>
      </c>
      <c r="BL70" s="192" t="str">
        <f t="shared" ca="1" si="80"/>
        <v>DELTACO trådlöst minitangentbord, 78 tangenter, Bluetooth, nordisk layout, dämpade tangenter, svart</v>
      </c>
      <c r="BM70" s="192" t="str">
        <f t="shared" ca="1" si="80"/>
        <v>Lenovo Precision Pen 2</v>
      </c>
      <c r="BN70" s="192">
        <f t="shared" ca="1" si="80"/>
        <v>210</v>
      </c>
      <c r="BO70" s="185">
        <f t="shared" ca="1" si="80"/>
        <v>276</v>
      </c>
      <c r="BP70" s="192">
        <f t="shared" ca="1" si="80"/>
        <v>240</v>
      </c>
      <c r="BQ70" s="192">
        <f t="shared" ca="1" si="80"/>
        <v>156</v>
      </c>
      <c r="BR70" s="192">
        <f t="shared" ca="1" si="80"/>
        <v>564</v>
      </c>
      <c r="BS70" s="185">
        <f t="shared" ca="1" si="80"/>
        <v>550</v>
      </c>
      <c r="BT70" s="185">
        <f t="shared" ca="1" si="80"/>
        <v>60</v>
      </c>
      <c r="BU70" s="185">
        <f t="shared" ca="1" si="80"/>
        <v>50</v>
      </c>
      <c r="BV70" s="185">
        <f t="shared" ca="1" si="80"/>
        <v>0</v>
      </c>
      <c r="BW70" s="185"/>
      <c r="BX70" s="185"/>
      <c r="BY70" s="185" t="str">
        <f t="shared" ca="1" si="75"/>
        <v>Foxway Education AB</v>
      </c>
      <c r="BZ70" s="185" t="str">
        <f t="shared" ca="1" si="75"/>
        <v>Lenovo</v>
      </c>
      <c r="CA70" s="63"/>
      <c r="CB70" s="63"/>
      <c r="CC70" s="63"/>
      <c r="CD70" s="63"/>
      <c r="CE70" s="63"/>
      <c r="CF70" s="63"/>
      <c r="CG70" s="63"/>
      <c r="CH70" s="63"/>
      <c r="CI70" s="63"/>
      <c r="CJ70" s="63"/>
      <c r="CK70" s="63"/>
      <c r="CL70" s="63"/>
      <c r="CM70" s="63"/>
      <c r="CN70" s="63"/>
    </row>
    <row r="71" spans="2:94" ht="68.25" customHeight="1" outlineLevel="1" x14ac:dyDescent="0.35">
      <c r="B71" s="69" t="s">
        <v>346</v>
      </c>
      <c r="C71" s="99" t="s">
        <v>52</v>
      </c>
      <c r="D71" s="132" t="str">
        <f>IF("Ska Ingå"=D69,"Ska Ingå","")</f>
        <v/>
      </c>
      <c r="F71" s="90" t="str">
        <f t="shared" si="81"/>
        <v/>
      </c>
      <c r="G71" s="91" t="str">
        <f t="shared" ca="1" si="82"/>
        <v>GBXLENFILM</v>
      </c>
      <c r="H71" s="91" t="str">
        <f t="shared" ca="1" si="82"/>
        <v>ES517003 - Skärmskydd för surfplatta - glas - klar - för Lenovo Tab M10 (3rd Gen)</v>
      </c>
      <c r="I71" s="91" t="str">
        <f t="shared" ca="1" si="82"/>
        <v>gbx200106077</v>
      </c>
      <c r="J71" s="73"/>
      <c r="Q71" s="185">
        <f t="shared" si="56"/>
        <v>0</v>
      </c>
      <c r="R71" s="185">
        <f t="shared" si="57"/>
        <v>0</v>
      </c>
      <c r="S71" s="185">
        <f t="shared" si="58"/>
        <v>0</v>
      </c>
      <c r="T71" s="185">
        <f t="shared" si="59"/>
        <v>0</v>
      </c>
      <c r="U71" s="185">
        <f t="shared" si="60"/>
        <v>0</v>
      </c>
      <c r="V71" s="185">
        <f t="shared" si="61"/>
        <v>0</v>
      </c>
      <c r="W71" s="185">
        <f t="shared" si="62"/>
        <v>0</v>
      </c>
      <c r="X71" s="185">
        <f t="shared" si="63"/>
        <v>0</v>
      </c>
      <c r="Y71" s="185">
        <f t="shared" si="64"/>
        <v>0</v>
      </c>
      <c r="Z71" s="196">
        <f t="shared" ca="1" si="65"/>
        <v>1700</v>
      </c>
      <c r="AA71" s="185" t="str">
        <f t="shared" si="66"/>
        <v>Offererad produktnr. 07Qlosr Göteborg AB</v>
      </c>
      <c r="AB71" s="185" t="b">
        <f>IF(D56="",TRUE,IF(COUNTIF(Processor!$M$2:$M$3,D56)=0,IF(AN71=D56,TRUE,FALSE),IF(COUNTIF(AN71,INDEX(Processor!$N$2:$N$3,MATCH(Surfplattor!D56,Processor!$M$2:$M$3,0)))&gt;0,TRUE,FALSE)))</f>
        <v>1</v>
      </c>
      <c r="AC71" s="185" t="b">
        <f>IF($D$57="",TRUE,IF(COUNTIF(Processor!$I$2:$I$9,$D$57)&gt;0,AND(AO71&gt;INDEX(Processor!$J$2:$J$9,MATCH($D$57,Processor!$I$2:$I$9,0)),AO71&lt;INDEX(Processor!$K$2:$K$9,MATCH($D$57,Processor!$I$2:$I$9,0))),IF(AO71=$D$57,TRUE,FALSE)))</f>
        <v>1</v>
      </c>
      <c r="AD71" s="185" t="b">
        <f t="shared" si="67"/>
        <v>1</v>
      </c>
      <c r="AE71" s="185" t="b">
        <f t="shared" si="68"/>
        <v>1</v>
      </c>
      <c r="AF71" s="185" t="b">
        <f t="shared" si="69"/>
        <v>1</v>
      </c>
      <c r="AG71" s="185" t="b">
        <f t="shared" si="70"/>
        <v>1</v>
      </c>
      <c r="AH71" s="185" t="b">
        <f>IF($D$62="",TRUE,IF(INDEX(Processor!$C$14:$C$20,MATCH(LEFT(AT71,10)&amp;"",Processor!$A$14:$A$20,0))&gt;=INDEX(Processor!$C$14:$C$20,MATCH(LEFT($D$62,10)&amp;"",Processor!$A$14:$A$20,0)),TRUE,FALSE))</f>
        <v>1</v>
      </c>
      <c r="AI71" s="185" t="b">
        <f t="shared" si="71"/>
        <v>1</v>
      </c>
      <c r="AJ71" s="185"/>
      <c r="AK71" s="185"/>
      <c r="AL71" s="185" t="s">
        <v>558</v>
      </c>
      <c r="AM71" s="185">
        <v>1</v>
      </c>
      <c r="AN71" s="185" t="str">
        <f t="shared" ca="1" si="78"/>
        <v>Android 9</v>
      </c>
      <c r="AO71" s="185">
        <f t="shared" ca="1" si="78"/>
        <v>10.3</v>
      </c>
      <c r="AP71" s="185" t="str">
        <f t="shared" ca="1" si="78"/>
        <v>1920x1200</v>
      </c>
      <c r="AQ71" s="185">
        <f t="shared" ca="1" si="78"/>
        <v>64</v>
      </c>
      <c r="AR71" s="185">
        <f t="shared" ca="1" si="78"/>
        <v>5</v>
      </c>
      <c r="AS71" s="185" t="str">
        <f t="shared" ca="1" si="78"/>
        <v>802.11a/b/g/n/ac</v>
      </c>
      <c r="AT71" s="185">
        <f t="shared" ca="1" si="78"/>
        <v>9</v>
      </c>
      <c r="AU71" s="185" t="str">
        <f t="shared" ca="1" si="78"/>
        <v>Ej miljömärkt</v>
      </c>
      <c r="AV71" s="185" t="str">
        <f t="shared" ca="1" si="78"/>
        <v>802.11a/b/g/n/ac</v>
      </c>
      <c r="AW71" s="185">
        <f t="shared" ca="1" si="78"/>
        <v>5</v>
      </c>
      <c r="AX71" s="185">
        <f t="shared" ca="1" si="79"/>
        <v>9</v>
      </c>
      <c r="AY71" s="185" t="str">
        <f t="shared" ca="1" si="79"/>
        <v>M10 FHD G2</v>
      </c>
      <c r="AZ71" s="185">
        <f t="shared" ca="1" si="79"/>
        <v>0</v>
      </c>
      <c r="BA71" s="185" t="str">
        <f t="shared" ca="1" si="79"/>
        <v>Android 9</v>
      </c>
      <c r="BB71" s="185">
        <f t="shared" ca="1" si="79"/>
        <v>1700</v>
      </c>
      <c r="BC71" s="185">
        <f t="shared" ca="1" si="79"/>
        <v>1700</v>
      </c>
      <c r="BD71" s="192" t="str">
        <f t="shared" ca="1" si="79"/>
        <v>Phonelife</v>
      </c>
      <c r="BE71" s="192" t="str">
        <f t="shared" ca="1" si="79"/>
        <v>Lenovo</v>
      </c>
      <c r="BF71" s="192" t="str">
        <f t="shared" ca="1" si="79"/>
        <v>Lenovo</v>
      </c>
      <c r="BG71" s="192" t="str">
        <f t="shared" ca="1" si="79"/>
        <v>DELTACO</v>
      </c>
      <c r="BH71" s="192" t="str">
        <f t="shared" ca="1" si="80"/>
        <v>Kecow</v>
      </c>
      <c r="BI71" s="192" t="str">
        <f t="shared" ca="1" si="80"/>
        <v>GBXRUGGEDLENTAB-V1</v>
      </c>
      <c r="BJ71" s="192" t="str">
        <f t="shared" ca="1" si="80"/>
        <v>GBXLENFILM</v>
      </c>
      <c r="BK71" s="192" t="str">
        <f t="shared" ca="1" si="80"/>
        <v>GBXLENCHARGE</v>
      </c>
      <c r="BL71" s="192" t="str">
        <f t="shared" ca="1" si="80"/>
        <v>GBX TB-631</v>
      </c>
      <c r="BM71" s="192" t="str">
        <f t="shared" ca="1" si="80"/>
        <v>GBXPP2PENMAGNETIC</v>
      </c>
      <c r="BN71" s="192">
        <f t="shared" ca="1" si="80"/>
        <v>325</v>
      </c>
      <c r="BO71" s="185">
        <f t="shared" ca="1" si="80"/>
        <v>180</v>
      </c>
      <c r="BP71" s="192">
        <f t="shared" ca="1" si="80"/>
        <v>220</v>
      </c>
      <c r="BQ71" s="192">
        <f t="shared" ca="1" si="80"/>
        <v>150</v>
      </c>
      <c r="BR71" s="192">
        <f t="shared" ca="1" si="80"/>
        <v>399</v>
      </c>
      <c r="BS71" s="185">
        <f t="shared" ca="1" si="80"/>
        <v>570</v>
      </c>
      <c r="BT71" s="185">
        <f t="shared" ca="1" si="80"/>
        <v>25</v>
      </c>
      <c r="BU71" s="185">
        <f t="shared" ca="1" si="80"/>
        <v>25</v>
      </c>
      <c r="BV71" s="185">
        <f t="shared" ca="1" si="80"/>
        <v>0</v>
      </c>
      <c r="BW71" s="185"/>
      <c r="BX71" s="185"/>
      <c r="BY71" s="185" t="str">
        <f t="shared" ca="1" si="75"/>
        <v>Qlosr Göteborg AB</v>
      </c>
      <c r="BZ71" s="185" t="str">
        <f t="shared" ca="1" si="75"/>
        <v>Lenovo</v>
      </c>
      <c r="CA71" s="63"/>
      <c r="CB71" s="63"/>
      <c r="CC71" s="63"/>
      <c r="CD71" s="63"/>
      <c r="CE71" s="63"/>
      <c r="CF71" s="63"/>
      <c r="CG71" s="63"/>
      <c r="CH71" s="63"/>
      <c r="CI71" s="63"/>
      <c r="CJ71" s="63"/>
      <c r="CK71" s="63"/>
      <c r="CL71" s="63"/>
      <c r="CM71" s="63"/>
      <c r="CN71" s="63"/>
    </row>
    <row r="72" spans="2:94" ht="30" customHeight="1" outlineLevel="1" x14ac:dyDescent="0.35">
      <c r="B72" s="69" t="s">
        <v>55</v>
      </c>
      <c r="C72" s="95" t="s">
        <v>371</v>
      </c>
      <c r="D72" s="70"/>
      <c r="F72" s="159" t="str">
        <f t="shared" si="81"/>
        <v/>
      </c>
      <c r="G72" s="160">
        <f t="shared" ca="1" si="82"/>
        <v>220</v>
      </c>
      <c r="H72" s="160">
        <f t="shared" ca="1" si="82"/>
        <v>108</v>
      </c>
      <c r="I72" s="160">
        <f t="shared" ca="1" si="82"/>
        <v>279</v>
      </c>
      <c r="J72" s="54"/>
      <c r="Q72" s="185">
        <f t="shared" si="56"/>
        <v>0</v>
      </c>
      <c r="R72" s="185">
        <f t="shared" si="57"/>
        <v>0</v>
      </c>
      <c r="S72" s="185">
        <f t="shared" si="58"/>
        <v>0</v>
      </c>
      <c r="T72" s="185">
        <f t="shared" si="59"/>
        <v>0</v>
      </c>
      <c r="U72" s="185">
        <f t="shared" si="60"/>
        <v>0</v>
      </c>
      <c r="V72" s="185">
        <f t="shared" si="61"/>
        <v>0</v>
      </c>
      <c r="W72" s="185">
        <f t="shared" si="62"/>
        <v>0</v>
      </c>
      <c r="X72" s="185">
        <f t="shared" si="63"/>
        <v>0</v>
      </c>
      <c r="Y72" s="185">
        <f t="shared" si="64"/>
        <v>0</v>
      </c>
      <c r="Z72" s="196">
        <f t="shared" ca="1" si="65"/>
        <v>3205</v>
      </c>
      <c r="AA72" s="185" t="str">
        <f t="shared" si="66"/>
        <v>Offererad produktnr. 08Qlosr Göteborg AB</v>
      </c>
      <c r="AB72" s="185" t="b">
        <f>IF(D56="",TRUE,IF(COUNTIF(Processor!$M$2:$M$3,D56)=0,IF(AN72=D56,TRUE,FALSE),IF(COUNTIF(AN72,INDEX(Processor!$N$2:$N$3,MATCH(Surfplattor!D56,Processor!$M$2:$M$3,0)))&gt;0,TRUE,FALSE)))</f>
        <v>1</v>
      </c>
      <c r="AC72" s="185" t="b">
        <f>IF($D$57="",TRUE,IF(COUNTIF(Processor!$I$2:$I$9,$D$57)&gt;0,AND(AO72&gt;INDEX(Processor!$J$2:$J$9,MATCH($D$57,Processor!$I$2:$I$9,0)),AO72&lt;INDEX(Processor!$K$2:$K$9,MATCH($D$57,Processor!$I$2:$I$9,0))),IF(AO72=$D$57,TRUE,FALSE)))</f>
        <v>1</v>
      </c>
      <c r="AD72" s="185" t="b">
        <f t="shared" si="67"/>
        <v>1</v>
      </c>
      <c r="AE72" s="185" t="b">
        <f t="shared" si="68"/>
        <v>1</v>
      </c>
      <c r="AF72" s="185" t="b">
        <f t="shared" si="69"/>
        <v>1</v>
      </c>
      <c r="AG72" s="185" t="b">
        <f t="shared" si="70"/>
        <v>1</v>
      </c>
      <c r="AH72" s="185" t="b">
        <f>IF($D$62="",TRUE,IF(INDEX(Processor!$C$14:$C$20,MATCH(LEFT(AT72,10)&amp;"",Processor!$A$14:$A$20,0))&gt;=INDEX(Processor!$C$14:$C$20,MATCH(LEFT($D$62,10)&amp;"",Processor!$A$14:$A$20,0)),TRUE,FALSE))</f>
        <v>1</v>
      </c>
      <c r="AI72" s="185" t="b">
        <f t="shared" si="71"/>
        <v>1</v>
      </c>
      <c r="AJ72" s="185"/>
      <c r="AK72" s="185"/>
      <c r="AL72" s="185" t="s">
        <v>559</v>
      </c>
      <c r="AM72" s="185">
        <v>1</v>
      </c>
      <c r="AN72" s="185" t="str">
        <f t="shared" ca="1" si="78"/>
        <v>iPadOS 15</v>
      </c>
      <c r="AO72" s="185">
        <f t="shared" ca="1" si="78"/>
        <v>10.199999999999999</v>
      </c>
      <c r="AP72" s="185" t="str">
        <f t="shared" ca="1" si="78"/>
        <v>2160x1620</v>
      </c>
      <c r="AQ72" s="185">
        <f t="shared" ca="1" si="78"/>
        <v>64</v>
      </c>
      <c r="AR72" s="185">
        <f t="shared" ca="1" si="78"/>
        <v>4.2</v>
      </c>
      <c r="AS72" s="185" t="str">
        <f t="shared" ca="1" si="78"/>
        <v>802.11a/b/g/n/ac</v>
      </c>
      <c r="AT72" s="185">
        <f t="shared" ca="1" si="78"/>
        <v>10</v>
      </c>
      <c r="AU72" s="185" t="str">
        <f t="shared" ca="1" si="78"/>
        <v>Ej miljömärkt</v>
      </c>
      <c r="AV72" s="185" t="str">
        <f t="shared" ca="1" si="78"/>
        <v>802.11a/b/g/n/ac</v>
      </c>
      <c r="AW72" s="185">
        <f t="shared" ca="1" si="78"/>
        <v>4.2</v>
      </c>
      <c r="AX72" s="185">
        <f t="shared" ca="1" si="79"/>
        <v>10</v>
      </c>
      <c r="AY72" s="185" t="str">
        <f t="shared" ca="1" si="79"/>
        <v>iPad 9th gen (2021)</v>
      </c>
      <c r="AZ72" s="185">
        <f t="shared" ca="1" si="79"/>
        <v>0</v>
      </c>
      <c r="BA72" s="185" t="str">
        <f t="shared" ca="1" si="79"/>
        <v>iPadOS 15</v>
      </c>
      <c r="BB72" s="185">
        <f t="shared" ca="1" si="79"/>
        <v>3205</v>
      </c>
      <c r="BC72" s="185">
        <f t="shared" ca="1" si="79"/>
        <v>3205</v>
      </c>
      <c r="BD72" s="192" t="str">
        <f t="shared" ca="1" si="79"/>
        <v>Otterbox Defender Series</v>
      </c>
      <c r="BE72" s="192" t="str">
        <f t="shared" ca="1" si="79"/>
        <v>ZAGG</v>
      </c>
      <c r="BF72" s="192" t="str">
        <f t="shared" ca="1" si="79"/>
        <v>Belkin</v>
      </c>
      <c r="BG72" s="192" t="str">
        <f t="shared" ca="1" si="79"/>
        <v>DELTACO</v>
      </c>
      <c r="BH72" s="192" t="str">
        <f t="shared" ca="1" si="80"/>
        <v>Apple</v>
      </c>
      <c r="BI72" s="192" t="str">
        <f t="shared" ca="1" si="80"/>
        <v>GBX77-62032</v>
      </c>
      <c r="BJ72" s="192" t="str">
        <f t="shared" ca="1" si="80"/>
        <v>gbx200106077</v>
      </c>
      <c r="BK72" s="192" t="str">
        <f t="shared" ca="1" si="80"/>
        <v>GBXWCA003VF04WH</v>
      </c>
      <c r="BL72" s="192" t="str">
        <f t="shared" ca="1" si="80"/>
        <v>GBX TB-631</v>
      </c>
      <c r="BM72" s="192" t="str">
        <f t="shared" ca="1" si="80"/>
        <v>MK0C2ZM/A</v>
      </c>
      <c r="BN72" s="192">
        <f t="shared" ca="1" si="80"/>
        <v>460</v>
      </c>
      <c r="BO72" s="185">
        <f t="shared" ca="1" si="80"/>
        <v>189</v>
      </c>
      <c r="BP72" s="192">
        <f t="shared" ca="1" si="80"/>
        <v>279</v>
      </c>
      <c r="BQ72" s="192">
        <f t="shared" ca="1" si="80"/>
        <v>150</v>
      </c>
      <c r="BR72" s="192">
        <f t="shared" ca="1" si="80"/>
        <v>839</v>
      </c>
      <c r="BS72" s="185">
        <f t="shared" ca="1" si="80"/>
        <v>514</v>
      </c>
      <c r="BT72" s="185">
        <f t="shared" ca="1" si="80"/>
        <v>25</v>
      </c>
      <c r="BU72" s="185">
        <f t="shared" ca="1" si="80"/>
        <v>25</v>
      </c>
      <c r="BV72" s="185">
        <f t="shared" ca="1" si="80"/>
        <v>0</v>
      </c>
      <c r="BW72" s="185"/>
      <c r="BX72" s="185"/>
      <c r="BY72" s="185" t="str">
        <f t="shared" ca="1" si="75"/>
        <v>Qlosr Göteborg AB</v>
      </c>
      <c r="BZ72" s="185" t="str">
        <f t="shared" ca="1" si="75"/>
        <v>Apple</v>
      </c>
      <c r="CA72" s="63"/>
      <c r="CB72" s="63"/>
      <c r="CC72" s="63"/>
      <c r="CD72" s="63"/>
      <c r="CE72" s="63"/>
      <c r="CF72" s="63"/>
      <c r="CG72" s="63"/>
      <c r="CH72" s="63"/>
      <c r="CI72" s="63"/>
      <c r="CJ72" s="63"/>
      <c r="CK72" s="63"/>
      <c r="CL72" s="63"/>
      <c r="CM72" s="63"/>
      <c r="CN72" s="63"/>
    </row>
    <row r="73" spans="2:94" ht="30" customHeight="1" outlineLevel="1" x14ac:dyDescent="0.35">
      <c r="B73" s="69" t="s">
        <v>342</v>
      </c>
      <c r="C73" s="96" t="s">
        <v>51</v>
      </c>
      <c r="D73" s="131" t="str">
        <f>IF("Ska Ingå"=D72,"Ska Ingå","")</f>
        <v/>
      </c>
      <c r="F73" s="84" t="str">
        <f t="shared" si="81"/>
        <v/>
      </c>
      <c r="G73" s="85" t="str">
        <f t="shared" ca="1" si="82"/>
        <v>Lenovo</v>
      </c>
      <c r="H73" s="85" t="str">
        <f t="shared" ca="1" si="82"/>
        <v>CoreParts</v>
      </c>
      <c r="I73" s="85" t="str">
        <f t="shared" ca="1" si="82"/>
        <v>Belkin</v>
      </c>
      <c r="J73" s="73"/>
      <c r="Q73" s="185">
        <f t="shared" si="56"/>
        <v>0</v>
      </c>
      <c r="R73" s="185">
        <f t="shared" si="57"/>
        <v>0</v>
      </c>
      <c r="S73" s="185">
        <f t="shared" si="58"/>
        <v>0</v>
      </c>
      <c r="T73" s="185">
        <f t="shared" si="59"/>
        <v>0</v>
      </c>
      <c r="U73" s="185">
        <f t="shared" si="60"/>
        <v>0</v>
      </c>
      <c r="V73" s="185">
        <f t="shared" si="61"/>
        <v>0</v>
      </c>
      <c r="W73" s="185">
        <f t="shared" si="62"/>
        <v>0</v>
      </c>
      <c r="X73" s="185">
        <f t="shared" si="63"/>
        <v>0</v>
      </c>
      <c r="Y73" s="185">
        <f t="shared" si="64"/>
        <v>0</v>
      </c>
      <c r="Z73" s="196">
        <f t="shared" ca="1" si="65"/>
        <v>7256</v>
      </c>
      <c r="AA73" s="185" t="str">
        <f t="shared" si="66"/>
        <v>Offererad produktnr. 09Qlosr Göteborg AB</v>
      </c>
      <c r="AB73" s="185" t="b">
        <f>IF(D56="",TRUE,IF(COUNTIF(Processor!$M$2:$M$3,D56)=0,IF(AN73=D56,TRUE,FALSE),IF(COUNTIF(AN73,INDEX(Processor!$N$2:$N$3,MATCH(Surfplattor!D56,Processor!$M$2:$M$3,0)))&gt;0,TRUE,FALSE)))</f>
        <v>1</v>
      </c>
      <c r="AC73" s="185" t="b">
        <f>IF($D$57="",TRUE,IF(COUNTIF(Processor!$I$2:$I$9,$D$57)&gt;0,AND(AO73&gt;INDEX(Processor!$J$2:$J$9,MATCH($D$57,Processor!$I$2:$I$9,0)),AO73&lt;INDEX(Processor!$K$2:$K$9,MATCH($D$57,Processor!$I$2:$I$9,0))),IF(AO73=$D$57,TRUE,FALSE)))</f>
        <v>1</v>
      </c>
      <c r="AD73" s="185" t="b">
        <f t="shared" si="67"/>
        <v>1</v>
      </c>
      <c r="AE73" s="185" t="b">
        <f t="shared" si="68"/>
        <v>1</v>
      </c>
      <c r="AF73" s="185" t="b">
        <f t="shared" si="69"/>
        <v>1</v>
      </c>
      <c r="AG73" s="185" t="b">
        <f t="shared" si="70"/>
        <v>1</v>
      </c>
      <c r="AH73" s="185" t="b">
        <f>IF($D$62="",TRUE,IF(INDEX(Processor!$C$14:$C$20,MATCH(LEFT(AT73,10)&amp;"",Processor!$A$14:$A$20,0))&gt;=INDEX(Processor!$C$14:$C$20,MATCH(LEFT($D$62,10)&amp;"",Processor!$A$14:$A$20,0)),TRUE,FALSE))</f>
        <v>1</v>
      </c>
      <c r="AI73" s="185" t="b">
        <f t="shared" si="71"/>
        <v>1</v>
      </c>
      <c r="AJ73" s="185"/>
      <c r="AK73" s="185"/>
      <c r="AL73" s="185" t="s">
        <v>560</v>
      </c>
      <c r="AM73" s="185">
        <v>1</v>
      </c>
      <c r="AN73" s="185" t="str">
        <f t="shared" ca="1" si="78"/>
        <v>iPadOS 14</v>
      </c>
      <c r="AO73" s="185">
        <f t="shared" ca="1" si="78"/>
        <v>11</v>
      </c>
      <c r="AP73" s="185" t="str">
        <f t="shared" ca="1" si="78"/>
        <v>2388x1668</v>
      </c>
      <c r="AQ73" s="185">
        <f t="shared" ca="1" si="78"/>
        <v>128</v>
      </c>
      <c r="AR73" s="185">
        <f t="shared" ca="1" si="78"/>
        <v>5</v>
      </c>
      <c r="AS73" s="185" t="str">
        <f t="shared" ca="1" si="78"/>
        <v>802.11a/b/g/n/ac/ax</v>
      </c>
      <c r="AT73" s="185">
        <f t="shared" ca="1" si="78"/>
        <v>10</v>
      </c>
      <c r="AU73" s="185" t="str">
        <f t="shared" ca="1" si="78"/>
        <v>Ej miljömärkt</v>
      </c>
      <c r="AV73" s="185" t="str">
        <f t="shared" ca="1" si="78"/>
        <v>802.11a/b/g/n/ac/ax</v>
      </c>
      <c r="AW73" s="185">
        <f t="shared" ca="1" si="78"/>
        <v>5</v>
      </c>
      <c r="AX73" s="185">
        <f t="shared" ca="1" si="79"/>
        <v>10</v>
      </c>
      <c r="AY73" s="185" t="str">
        <f t="shared" ca="1" si="79"/>
        <v>Ipad Pro 11 tum</v>
      </c>
      <c r="AZ73" s="185">
        <f t="shared" ca="1" si="79"/>
        <v>0</v>
      </c>
      <c r="BA73" s="185" t="str">
        <f t="shared" ca="1" si="79"/>
        <v>iPadOS 14</v>
      </c>
      <c r="BB73" s="185">
        <f t="shared" ca="1" si="79"/>
        <v>7256</v>
      </c>
      <c r="BC73" s="185">
        <f t="shared" ca="1" si="79"/>
        <v>7256</v>
      </c>
      <c r="BD73" s="192" t="str">
        <f t="shared" ca="1" si="79"/>
        <v>Otterbox Defender Series</v>
      </c>
      <c r="BE73" s="192" t="str">
        <f t="shared" ca="1" si="79"/>
        <v>ZAGG</v>
      </c>
      <c r="BF73" s="192" t="str">
        <f t="shared" ca="1" si="79"/>
        <v>Belkin</v>
      </c>
      <c r="BG73" s="192" t="str">
        <f t="shared" ca="1" si="79"/>
        <v>DELTACO</v>
      </c>
      <c r="BH73" s="192" t="str">
        <f t="shared" ca="1" si="80"/>
        <v>Apple</v>
      </c>
      <c r="BI73" s="192" t="str">
        <f t="shared" ca="1" si="80"/>
        <v>GBX77-82261</v>
      </c>
      <c r="BJ73" s="192" t="str">
        <f t="shared" ca="1" si="80"/>
        <v>GBX200108138</v>
      </c>
      <c r="BK73" s="192" t="str">
        <f t="shared" ca="1" si="80"/>
        <v>GBXF7U074vf04-SLV</v>
      </c>
      <c r="BL73" s="192" t="str">
        <f t="shared" ca="1" si="80"/>
        <v>GBX TB-631</v>
      </c>
      <c r="BM73" s="192" t="str">
        <f t="shared" ca="1" si="80"/>
        <v>MU8F2ZM/A</v>
      </c>
      <c r="BN73" s="192">
        <f t="shared" ca="1" si="80"/>
        <v>435</v>
      </c>
      <c r="BO73" s="185">
        <f t="shared" ca="1" si="80"/>
        <v>179</v>
      </c>
      <c r="BP73" s="192">
        <f t="shared" ca="1" si="80"/>
        <v>355</v>
      </c>
      <c r="BQ73" s="192">
        <f t="shared" ca="1" si="80"/>
        <v>150</v>
      </c>
      <c r="BR73" s="192">
        <f t="shared" ca="1" si="80"/>
        <v>1145</v>
      </c>
      <c r="BS73" s="185">
        <f t="shared" ca="1" si="80"/>
        <v>724</v>
      </c>
      <c r="BT73" s="185">
        <f t="shared" ca="1" si="80"/>
        <v>25</v>
      </c>
      <c r="BU73" s="185">
        <f t="shared" ca="1" si="80"/>
        <v>25</v>
      </c>
      <c r="BV73" s="185">
        <f t="shared" ca="1" si="80"/>
        <v>0</v>
      </c>
      <c r="BW73" s="185"/>
      <c r="BX73" s="185"/>
      <c r="BY73" s="185" t="str">
        <f t="shared" ca="1" si="75"/>
        <v>Qlosr Göteborg AB</v>
      </c>
      <c r="BZ73" s="185" t="str">
        <f t="shared" ca="1" si="75"/>
        <v>Apple</v>
      </c>
      <c r="CA73" s="63"/>
      <c r="CB73" s="63"/>
      <c r="CC73" s="63"/>
      <c r="CD73" s="63"/>
      <c r="CE73" s="63"/>
      <c r="CF73" s="63"/>
      <c r="CG73" s="63"/>
      <c r="CH73" s="63"/>
      <c r="CI73" s="63"/>
      <c r="CJ73" s="63"/>
      <c r="CK73" s="63"/>
      <c r="CL73" s="63"/>
      <c r="CM73" s="63"/>
      <c r="CN73" s="63"/>
    </row>
    <row r="74" spans="2:94" ht="67.5" customHeight="1" outlineLevel="1" x14ac:dyDescent="0.35">
      <c r="B74" s="69" t="s">
        <v>347</v>
      </c>
      <c r="C74" s="97" t="s">
        <v>52</v>
      </c>
      <c r="D74" s="132" t="str">
        <f>IF("Ska Ingå"=D72,"Ska Ingå","")</f>
        <v/>
      </c>
      <c r="F74" s="86" t="str">
        <f t="shared" si="81"/>
        <v/>
      </c>
      <c r="G74" s="87" t="str">
        <f t="shared" ca="1" si="82"/>
        <v>GBXLENCHARGE</v>
      </c>
      <c r="H74" s="87" t="str">
        <f t="shared" ca="1" si="82"/>
        <v>MBXUSB-AC0011 - Strömadapter - 12 Watt - 2.4 A (USB) - på kabel: USB-C - vit - med USB-C cable (2m)</v>
      </c>
      <c r="I74" s="87" t="str">
        <f t="shared" ca="1" si="82"/>
        <v>GBXWCA003VF04WH</v>
      </c>
      <c r="J74" s="54"/>
      <c r="Q74" s="185">
        <f t="shared" si="56"/>
        <v>0</v>
      </c>
      <c r="R74" s="185">
        <f t="shared" si="57"/>
        <v>0</v>
      </c>
      <c r="S74" s="185">
        <f t="shared" si="58"/>
        <v>0</v>
      </c>
      <c r="T74" s="185">
        <f t="shared" si="59"/>
        <v>0</v>
      </c>
      <c r="U74" s="185">
        <f t="shared" si="60"/>
        <v>0</v>
      </c>
      <c r="V74" s="185">
        <f t="shared" si="61"/>
        <v>0</v>
      </c>
      <c r="W74" s="185">
        <f t="shared" si="62"/>
        <v>0</v>
      </c>
      <c r="X74" s="185">
        <f t="shared" si="63"/>
        <v>0</v>
      </c>
      <c r="Y74" s="185">
        <f t="shared" si="64"/>
        <v>0</v>
      </c>
      <c r="Z74" s="196">
        <f t="shared" ca="1" si="65"/>
        <v>4710</v>
      </c>
      <c r="AA74" s="185" t="str">
        <f t="shared" si="66"/>
        <v>Offererad produktnr. 10Qlosr Göteborg AB</v>
      </c>
      <c r="AB74" s="185" t="b">
        <f>IF(D56="",TRUE,IF(COUNTIF(Processor!$M$2:$M$3,D56)=0,IF(AN74=D56,TRUE,FALSE),IF(COUNTIF(AN74,INDEX(Processor!$N$2:$N$3,MATCH(Surfplattor!D56,Processor!$M$2:$M$3,0)))&gt;0,TRUE,FALSE)))</f>
        <v>1</v>
      </c>
      <c r="AC74" s="185" t="b">
        <f>IF($D$57="",TRUE,IF(COUNTIF(Processor!$I$2:$I$9,$D$57)&gt;0,AND(AO74&gt;INDEX(Processor!$J$2:$J$9,MATCH($D$57,Processor!$I$2:$I$9,0)),AO74&lt;INDEX(Processor!$K$2:$K$9,MATCH($D$57,Processor!$I$2:$I$9,0))),IF(AO74=$D$57,TRUE,FALSE)))</f>
        <v>1</v>
      </c>
      <c r="AD74" s="185" t="b">
        <f t="shared" si="67"/>
        <v>1</v>
      </c>
      <c r="AE74" s="185" t="b">
        <f t="shared" si="68"/>
        <v>1</v>
      </c>
      <c r="AF74" s="185" t="b">
        <f t="shared" si="69"/>
        <v>1</v>
      </c>
      <c r="AG74" s="185" t="b">
        <f t="shared" si="70"/>
        <v>1</v>
      </c>
      <c r="AH74" s="185" t="b">
        <f>IF($D$62="",TRUE,IF(INDEX(Processor!$C$14:$C$20,MATCH(LEFT(AT74,10)&amp;"",Processor!$A$14:$A$20,0))&gt;=INDEX(Processor!$C$14:$C$20,MATCH(LEFT($D$62,10)&amp;"",Processor!$A$14:$A$20,0)),TRUE,FALSE))</f>
        <v>1</v>
      </c>
      <c r="AI74" s="185" t="b">
        <f t="shared" si="71"/>
        <v>1</v>
      </c>
      <c r="AJ74" s="185"/>
      <c r="AK74" s="185"/>
      <c r="AL74" s="185" t="s">
        <v>561</v>
      </c>
      <c r="AM74" s="185">
        <v>1</v>
      </c>
      <c r="AN74" s="185" t="str">
        <f t="shared" ca="1" si="78"/>
        <v>Android 10</v>
      </c>
      <c r="AO74" s="185">
        <f t="shared" ca="1" si="78"/>
        <v>11.5</v>
      </c>
      <c r="AP74" s="185" t="str">
        <f t="shared" ca="1" si="78"/>
        <v>2560x1600</v>
      </c>
      <c r="AQ74" s="185">
        <f t="shared" ca="1" si="78"/>
        <v>128</v>
      </c>
      <c r="AR74" s="185">
        <f t="shared" ca="1" si="78"/>
        <v>5</v>
      </c>
      <c r="AS74" s="185" t="str">
        <f t="shared" ca="1" si="78"/>
        <v>802.11a/b/g/n/ac</v>
      </c>
      <c r="AT74" s="185">
        <f t="shared" ca="1" si="78"/>
        <v>8</v>
      </c>
      <c r="AU74" s="185" t="str">
        <f t="shared" ca="1" si="78"/>
        <v>Ej miljömärkt</v>
      </c>
      <c r="AV74" s="185" t="str">
        <f t="shared" ca="1" si="78"/>
        <v>802.11a/b/g/n/ac</v>
      </c>
      <c r="AW74" s="185">
        <f t="shared" ca="1" si="78"/>
        <v>5</v>
      </c>
      <c r="AX74" s="185">
        <f t="shared" ca="1" si="79"/>
        <v>8</v>
      </c>
      <c r="AY74" s="185" t="str">
        <f t="shared" ca="1" si="79"/>
        <v>Lenovo Tab P11 Pro ZA7C 128GB</v>
      </c>
      <c r="AZ74" s="185">
        <f t="shared" ca="1" si="79"/>
        <v>0</v>
      </c>
      <c r="BA74" s="185" t="str">
        <f t="shared" ca="1" si="79"/>
        <v>Android 10</v>
      </c>
      <c r="BB74" s="185">
        <f t="shared" ca="1" si="79"/>
        <v>4710</v>
      </c>
      <c r="BC74" s="185">
        <f t="shared" ca="1" si="79"/>
        <v>4710</v>
      </c>
      <c r="BD74" s="192" t="str">
        <f t="shared" ca="1" si="79"/>
        <v>Phonelife</v>
      </c>
      <c r="BE74" s="192" t="str">
        <f t="shared" ca="1" si="79"/>
        <v>Lenovo</v>
      </c>
      <c r="BF74" s="192" t="str">
        <f t="shared" ca="1" si="79"/>
        <v>Lenovo</v>
      </c>
      <c r="BG74" s="192" t="str">
        <f t="shared" ca="1" si="79"/>
        <v>DELTACO</v>
      </c>
      <c r="BH74" s="192" t="str">
        <f t="shared" ca="1" si="80"/>
        <v>Kecow</v>
      </c>
      <c r="BI74" s="192" t="str">
        <f t="shared" ca="1" si="80"/>
        <v>GBXRUGGEDLENTAB-V2</v>
      </c>
      <c r="BJ74" s="192" t="str">
        <f t="shared" ca="1" si="80"/>
        <v>GBXLENFILM</v>
      </c>
      <c r="BK74" s="192" t="str">
        <f t="shared" ca="1" si="80"/>
        <v>GBXLENCHARGE</v>
      </c>
      <c r="BL74" s="192" t="str">
        <f t="shared" ca="1" si="80"/>
        <v>GBX TB-631</v>
      </c>
      <c r="BM74" s="192" t="str">
        <f t="shared" ca="1" si="80"/>
        <v>GBXPP2PENMAGNETIC</v>
      </c>
      <c r="BN74" s="192">
        <f t="shared" ca="1" si="80"/>
        <v>330</v>
      </c>
      <c r="BO74" s="185">
        <f t="shared" ca="1" si="80"/>
        <v>180</v>
      </c>
      <c r="BP74" s="192">
        <f t="shared" ca="1" si="80"/>
        <v>220</v>
      </c>
      <c r="BQ74" s="192">
        <f t="shared" ca="1" si="80"/>
        <v>150</v>
      </c>
      <c r="BR74" s="192">
        <f t="shared" ca="1" si="80"/>
        <v>399</v>
      </c>
      <c r="BS74" s="185">
        <f t="shared" ca="1" si="80"/>
        <v>560</v>
      </c>
      <c r="BT74" s="185">
        <f t="shared" ca="1" si="80"/>
        <v>25</v>
      </c>
      <c r="BU74" s="185">
        <f t="shared" ca="1" si="80"/>
        <v>25</v>
      </c>
      <c r="BV74" s="185">
        <f t="shared" ca="1" si="80"/>
        <v>0</v>
      </c>
      <c r="BW74" s="185"/>
      <c r="BX74" s="185"/>
      <c r="BY74" s="185" t="str">
        <f t="shared" ca="1" si="75"/>
        <v>Qlosr Göteborg AB</v>
      </c>
      <c r="BZ74" s="185" t="str">
        <f t="shared" ca="1" si="75"/>
        <v>Lenovo</v>
      </c>
      <c r="CA74" s="63"/>
      <c r="CB74" s="63"/>
      <c r="CC74" s="63"/>
      <c r="CD74" s="63"/>
      <c r="CE74" s="63"/>
      <c r="CF74" s="63"/>
      <c r="CG74" s="63"/>
      <c r="CH74" s="63"/>
      <c r="CI74" s="63"/>
      <c r="CJ74" s="63"/>
      <c r="CK74" s="63"/>
      <c r="CL74" s="63"/>
      <c r="CM74" s="63"/>
      <c r="CN74" s="63"/>
    </row>
    <row r="75" spans="2:94" ht="30" customHeight="1" outlineLevel="1" x14ac:dyDescent="0.35">
      <c r="B75" s="69" t="s">
        <v>59</v>
      </c>
      <c r="C75" s="98" t="s">
        <v>374</v>
      </c>
      <c r="D75" s="70"/>
      <c r="F75" s="157" t="str">
        <f t="shared" si="81"/>
        <v/>
      </c>
      <c r="G75" s="158">
        <f t="shared" ca="1" si="82"/>
        <v>150</v>
      </c>
      <c r="H75" s="158">
        <f t="shared" ca="1" si="82"/>
        <v>169</v>
      </c>
      <c r="I75" s="158">
        <f t="shared" ca="1" si="82"/>
        <v>150</v>
      </c>
      <c r="J75" s="73"/>
      <c r="BD75" s="63"/>
      <c r="BE75" s="63"/>
      <c r="BF75" s="63"/>
      <c r="BG75" s="63"/>
      <c r="BH75" s="63"/>
      <c r="BI75" s="63"/>
      <c r="BJ75" s="63"/>
      <c r="BK75" s="63"/>
      <c r="BL75" s="63"/>
      <c r="BM75" s="63"/>
      <c r="BN75" s="63"/>
      <c r="BP75" s="63"/>
      <c r="BQ75" s="63"/>
      <c r="BR75" s="63"/>
    </row>
    <row r="76" spans="2:94" ht="30" customHeight="1" outlineLevel="1" x14ac:dyDescent="0.35">
      <c r="B76" s="69" t="s">
        <v>343</v>
      </c>
      <c r="C76" s="61" t="s">
        <v>51</v>
      </c>
      <c r="D76" s="131" t="str">
        <f>IF("Ska Ingå"=D75,"Ska Ingå","")</f>
        <v/>
      </c>
      <c r="F76" s="88" t="str">
        <f t="shared" si="81"/>
        <v/>
      </c>
      <c r="G76" s="89" t="str">
        <f t="shared" ca="1" si="82"/>
        <v>DELTACO</v>
      </c>
      <c r="H76" s="89" t="str">
        <f t="shared" ca="1" si="82"/>
        <v>DELTACO</v>
      </c>
      <c r="I76" s="89" t="str">
        <f t="shared" ca="1" si="82"/>
        <v>DELTACO</v>
      </c>
      <c r="J76" s="54"/>
      <c r="BD76" s="63"/>
      <c r="BE76" s="63"/>
      <c r="BF76" s="63"/>
      <c r="BG76" s="63"/>
      <c r="BH76" s="63"/>
      <c r="BI76" s="63"/>
      <c r="BJ76" s="63"/>
      <c r="BK76" s="63"/>
      <c r="BL76" s="63"/>
      <c r="BM76" s="63"/>
      <c r="BN76" s="63"/>
      <c r="BP76" s="63"/>
      <c r="BQ76" s="63"/>
      <c r="BR76" s="63"/>
    </row>
    <row r="77" spans="2:94" ht="45" customHeight="1" outlineLevel="1" x14ac:dyDescent="0.35">
      <c r="B77" s="69" t="s">
        <v>348</v>
      </c>
      <c r="C77" s="99" t="s">
        <v>52</v>
      </c>
      <c r="D77" s="132" t="str">
        <f>IF("Ska Ingå"=D75,"Ska Ingå","")</f>
        <v/>
      </c>
      <c r="F77" s="90" t="str">
        <f t="shared" si="81"/>
        <v/>
      </c>
      <c r="G77" s="91" t="str">
        <f t="shared" ca="1" si="82"/>
        <v>GBX TB-631</v>
      </c>
      <c r="H77" s="91" t="str">
        <f t="shared" ca="1" si="82"/>
        <v>TB-631</v>
      </c>
      <c r="I77" s="91" t="str">
        <f t="shared" ca="1" si="82"/>
        <v>GBX TB-631</v>
      </c>
      <c r="BD77" s="63"/>
      <c r="BE77" s="63"/>
      <c r="BF77" s="63"/>
      <c r="BG77" s="63"/>
      <c r="BH77" s="63"/>
      <c r="BI77" s="63"/>
      <c r="BJ77" s="63"/>
      <c r="BK77" s="63"/>
      <c r="BL77" s="63"/>
      <c r="BM77" s="63"/>
      <c r="BN77" s="63"/>
      <c r="BP77" s="63"/>
      <c r="BQ77" s="63"/>
      <c r="BR77" s="63"/>
    </row>
    <row r="78" spans="2:94" ht="30" customHeight="1" outlineLevel="1" x14ac:dyDescent="0.35">
      <c r="B78" s="69" t="s">
        <v>227</v>
      </c>
      <c r="C78" s="95" t="s">
        <v>375</v>
      </c>
      <c r="D78" s="70"/>
      <c r="F78" s="159" t="str">
        <f t="shared" si="81"/>
        <v/>
      </c>
      <c r="G78" s="160">
        <f t="shared" ca="1" si="82"/>
        <v>399</v>
      </c>
      <c r="H78" s="160">
        <f t="shared" ca="1" si="82"/>
        <v>595</v>
      </c>
      <c r="I78" s="160">
        <f t="shared" ca="1" si="82"/>
        <v>839</v>
      </c>
      <c r="BD78" s="63"/>
      <c r="BE78" s="63"/>
      <c r="BF78" s="63"/>
      <c r="BG78" s="63"/>
      <c r="BH78" s="63"/>
      <c r="BI78" s="63"/>
      <c r="BJ78" s="63"/>
      <c r="BK78" s="63"/>
      <c r="BL78" s="63"/>
      <c r="BM78" s="63"/>
      <c r="BN78" s="63"/>
      <c r="BP78" s="63"/>
      <c r="BQ78" s="63"/>
      <c r="BR78" s="63"/>
    </row>
    <row r="79" spans="2:94" ht="30" customHeight="1" outlineLevel="1" x14ac:dyDescent="0.35">
      <c r="B79" s="69" t="s">
        <v>344</v>
      </c>
      <c r="C79" s="96" t="s">
        <v>51</v>
      </c>
      <c r="D79" s="131" t="str">
        <f>IF("Ska Ingå"=D78,"Ska Ingå","")</f>
        <v/>
      </c>
      <c r="F79" s="84" t="str">
        <f t="shared" si="81"/>
        <v/>
      </c>
      <c r="G79" s="85" t="str">
        <f t="shared" ca="1" si="82"/>
        <v>Kecow</v>
      </c>
      <c r="H79" s="85" t="str">
        <f t="shared" ca="1" si="82"/>
        <v xml:space="preserve">ZAGG </v>
      </c>
      <c r="I79" s="85" t="str">
        <f t="shared" ca="1" si="82"/>
        <v>Apple</v>
      </c>
      <c r="BD79" s="63"/>
      <c r="BE79" s="63"/>
      <c r="BF79" s="63"/>
      <c r="BG79" s="63"/>
      <c r="BH79" s="63"/>
      <c r="BI79" s="63"/>
      <c r="BJ79" s="63"/>
      <c r="BK79" s="63"/>
      <c r="BL79" s="63"/>
      <c r="BM79" s="63"/>
      <c r="BN79" s="63"/>
      <c r="BP79" s="63"/>
      <c r="BQ79" s="63"/>
      <c r="BR79" s="63"/>
    </row>
    <row r="80" spans="2:94" ht="67.5" customHeight="1" outlineLevel="1" x14ac:dyDescent="0.35">
      <c r="B80" s="69" t="s">
        <v>349</v>
      </c>
      <c r="C80" s="116" t="s">
        <v>52</v>
      </c>
      <c r="D80" s="132" t="str">
        <f>IF("Ska Ingå"=D78,"Ska Ingå","")</f>
        <v/>
      </c>
      <c r="F80" s="117" t="str">
        <f t="shared" si="81"/>
        <v/>
      </c>
      <c r="G80" s="118" t="str">
        <f t="shared" ca="1" si="82"/>
        <v>GBXPP2PENMAGNETIC</v>
      </c>
      <c r="H80" s="118" t="str">
        <f t="shared" ca="1" si="82"/>
        <v>109912139 - Pro Stylus 2 - Aktiv penna - grå</v>
      </c>
      <c r="I80" s="118" t="str">
        <f t="shared" ca="1" si="82"/>
        <v>MK0C2ZM/A</v>
      </c>
      <c r="BD80" s="63"/>
      <c r="BE80" s="63"/>
      <c r="BF80" s="63"/>
      <c r="BG80" s="63"/>
      <c r="BH80" s="63"/>
      <c r="BI80" s="63"/>
      <c r="BJ80" s="63"/>
      <c r="BK80" s="63"/>
      <c r="BL80" s="63"/>
      <c r="BM80" s="63"/>
      <c r="BN80" s="63"/>
      <c r="BP80" s="63"/>
      <c r="BQ80" s="63"/>
      <c r="BR80" s="63"/>
    </row>
    <row r="81" spans="2:92" ht="22.5" customHeight="1" outlineLevel="1" x14ac:dyDescent="0.35">
      <c r="B81" s="69"/>
      <c r="C81" s="212" t="s">
        <v>365</v>
      </c>
      <c r="D81" s="215"/>
      <c r="E81" s="213"/>
      <c r="F81" s="213"/>
      <c r="G81" s="213"/>
      <c r="H81" s="213"/>
      <c r="I81" s="214"/>
    </row>
    <row r="82" spans="2:92" ht="22.5" customHeight="1" outlineLevel="1" x14ac:dyDescent="0.35">
      <c r="B82" s="71" t="s">
        <v>228</v>
      </c>
      <c r="C82" s="115" t="s">
        <v>367</v>
      </c>
      <c r="D82" s="70"/>
      <c r="F82" s="161" t="str">
        <f>IF(F$53="Inget antal angivet","",IFERROR(INDEX($AN$54:$BZ$80,MATCH(F$50,$AL$54:$AL$80,0),MATCH($B82,$AN$54:$BZ$54,0)),""))</f>
        <v/>
      </c>
      <c r="G82" s="162">
        <f t="shared" ref="G82:I84" ca="1" si="83">IFERROR(INDEX($AN$54:$BZ$80,MATCH(G$50,$AL$54:$AL$80,0),MATCH($B82,$AN$54:$BZ$54,0)),"")</f>
        <v>570</v>
      </c>
      <c r="H82" s="162">
        <f t="shared" ca="1" si="83"/>
        <v>781</v>
      </c>
      <c r="I82" s="162">
        <f t="shared" ca="1" si="83"/>
        <v>514</v>
      </c>
    </row>
    <row r="83" spans="2:92" ht="22.5" customHeight="1" outlineLevel="1" x14ac:dyDescent="0.35">
      <c r="B83" s="71" t="s">
        <v>229</v>
      </c>
      <c r="C83" s="61" t="s">
        <v>369</v>
      </c>
      <c r="D83" s="70"/>
      <c r="F83" s="165" t="str">
        <f>IF(F$53="Inget antal angivet","",IFERROR(INDEX($AN$54:$BZ$80,MATCH(F$50,$AL$54:$AL$80,0),MATCH($B83,$AN$54:$BZ$54,0)),""))</f>
        <v/>
      </c>
      <c r="G83" s="166">
        <f t="shared" ca="1" si="83"/>
        <v>25</v>
      </c>
      <c r="H83" s="166">
        <f t="shared" ca="1" si="83"/>
        <v>50</v>
      </c>
      <c r="I83" s="166">
        <f t="shared" ca="1" si="83"/>
        <v>25</v>
      </c>
    </row>
    <row r="84" spans="2:92" ht="22.5" customHeight="1" outlineLevel="1" x14ac:dyDescent="0.35">
      <c r="B84" s="71" t="s">
        <v>230</v>
      </c>
      <c r="C84" s="96" t="s">
        <v>370</v>
      </c>
      <c r="D84" s="70"/>
      <c r="F84" s="163" t="str">
        <f>IF(F$53="Inget antal angivet","",IFERROR(INDEX($AN$54:$BZ$80,MATCH(F$50,$AL$54:$AL$80,0),MATCH($B84,$AN$54:$BZ$54,0)),""))</f>
        <v/>
      </c>
      <c r="G84" s="164">
        <f t="shared" ca="1" si="83"/>
        <v>25</v>
      </c>
      <c r="H84" s="164">
        <f t="shared" ca="1" si="83"/>
        <v>50</v>
      </c>
      <c r="I84" s="164">
        <f t="shared" ca="1" si="83"/>
        <v>25</v>
      </c>
    </row>
    <row r="85" spans="2:92" ht="22.5" customHeight="1" outlineLevel="1" x14ac:dyDescent="0.35"/>
    <row r="86" spans="2:92" ht="22.5" customHeight="1" x14ac:dyDescent="0.35"/>
    <row r="87" spans="2:92" ht="22.5" customHeight="1" x14ac:dyDescent="0.35">
      <c r="D87" s="72" t="s">
        <v>233</v>
      </c>
      <c r="F87" s="221" t="s">
        <v>252</v>
      </c>
      <c r="G87" s="221"/>
      <c r="H87" s="221"/>
      <c r="I87" s="222"/>
    </row>
    <row r="88" spans="2:92" ht="22.5" customHeight="1" x14ac:dyDescent="0.35">
      <c r="D88" s="74"/>
      <c r="F88" s="202" t="str">
        <f ca="1">IFERROR(INDEX($Z$55:$Z$78,MATCH(F50,$AA$55:$AA$78,0))*D88,"")</f>
        <v/>
      </c>
      <c r="G88" s="202">
        <f ca="1">IFERROR(P55 *D88,"")</f>
        <v>0</v>
      </c>
      <c r="H88" s="202">
        <f ca="1">IFERROR(P56 *D88,"")</f>
        <v>0</v>
      </c>
      <c r="I88" s="202">
        <f ca="1">IFERROR(P57 * D88,"")</f>
        <v>0</v>
      </c>
    </row>
    <row r="90" spans="2:92" ht="15" thickBot="1" x14ac:dyDescent="0.4">
      <c r="C90" s="174"/>
      <c r="D90" s="174"/>
      <c r="E90" s="174"/>
      <c r="F90" s="174"/>
      <c r="G90" s="174"/>
      <c r="H90" s="174"/>
      <c r="I90" s="174"/>
    </row>
    <row r="91" spans="2:92" ht="15" thickTop="1" x14ac:dyDescent="0.35"/>
    <row r="94" spans="2:92" ht="71.25" customHeight="1" collapsed="1" x14ac:dyDescent="0.35">
      <c r="C94" s="53"/>
      <c r="D94" s="53"/>
      <c r="F94" s="50" t="e">
        <f ca="1">N98</f>
        <v>#N/A</v>
      </c>
      <c r="G94" s="50" t="str">
        <f ca="1">INDEX(AA99:AA124,MATCH(P99,Z99:Z124,0))</f>
        <v>Offererad produktnr. 07Qlosr Göteborg AB</v>
      </c>
      <c r="H94" s="50" t="str">
        <f ca="1">INDEX(AA98:AA123,MATCH(P100,Z98:Z123,0))</f>
        <v>Offererad produktnr. 07Advania Sverige AB</v>
      </c>
      <c r="I94" s="50" t="str">
        <f ca="1">INDEX(AA98:AA123,MATCH(P101,Z98:Z123,0))</f>
        <v>Offererad produktnr. 08Qlosr Göteborg AB</v>
      </c>
      <c r="AN94" s="12" t="s">
        <v>124</v>
      </c>
      <c r="AO94" s="12" t="s">
        <v>124</v>
      </c>
      <c r="AP94" s="12" t="s">
        <v>124</v>
      </c>
      <c r="AQ94" s="12" t="s">
        <v>124</v>
      </c>
      <c r="AR94" s="12" t="s">
        <v>124</v>
      </c>
      <c r="AS94" s="12" t="s">
        <v>124</v>
      </c>
      <c r="AT94" s="12" t="s">
        <v>124</v>
      </c>
      <c r="AU94" s="12" t="s">
        <v>124</v>
      </c>
      <c r="AV94" s="12" t="s">
        <v>124</v>
      </c>
      <c r="AW94" s="12" t="s">
        <v>124</v>
      </c>
      <c r="AX94" s="12" t="s">
        <v>124</v>
      </c>
      <c r="AY94" s="12" t="s">
        <v>124</v>
      </c>
      <c r="AZ94" s="12" t="s">
        <v>124</v>
      </c>
      <c r="BA94" s="12" t="s">
        <v>124</v>
      </c>
      <c r="BB94" s="12" t="s">
        <v>124</v>
      </c>
      <c r="BC94" s="12" t="s">
        <v>124</v>
      </c>
      <c r="BD94" s="12" t="s">
        <v>124</v>
      </c>
      <c r="BE94" s="12" t="s">
        <v>124</v>
      </c>
      <c r="BF94" s="12" t="s">
        <v>124</v>
      </c>
      <c r="BG94" s="12" t="s">
        <v>124</v>
      </c>
      <c r="BH94" s="12" t="s">
        <v>124</v>
      </c>
      <c r="BI94" s="12" t="s">
        <v>124</v>
      </c>
      <c r="BJ94" s="12" t="s">
        <v>124</v>
      </c>
      <c r="BK94" s="12" t="s">
        <v>124</v>
      </c>
      <c r="BL94" s="12" t="s">
        <v>124</v>
      </c>
      <c r="BM94" s="12" t="s">
        <v>124</v>
      </c>
      <c r="BN94" s="12" t="s">
        <v>124</v>
      </c>
      <c r="BO94" s="12" t="s">
        <v>124</v>
      </c>
      <c r="BP94" s="12" t="s">
        <v>124</v>
      </c>
      <c r="BQ94" s="12" t="s">
        <v>124</v>
      </c>
      <c r="BR94" s="12" t="s">
        <v>124</v>
      </c>
      <c r="BS94" s="12" t="s">
        <v>124</v>
      </c>
      <c r="BT94" s="12" t="s">
        <v>124</v>
      </c>
      <c r="BU94" s="12" t="s">
        <v>124</v>
      </c>
      <c r="BV94" s="12" t="s">
        <v>124</v>
      </c>
      <c r="BW94" s="12"/>
      <c r="BX94" s="12"/>
      <c r="BY94" s="12" t="s">
        <v>124</v>
      </c>
      <c r="BZ94" s="12" t="s">
        <v>124</v>
      </c>
      <c r="CA94" s="12"/>
      <c r="CB94" s="12"/>
      <c r="CC94" s="12"/>
      <c r="CD94" s="12"/>
      <c r="CE94" s="12"/>
      <c r="CF94" s="12"/>
      <c r="CG94" s="12"/>
      <c r="CH94" s="12"/>
      <c r="CI94" s="12"/>
      <c r="CJ94" s="12"/>
      <c r="CK94" s="12"/>
      <c r="CL94" s="12"/>
      <c r="CM94" s="12"/>
      <c r="CN94" s="12"/>
    </row>
    <row r="95" spans="2:92" ht="25.5" customHeight="1" thickBot="1" x14ac:dyDescent="0.4">
      <c r="C95" s="53"/>
      <c r="D95" s="53"/>
      <c r="F95" s="140" t="s">
        <v>446</v>
      </c>
      <c r="G95" s="205" t="s">
        <v>447</v>
      </c>
      <c r="H95" s="205"/>
      <c r="I95" s="205"/>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row>
    <row r="96" spans="2:92" ht="22.5" customHeight="1" thickBot="1" x14ac:dyDescent="0.4">
      <c r="B96" t="str">
        <f ca="1" xml:space="preserve"> "Produkt "  &amp; B97</f>
        <v>Produkt 3</v>
      </c>
      <c r="C96" s="206" t="str">
        <f>IF(F97="Ingen produkt motsvarar","Felmeddelande",IF(COUNTIF($P$1:$P$6,TRUE)&gt;0,"","Felmeddelande"))</f>
        <v/>
      </c>
      <c r="D96" s="207"/>
      <c r="F96" s="218" t="s">
        <v>271</v>
      </c>
      <c r="G96" s="218"/>
      <c r="H96" s="218"/>
      <c r="I96" s="219"/>
      <c r="O96">
        <v>1</v>
      </c>
      <c r="AN96" s="13" t="str">
        <f t="shared" ref="AN96:AX96" si="84">AN98</f>
        <v>Operativsystem</v>
      </c>
      <c r="AO96" s="13" t="str">
        <f t="shared" si="84"/>
        <v>Skärmstorlek (tum)</v>
      </c>
      <c r="AP96" s="13" t="str">
        <f t="shared" si="84"/>
        <v>Upplösning</v>
      </c>
      <c r="AQ96" s="13" t="str">
        <f t="shared" si="84"/>
        <v>Lagringsutrymme</v>
      </c>
      <c r="AR96" s="13" t="str">
        <f t="shared" si="84"/>
        <v>Kommunikation Bluetooth</v>
      </c>
      <c r="AS96" s="13" t="str">
        <f t="shared" si="84"/>
        <v>Kommunikation WLAN</v>
      </c>
      <c r="AT96" s="13" t="str">
        <f t="shared" si="84"/>
        <v>Batteritid (tim)</v>
      </c>
      <c r="AU96" s="13" t="str">
        <f t="shared" si="84"/>
        <v>Miljömärkning</v>
      </c>
      <c r="AV96" s="13" t="str">
        <f t="shared" si="84"/>
        <v>Kommunikation WLAN</v>
      </c>
      <c r="AW96" s="13" t="str">
        <f t="shared" si="84"/>
        <v>Kommunikation Bluetooth</v>
      </c>
      <c r="AX96" s="13" t="str">
        <f t="shared" si="84"/>
        <v>Batteritid (tim)</v>
      </c>
      <c r="AY96" s="13" t="s">
        <v>52</v>
      </c>
      <c r="AZ96" s="13" t="str">
        <f>AZ98</f>
        <v>Låsskydd</v>
      </c>
      <c r="BA96" s="13" t="str">
        <f>BA98</f>
        <v>Operativsystem</v>
      </c>
      <c r="BB96" s="13" t="str">
        <f>BB98</f>
        <v>Pris</v>
      </c>
      <c r="BC96" t="s">
        <v>224</v>
      </c>
      <c r="BD96" s="100" t="s">
        <v>340</v>
      </c>
      <c r="BE96" s="100" t="s">
        <v>341</v>
      </c>
      <c r="BF96" s="100" t="s">
        <v>342</v>
      </c>
      <c r="BG96" s="100" t="s">
        <v>343</v>
      </c>
      <c r="BH96" s="100" t="s">
        <v>344</v>
      </c>
      <c r="BI96" s="100" t="s">
        <v>345</v>
      </c>
      <c r="BJ96" s="100" t="s">
        <v>346</v>
      </c>
      <c r="BK96" s="100" t="s">
        <v>347</v>
      </c>
      <c r="BL96" s="100" t="s">
        <v>348</v>
      </c>
      <c r="BM96" s="100" t="s">
        <v>349</v>
      </c>
      <c r="BN96" s="56" t="s">
        <v>53</v>
      </c>
      <c r="BO96" s="56" t="s">
        <v>54</v>
      </c>
      <c r="BP96" s="56" t="s">
        <v>55</v>
      </c>
      <c r="BQ96" s="56" t="s">
        <v>59</v>
      </c>
      <c r="BR96" s="56" t="s">
        <v>227</v>
      </c>
      <c r="BS96" s="57" t="s">
        <v>228</v>
      </c>
      <c r="BT96" s="57" t="s">
        <v>229</v>
      </c>
      <c r="BU96" s="57" t="s">
        <v>230</v>
      </c>
      <c r="BV96" s="57" t="s">
        <v>231</v>
      </c>
      <c r="BW96" s="57"/>
      <c r="BX96" s="57"/>
      <c r="BY96" s="57" t="s">
        <v>6</v>
      </c>
      <c r="BZ96" s="4" t="s">
        <v>51</v>
      </c>
      <c r="CA96" s="13"/>
      <c r="CB96" s="13"/>
      <c r="CC96" s="13"/>
      <c r="CD96" s="13"/>
      <c r="CE96" s="13"/>
      <c r="CF96" s="13"/>
      <c r="CG96" s="13"/>
      <c r="CH96" s="13"/>
      <c r="CI96" s="13"/>
      <c r="CJ96" s="13"/>
      <c r="CK96" s="13"/>
      <c r="CL96" s="13"/>
      <c r="CM96" s="13"/>
      <c r="CN96" s="13"/>
    </row>
    <row r="97" spans="2:94" ht="22.5" customHeight="1" x14ac:dyDescent="0.35">
      <c r="B97">
        <f ca="1">COUNTIF($F$7:F100,"Produkt I varukorg*")</f>
        <v>3</v>
      </c>
      <c r="F97" s="51" t="str">
        <f>IF(D132&lt;1,"Inget antal angivet",IFERROR(INDEX($Z$99:$Z$122,MATCH(F94,$AA$99:$AA$122,0)),"Ingen produkt motsvarar"))</f>
        <v>Inget antal angivet</v>
      </c>
      <c r="G97" s="52">
        <f ca="1">IFERROR(P99,"Ingen produkt motsvarar")</f>
        <v>1700</v>
      </c>
      <c r="H97" s="52">
        <f ca="1">IFERROR(P100,"")</f>
        <v>2084</v>
      </c>
      <c r="I97" s="52">
        <f ca="1">IFERROR(P101,"")</f>
        <v>3205</v>
      </c>
      <c r="AA97" t="str">
        <f>IF(COUNTIF(AB97:AI97,FALSE)&gt;0,AL97,"")</f>
        <v/>
      </c>
      <c r="AB97" t="b">
        <f>IF($D$102="",TRUE,IF(AN97=$D$102,TRUE,FALSE))</f>
        <v>1</v>
      </c>
      <c r="AC97" t="b">
        <f>IF(D99="",TRUE,IF(AO97=$D$103,TRUE,FALSE))</f>
        <v>1</v>
      </c>
      <c r="AD97" t="b">
        <f>IF(D102="",TRUE,IF(AP97=D102,TRUE,FALSE))</f>
        <v>1</v>
      </c>
      <c r="AE97" t="b">
        <f>IF(D103="",TRUE,IF(AQ97=D103,TRUE,FALSE))</f>
        <v>1</v>
      </c>
      <c r="AF97" t="b">
        <f>IF(D104="",TRUE,IF(AR97=D104,TRUE,FALSE))</f>
        <v>1</v>
      </c>
      <c r="AG97" t="b">
        <f>IF(D105="",TRUE,IF(AS97=D105,TRUE,FALSE))</f>
        <v>1</v>
      </c>
      <c r="AH97" t="b">
        <f>IF(D101="",TRUE,IF(AT97=D101,TRUE,FALSE))</f>
        <v>1</v>
      </c>
      <c r="AI97" t="b">
        <f>IF(D100="",TRUE,IF(AV97=D100,TRUE,FALSE))</f>
        <v>1</v>
      </c>
      <c r="AL97" t="s">
        <v>126</v>
      </c>
      <c r="AN97" s="58" t="str">
        <f t="shared" ref="AN97:BL97" ca="1" si="85">IFERROR(INDEX(INDIRECT(AN$94&amp;"!$A$10:CC100000"),MATCH($AL97,INDIRECT(AN$94&amp;"!BH$10:BH100000"),0),MATCH(AN$96,INDIRECT(AN$94&amp;"!a10:CC10"),0)),"False")</f>
        <v>False</v>
      </c>
      <c r="AO97" s="58" t="str">
        <f t="shared" ca="1" si="85"/>
        <v>False</v>
      </c>
      <c r="AP97" s="58" t="str">
        <f t="shared" ca="1" si="85"/>
        <v>False</v>
      </c>
      <c r="AQ97" s="58" t="str">
        <f t="shared" ca="1" si="85"/>
        <v>False</v>
      </c>
      <c r="AR97" s="58" t="str">
        <f t="shared" ca="1" si="85"/>
        <v>False</v>
      </c>
      <c r="AS97" s="58" t="str">
        <f t="shared" ca="1" si="85"/>
        <v>False</v>
      </c>
      <c r="AT97" s="58" t="str">
        <f t="shared" ca="1" si="85"/>
        <v>False</v>
      </c>
      <c r="AU97" s="58" t="str">
        <f t="shared" ca="1" si="85"/>
        <v>False</v>
      </c>
      <c r="AV97" s="58" t="str">
        <f t="shared" ca="1" si="85"/>
        <v>False</v>
      </c>
      <c r="AW97" s="58" t="str">
        <f t="shared" ca="1" si="85"/>
        <v>False</v>
      </c>
      <c r="AX97" s="58" t="str">
        <f t="shared" ca="1" si="85"/>
        <v>False</v>
      </c>
      <c r="AY97" s="58" t="str">
        <f t="shared" ca="1" si="85"/>
        <v>False</v>
      </c>
      <c r="AZ97" s="58" t="str">
        <f t="shared" ca="1" si="85"/>
        <v>False</v>
      </c>
      <c r="BA97" s="58" t="str">
        <f t="shared" ca="1" si="85"/>
        <v>False</v>
      </c>
      <c r="BB97" s="58" t="str">
        <f t="shared" ca="1" si="85"/>
        <v>False</v>
      </c>
      <c r="BC97" s="58" t="str">
        <f t="shared" ca="1" si="85"/>
        <v>False</v>
      </c>
      <c r="BD97" s="58" t="str">
        <f t="shared" ca="1" si="85"/>
        <v>False</v>
      </c>
      <c r="BE97" s="58" t="str">
        <f t="shared" ca="1" si="85"/>
        <v>False</v>
      </c>
      <c r="BF97" s="58" t="str">
        <f t="shared" ca="1" si="85"/>
        <v>False</v>
      </c>
      <c r="BG97" s="58" t="str">
        <f t="shared" ca="1" si="85"/>
        <v>False</v>
      </c>
      <c r="BH97" s="58" t="str">
        <f t="shared" ca="1" si="85"/>
        <v>False</v>
      </c>
      <c r="BI97" s="58" t="str">
        <f t="shared" ca="1" si="85"/>
        <v>False</v>
      </c>
      <c r="BJ97" s="58" t="str">
        <f t="shared" ca="1" si="85"/>
        <v>False</v>
      </c>
      <c r="BK97" s="58" t="str">
        <f t="shared" ca="1" si="85"/>
        <v>False</v>
      </c>
      <c r="BL97" s="58" t="str">
        <f t="shared" ca="1" si="85"/>
        <v>False</v>
      </c>
      <c r="BM97" s="58"/>
      <c r="BN97" s="58" t="str">
        <f t="shared" ref="BN97:BV97" ca="1" si="86">IFERROR(INDEX(INDIRECT(BN$94&amp;"!$A$10:CC100000"),MATCH($AL97,INDIRECT(BN$94&amp;"!BH$10:BH100000"),0),MATCH(BN$96,INDIRECT(BN$94&amp;"!a10:CC10"),0)),"False")</f>
        <v>False</v>
      </c>
      <c r="BO97" s="58" t="str">
        <f t="shared" ca="1" si="86"/>
        <v>False</v>
      </c>
      <c r="BP97" s="58" t="str">
        <f t="shared" ca="1" si="86"/>
        <v>False</v>
      </c>
      <c r="BQ97" s="58" t="str">
        <f t="shared" ca="1" si="86"/>
        <v>False</v>
      </c>
      <c r="BR97" s="58" t="str">
        <f t="shared" ca="1" si="86"/>
        <v>False</v>
      </c>
      <c r="BS97" s="58" t="str">
        <f t="shared" ca="1" si="86"/>
        <v>False</v>
      </c>
      <c r="BT97" s="58" t="str">
        <f t="shared" ca="1" si="86"/>
        <v>False</v>
      </c>
      <c r="BU97" s="58" t="str">
        <f t="shared" ca="1" si="86"/>
        <v>False</v>
      </c>
      <c r="BV97" s="58" t="str">
        <f t="shared" ca="1" si="86"/>
        <v>False</v>
      </c>
      <c r="BW97" s="58"/>
      <c r="BX97" s="58"/>
      <c r="BY97" s="58" t="str">
        <f ca="1">IFERROR(INDEX(INDIRECT(BY$94&amp;"!$A$10:CC100000"),MATCH($AL97,INDIRECT(BY$94&amp;"!BH$10:BH100000"),0),MATCH(BY$96,INDIRECT(BY$94&amp;"!a10:CC10"),0)),"False")</f>
        <v>False</v>
      </c>
      <c r="BZ97" s="58" t="str">
        <f ca="1">IFERROR(INDEX(INDIRECT(BZ$94&amp;"!$A$10:CC100000"),MATCH($AL97,INDIRECT(BZ$94&amp;"!BH$10:BH100000"),0),MATCH(BZ$96,INDIRECT(BZ$94&amp;"!a10:CC10"),0)),"False")</f>
        <v>False</v>
      </c>
      <c r="CA97" s="58"/>
      <c r="CB97" s="58"/>
      <c r="CC97" s="58"/>
      <c r="CD97" s="58"/>
      <c r="CE97" s="58"/>
      <c r="CF97" s="58"/>
      <c r="CG97" s="58"/>
      <c r="CH97" s="58"/>
      <c r="CI97" s="58"/>
      <c r="CJ97" s="58"/>
      <c r="CK97" s="58"/>
      <c r="CL97" s="58"/>
      <c r="CM97" s="58"/>
      <c r="CN97" s="58"/>
    </row>
    <row r="98" spans="2:94" ht="22.5" customHeight="1" x14ac:dyDescent="0.35">
      <c r="C98" s="210" t="str">
        <f ca="1" xml:space="preserve"> "Surfplatta "  &amp; RIGHT("00" &amp; B97,2)</f>
        <v>Surfplatta 03</v>
      </c>
      <c r="D98" s="211"/>
      <c r="F98" s="92" t="str">
        <f>IF(F97="Inget antal angivet","",IFERROR(INDEX($AN$98:$BZ$124,MATCH(F$94,$AL$98:$AL$124,0),MATCH("Modellbenämning",$AN$98:$BZ$98,0)),""))</f>
        <v/>
      </c>
      <c r="G98" s="92" t="str">
        <f ca="1">IFERROR(INDEX($AN$98:$BZ$124,MATCH(G$94,$AL$98:$AL$124,0),MATCH("Modellbenämning",$AN$98:$BZ$98,0)),"")</f>
        <v>M10 FHD G2</v>
      </c>
      <c r="H98" s="92" t="str">
        <f ca="1">IFERROR(INDEX($AN$98:$BZ$124,MATCH(H$94,$AL$98:$AL$124,0),MATCH("Modellbenämning",$AN$98:$BZ$98,0)),"")</f>
        <v>Tab M10 (3rd Gen)</v>
      </c>
      <c r="I98" s="92" t="str">
        <f ca="1">IFERROR(INDEX($AN$98:$BZ$124,MATCH(I$94,$AL$98:$AL$124,0),MATCH("Modellbenämning",$AN$98:$BZ$98,0)),"")</f>
        <v>iPad 9th gen (2021)</v>
      </c>
      <c r="J98" s="93"/>
      <c r="K98" s="92"/>
      <c r="L98" s="92"/>
      <c r="M98" s="92"/>
      <c r="N98" s="92" t="e">
        <f ca="1">INDEX($N$99:$N$104,MATCH(Överblick!$L$2,$M$99:$M$104,0))</f>
        <v>#N/A</v>
      </c>
      <c r="O98" s="92"/>
      <c r="P98" s="92"/>
      <c r="Q98" s="92"/>
      <c r="R98" s="92">
        <v>1</v>
      </c>
      <c r="S98" s="92">
        <v>2</v>
      </c>
      <c r="T98" s="92">
        <v>3</v>
      </c>
      <c r="U98" s="92">
        <v>5</v>
      </c>
      <c r="V98" s="92">
        <v>6</v>
      </c>
      <c r="W98" s="92">
        <v>7</v>
      </c>
      <c r="X98" s="92">
        <v>8</v>
      </c>
      <c r="Y98" s="92">
        <v>9</v>
      </c>
      <c r="Z98" s="92"/>
      <c r="AA98" s="92" t="s">
        <v>122</v>
      </c>
      <c r="AB98" s="92" t="s">
        <v>3</v>
      </c>
      <c r="AC98" s="92" t="s">
        <v>7</v>
      </c>
      <c r="AD98" s="92" t="s">
        <v>2</v>
      </c>
      <c r="AE98" s="92" t="s">
        <v>17</v>
      </c>
      <c r="AF98" s="92" t="s">
        <v>75</v>
      </c>
      <c r="AG98" s="92" t="s">
        <v>103</v>
      </c>
      <c r="AH98" s="92" t="s">
        <v>120</v>
      </c>
      <c r="AI98" s="92" t="s">
        <v>39</v>
      </c>
      <c r="AJ98" s="92"/>
      <c r="AK98" s="92"/>
      <c r="AL98" s="92" t="s">
        <v>222</v>
      </c>
      <c r="AM98" s="92">
        <v>1</v>
      </c>
      <c r="AN98" s="92" t="s">
        <v>3</v>
      </c>
      <c r="AO98" s="92" t="s">
        <v>7</v>
      </c>
      <c r="AP98" s="92" t="s">
        <v>2</v>
      </c>
      <c r="AQ98" s="92" t="s">
        <v>17</v>
      </c>
      <c r="AR98" s="92" t="s">
        <v>75</v>
      </c>
      <c r="AS98" s="92" t="s">
        <v>103</v>
      </c>
      <c r="AT98" s="92" t="s">
        <v>120</v>
      </c>
      <c r="AU98" s="92" t="s">
        <v>39</v>
      </c>
      <c r="AV98" s="92" t="s">
        <v>103</v>
      </c>
      <c r="AW98" s="92" t="s">
        <v>75</v>
      </c>
      <c r="AX98" s="92" t="s">
        <v>120</v>
      </c>
      <c r="AY98" s="92" t="s">
        <v>52</v>
      </c>
      <c r="AZ98" s="92" t="s">
        <v>37</v>
      </c>
      <c r="BA98" s="92" t="s">
        <v>3</v>
      </c>
      <c r="BB98" s="92" t="s">
        <v>25</v>
      </c>
      <c r="BC98" s="92" t="s">
        <v>25</v>
      </c>
      <c r="BD98" s="92" t="s">
        <v>340</v>
      </c>
      <c r="BE98" s="92" t="s">
        <v>341</v>
      </c>
      <c r="BF98" s="92" t="s">
        <v>342</v>
      </c>
      <c r="BG98" s="92" t="s">
        <v>343</v>
      </c>
      <c r="BH98" s="92" t="s">
        <v>344</v>
      </c>
      <c r="BI98" s="92" t="s">
        <v>345</v>
      </c>
      <c r="BJ98" s="92" t="s">
        <v>346</v>
      </c>
      <c r="BK98" s="92" t="s">
        <v>347</v>
      </c>
      <c r="BL98" s="92" t="s">
        <v>348</v>
      </c>
      <c r="BM98" s="92" t="s">
        <v>349</v>
      </c>
      <c r="BN98" s="92" t="s">
        <v>53</v>
      </c>
      <c r="BO98" s="92" t="s">
        <v>54</v>
      </c>
      <c r="BP98" s="92" t="s">
        <v>55</v>
      </c>
      <c r="BQ98" s="92" t="s">
        <v>59</v>
      </c>
      <c r="BR98" s="92" t="s">
        <v>227</v>
      </c>
      <c r="BS98" s="92" t="s">
        <v>228</v>
      </c>
      <c r="BT98" s="92" t="s">
        <v>229</v>
      </c>
      <c r="BU98" s="92" t="s">
        <v>230</v>
      </c>
      <c r="BV98" s="92" t="s">
        <v>231</v>
      </c>
      <c r="BW98" s="92"/>
      <c r="BX98" s="92"/>
      <c r="BY98" s="92" t="s">
        <v>6</v>
      </c>
      <c r="BZ98" s="92" t="s">
        <v>51</v>
      </c>
      <c r="CA98" s="92" t="s">
        <v>2</v>
      </c>
      <c r="CB98" s="92" t="s">
        <v>17</v>
      </c>
      <c r="CC98" s="92" t="s">
        <v>75</v>
      </c>
      <c r="CD98" s="92" t="s">
        <v>103</v>
      </c>
      <c r="CE98" s="92" t="s">
        <v>7</v>
      </c>
      <c r="CF98" s="92" t="s">
        <v>120</v>
      </c>
      <c r="CG98" s="92" t="s">
        <v>3</v>
      </c>
      <c r="CH98" s="92" t="s">
        <v>39</v>
      </c>
      <c r="CI98" s="92" t="s">
        <v>103</v>
      </c>
      <c r="CJ98" s="92" t="s">
        <v>75</v>
      </c>
      <c r="CK98" s="92" t="s">
        <v>120</v>
      </c>
      <c r="CL98" s="92" t="s">
        <v>38</v>
      </c>
      <c r="CM98" s="92" t="s">
        <v>37</v>
      </c>
      <c r="CN98" s="92" t="s">
        <v>3</v>
      </c>
    </row>
    <row r="99" spans="2:94" ht="22.5" customHeight="1" outlineLevel="1" x14ac:dyDescent="0.35">
      <c r="C99" s="210" t="s">
        <v>261</v>
      </c>
      <c r="D99" s="211"/>
      <c r="F99" s="76" t="str">
        <f>IF(F97="Inget antal angivet","",IFERROR(INDEX($AN$98:$BZ$124,MATCH(F$94,$AL$98:$AL$124,0),MATCH("Varumärke",$AN$98:$BZ$98,0)),""))</f>
        <v/>
      </c>
      <c r="G99" s="77" t="str">
        <f ca="1">IFERROR(INDEX($AN$98:$BZ$124,MATCH(G$94,$AL$98:$AL$124,0),MATCH("Varumärke",$AN$98:$BZ$98,0)),"")</f>
        <v>Lenovo</v>
      </c>
      <c r="H99" s="77" t="str">
        <f ca="1">IFERROR(INDEX($AN$98:$BZ$124,MATCH(H$94,$AL$98:$AL$124,0),MATCH("Varumärke",$AN$98:$BZ$98,0)),"")</f>
        <v>Lenovo</v>
      </c>
      <c r="I99" s="119" t="str">
        <f ca="1">IFERROR(INDEX($AN$98:$BZ$124,MATCH(I$94,$AL$98:$AL$124,0),MATCH("Varumärke",$AN$98:$BZ$98,0)),"")</f>
        <v>Apple</v>
      </c>
      <c r="K99" s="185">
        <f t="shared" ref="K99:K104" ca="1" si="87">O99*$D$132</f>
        <v>0</v>
      </c>
      <c r="L99" s="185" t="b">
        <f t="shared" ref="L99:L104" si="88">IF($D$132=0,TRUE,IF(K99=0,FALSE,TRUE))</f>
        <v>1</v>
      </c>
      <c r="M99" s="185" t="s">
        <v>162</v>
      </c>
      <c r="N99" s="185" t="str">
        <f t="shared" ref="N99:N104" ca="1" si="89">IFERROR(INDEX($AA$99:$AA$124,MATCH(O99,$Z$99:$Z$124,0)),"")</f>
        <v>Offererad produktnr. 07Advania Sverige AB</v>
      </c>
      <c r="O99" s="185" cm="1">
        <f t="array" aca="1" ref="O99" ca="1">MIN(IF(($BY$99:$BY$122=M99)*($AM$99:$AM$122=$O$96),$Z$99:$Z$122))</f>
        <v>2084</v>
      </c>
      <c r="P99" s="197">
        <f ca="1">SMALL($Z$99:$Z$124,1)</f>
        <v>1700</v>
      </c>
      <c r="Q99" s="185">
        <f t="shared" ref="Q99:Q118" si="90">SUM(R99:Y99)</f>
        <v>0</v>
      </c>
      <c r="R99" s="185">
        <f t="shared" ref="R99:R118" si="91">IF($D$110="",0,BN99)</f>
        <v>0</v>
      </c>
      <c r="S99" s="185">
        <f t="shared" ref="S99:S118" si="92">IF($D$113="",0,BO99)</f>
        <v>0</v>
      </c>
      <c r="T99" s="185">
        <f t="shared" ref="T99:T118" si="93">IF($D$116="",0,BP99)</f>
        <v>0</v>
      </c>
      <c r="U99" s="185">
        <f t="shared" ref="U99:U118" si="94">IF($D$119="",0,BQ99)</f>
        <v>0</v>
      </c>
      <c r="V99" s="185">
        <f t="shared" ref="V99:V118" si="95">IF($D$122="",0,BR99)</f>
        <v>0</v>
      </c>
      <c r="W99" s="185">
        <f t="shared" ref="W99:W118" si="96">IF($D$126="",0,BS99)</f>
        <v>0</v>
      </c>
      <c r="X99" s="185">
        <f t="shared" ref="X99:X118" si="97">IF($D$127="",0,BT99)</f>
        <v>0</v>
      </c>
      <c r="Y99" s="185">
        <f t="shared" ref="Y99:Y118" si="98">IF($D$128="",0,BU99)</f>
        <v>0</v>
      </c>
      <c r="Z99" s="196">
        <f t="shared" ref="Z99:Z118" ca="1" si="99">IF(AA99="","",SUM(BC99,R99:Y99))</f>
        <v>2084</v>
      </c>
      <c r="AA99" s="185" t="str">
        <f t="shared" ref="AA99:AA118" si="100">IF(COUNTIF(AB99:AK99,FALSE)&gt;0,"",AL99)</f>
        <v>Offererad produktnr. 07Advania Sverige AB</v>
      </c>
      <c r="AB99" s="185" t="b">
        <f>IF(D100="",TRUE,IF(COUNTIF(Processor!$M$2:$M$3,D100)=0,IF(AN99=D100,TRUE,FALSE),IF(COUNTIF(AN99,INDEX(Processor!$N$2:$N$3,MATCH(Surfplattor!D100,Processor!$M$2:$M$3,0)))&gt;0,TRUE,FALSE)))</f>
        <v>1</v>
      </c>
      <c r="AC99" s="185" t="b">
        <f>IF($D$101="",TRUE,IF(COUNTIF(Processor!$I$2:$I$9,$D$101)&gt;0,AND(AO99&gt;INDEX(Processor!$J$2:$J$9,MATCH($D$101,Processor!$I$2:$I$9,0)),AO99&lt;INDEX(Processor!$K$2:$K$9,MATCH($D$101,Processor!$I$2:$I$9,0))),IF(AO99=$D$101,TRUE,FALSE)))</f>
        <v>1</v>
      </c>
      <c r="AD99" s="185" t="b">
        <f t="shared" ref="AD99:AD118" si="101">IFERROR(IF($D$102="",TRUE,IF(AND(IF(LEFT($D$102,4)*1&lt;=1*LEFT(AP99,4),TRUE,FALSE),IF(RIGHT(AP99,4)*1&gt;=1*RIGHT($D$102,4),TRUE,FALSE)),TRUE,FALSE)),0)</f>
        <v>1</v>
      </c>
      <c r="AE99" s="185" t="b">
        <f t="shared" ref="AE99:AE118" si="102">IF($D$103="",TRUE,IF(AQ99&gt;=$D$103,TRUE,FALSE))</f>
        <v>1</v>
      </c>
      <c r="AF99" s="185" t="b">
        <f t="shared" ref="AF99:AF118" si="103">IF($D$104="",TRUE,IF(AR99&gt;=$D$104,TRUE,FALSE))</f>
        <v>1</v>
      </c>
      <c r="AG99" s="185" t="b">
        <f t="shared" ref="AG99:AG118" si="104">IF($D$105="",TRUE,IF($D$105="802.11a/b/g/n/ac",TRUE,IF(AS99&gt;=$D$105,TRUE,FALSE)))</f>
        <v>1</v>
      </c>
      <c r="AH99" s="185" t="b">
        <f>IF($D$106="",TRUE,IF(INDEX(Processor!$C$14:$C$20,MATCH(LEFT(AT99,10)&amp;"",Processor!$A$14:$A$20,0))&gt;=INDEX(Processor!$C$14:$C$20,MATCH(LEFT($D$106,10)&amp;"",Processor!$A$14:$A$20,0)),TRUE,FALSE))</f>
        <v>1</v>
      </c>
      <c r="AI99" s="185" t="b">
        <f t="shared" ref="AI99:AI118" si="105">IF($D$107="",TRUE,IF($D$107="Miljömärkt",IF(AU99="Ej miljömärkt",FALSE,TRUE),IF(AU99=$D$107,TRUE,FALSE)))</f>
        <v>1</v>
      </c>
      <c r="AJ99" s="185"/>
      <c r="AK99" s="185"/>
      <c r="AL99" s="185" t="s">
        <v>204</v>
      </c>
      <c r="AM99" s="185">
        <v>1</v>
      </c>
      <c r="AN99" s="185" t="str">
        <f t="shared" ref="AN99:AW108" ca="1" si="106">IFERROR(INDEX(INDIRECT(AN$94&amp;"!$A$10:CC100000"),MATCH($AL99,INDIRECT(AN$94&amp;"!BH$10:BH100000"),0),MATCH(AN$96,INDIRECT(AN$94&amp;"!a10:CC10"),0)),"False")</f>
        <v>Android 11</v>
      </c>
      <c r="AO99" s="185">
        <f t="shared" ca="1" si="106"/>
        <v>10.1</v>
      </c>
      <c r="AP99" s="185" t="str">
        <f t="shared" ca="1" si="106"/>
        <v>1920x1200</v>
      </c>
      <c r="AQ99" s="185">
        <f t="shared" ca="1" si="106"/>
        <v>64</v>
      </c>
      <c r="AR99" s="185">
        <f t="shared" ca="1" si="106"/>
        <v>5</v>
      </c>
      <c r="AS99" s="185" t="str">
        <f t="shared" ca="1" si="106"/>
        <v>802.11a/b/g/n/ac</v>
      </c>
      <c r="AT99" s="185">
        <f t="shared" ca="1" si="106"/>
        <v>9</v>
      </c>
      <c r="AU99" s="185" t="str">
        <f t="shared" ca="1" si="106"/>
        <v>Ej miljömärkt</v>
      </c>
      <c r="AV99" s="185" t="str">
        <f t="shared" ca="1" si="106"/>
        <v>802.11a/b/g/n/ac</v>
      </c>
      <c r="AW99" s="185">
        <f t="shared" ca="1" si="106"/>
        <v>5</v>
      </c>
      <c r="AX99" s="185">
        <f t="shared" ref="AX99:BG108" ca="1" si="107">IFERROR(INDEX(INDIRECT(AX$94&amp;"!$A$10:CC100000"),MATCH($AL99,INDIRECT(AX$94&amp;"!BH$10:BH100000"),0),MATCH(AX$96,INDIRECT(AX$94&amp;"!a10:CC10"),0)),"False")</f>
        <v>9</v>
      </c>
      <c r="AY99" s="185" t="str">
        <f t="shared" ca="1" si="107"/>
        <v>Tab M10 (3rd Gen)</v>
      </c>
      <c r="AZ99" s="185">
        <f t="shared" ca="1" si="107"/>
        <v>0</v>
      </c>
      <c r="BA99" s="185" t="str">
        <f t="shared" ca="1" si="107"/>
        <v>Android 11</v>
      </c>
      <c r="BB99" s="185">
        <f t="shared" ca="1" si="107"/>
        <v>2084</v>
      </c>
      <c r="BC99" s="185">
        <f t="shared" ca="1" si="107"/>
        <v>2084</v>
      </c>
      <c r="BD99" s="192" t="str">
        <f t="shared" ca="1" si="107"/>
        <v>eSTUFF</v>
      </c>
      <c r="BE99" s="192" t="str">
        <f t="shared" ca="1" si="107"/>
        <v>eSTUFF</v>
      </c>
      <c r="BF99" s="192" t="str">
        <f t="shared" ca="1" si="107"/>
        <v>CoreParts</v>
      </c>
      <c r="BG99" s="192" t="str">
        <f t="shared" ca="1" si="107"/>
        <v>DELTACO</v>
      </c>
      <c r="BH99" s="192" t="str">
        <f t="shared" ref="BH99:BV108" ca="1" si="108">IFERROR(INDEX(INDIRECT(BH$94&amp;"!$A$10:CC100000"),MATCH($AL99,INDIRECT(BH$94&amp;"!BH$10:BH100000"),0),MATCH(BH$96,INDIRECT(BH$94&amp;"!a10:CC10"),0)),"False")</f>
        <v xml:space="preserve">ZAGG </v>
      </c>
      <c r="BI99" s="192" t="str">
        <f t="shared" ca="1" si="108"/>
        <v>ES685307-BULK - Vikbart fodral för surfplatta - polyuretan, polykarbonat, konstläder, mikrofiber - svart - för Lenovo Tab M10 (3rd Gen)</v>
      </c>
      <c r="BJ99" s="192" t="str">
        <f t="shared" ca="1" si="108"/>
        <v>ES517003 - Skärmskydd för surfplatta - glas - klar - för Lenovo Tab M10 (3rd Gen)</v>
      </c>
      <c r="BK99" s="192" t="str">
        <f t="shared" ca="1" si="108"/>
        <v>MBXUSB-AC0011 - Strömadapter - 12 Watt - 2.4 A (USB) - på kabel: USB-C - vit - med USB-C cable (2m)</v>
      </c>
      <c r="BL99" s="192" t="str">
        <f t="shared" ca="1" si="108"/>
        <v>TB-631</v>
      </c>
      <c r="BM99" s="192" t="str">
        <f t="shared" ca="1" si="108"/>
        <v>109912139 - Pro Stylus 2 - Aktiv penna - grå</v>
      </c>
      <c r="BN99" s="192">
        <f t="shared" ca="1" si="108"/>
        <v>251</v>
      </c>
      <c r="BO99" s="192">
        <f t="shared" ca="1" si="108"/>
        <v>251</v>
      </c>
      <c r="BP99" s="192">
        <f t="shared" ca="1" si="108"/>
        <v>108</v>
      </c>
      <c r="BQ99" s="192">
        <f t="shared" ca="1" si="108"/>
        <v>169</v>
      </c>
      <c r="BR99" s="192">
        <f t="shared" ca="1" si="108"/>
        <v>595</v>
      </c>
      <c r="BS99" s="192">
        <f t="shared" ca="1" si="108"/>
        <v>781</v>
      </c>
      <c r="BT99" s="192">
        <f t="shared" ca="1" si="108"/>
        <v>50</v>
      </c>
      <c r="BU99" s="192">
        <f t="shared" ca="1" si="108"/>
        <v>50</v>
      </c>
      <c r="BV99" s="192">
        <f t="shared" ca="1" si="108"/>
        <v>0</v>
      </c>
      <c r="BW99" s="192"/>
      <c r="BX99" s="192"/>
      <c r="BY99" s="192" t="str">
        <f t="shared" ref="BY99:BZ118" ca="1" si="109">IFERROR(INDEX(INDIRECT(BY$94&amp;"!$A$10:CC100000"),MATCH($AL99,INDIRECT(BY$94&amp;"!BH$10:BH100000"),0),MATCH(BY$96,INDIRECT(BY$94&amp;"!a10:CC10"),0)),"False")</f>
        <v>Advania Sverige AB</v>
      </c>
      <c r="BZ99" s="192" t="str">
        <f t="shared" ca="1" si="109"/>
        <v>Lenovo</v>
      </c>
      <c r="CA99" s="199" t="s">
        <v>163</v>
      </c>
      <c r="CB99" s="192">
        <v>64</v>
      </c>
      <c r="CC99" s="185">
        <v>4</v>
      </c>
      <c r="CD99" s="192" t="s">
        <v>79</v>
      </c>
      <c r="CE99" s="185" t="s">
        <v>356</v>
      </c>
      <c r="CF99" s="185" t="s">
        <v>148</v>
      </c>
      <c r="CG99" s="185" t="s">
        <v>469</v>
      </c>
      <c r="CH99" s="192" t="s">
        <v>273</v>
      </c>
      <c r="CI99" s="192" t="s">
        <v>79</v>
      </c>
      <c r="CJ99" s="185">
        <v>4</v>
      </c>
      <c r="CK99" s="185" t="s">
        <v>148</v>
      </c>
      <c r="CL99" s="192">
        <v>0</v>
      </c>
      <c r="CM99" s="192">
        <v>0</v>
      </c>
      <c r="CN99" s="185" t="s">
        <v>165</v>
      </c>
    </row>
    <row r="100" spans="2:94" ht="22.5" customHeight="1" outlineLevel="1" x14ac:dyDescent="0.35">
      <c r="C100" s="61" t="s">
        <v>3</v>
      </c>
      <c r="D100" s="64"/>
      <c r="F100" s="78" t="str">
        <f t="shared" ref="F100:F107" si="110">IF(F$97="Inget antal angivet","",IFERROR(INDEX($AN$98:$BZ$124,MATCH(F$94,$AL$98:$AL$124,0),MATCH($C100,$AN$98:$BZ$98,0)),""))</f>
        <v/>
      </c>
      <c r="G100" s="79" t="str">
        <f t="shared" ref="G100:I107" ca="1" si="111">IFERROR(INDEX($AN$98:$BZ$124,MATCH(G$94,$AL$98:$AL$124,0),MATCH($C100,$AN$98:$BZ$98,0)),"")</f>
        <v>Android 9</v>
      </c>
      <c r="H100" s="79" t="str">
        <f t="shared" ca="1" si="111"/>
        <v>Android 11</v>
      </c>
      <c r="I100" s="120" t="str">
        <f t="shared" ca="1" si="111"/>
        <v>iPadOS 15</v>
      </c>
      <c r="J100" s="62"/>
      <c r="K100" s="185">
        <f t="shared" ca="1" si="87"/>
        <v>0</v>
      </c>
      <c r="L100" s="185" t="b">
        <f t="shared" si="88"/>
        <v>1</v>
      </c>
      <c r="M100" s="185" t="s">
        <v>150</v>
      </c>
      <c r="N100" s="185" t="str">
        <f t="shared" ca="1" si="89"/>
        <v>Offererad produktnr. 08Atea Sverige AB</v>
      </c>
      <c r="O100" s="185" cm="1">
        <f t="array" aca="1" ref="O100" ca="1">MIN(IF(($BY$99:$BY$122=M100)*($AM$99:$AM$122=$O$96),$Z$99:$Z$122))</f>
        <v>5254</v>
      </c>
      <c r="P100" s="197">
        <f ca="1">SMALL($Z$99:$Z$124,2)</f>
        <v>2084</v>
      </c>
      <c r="Q100" s="185">
        <f t="shared" si="90"/>
        <v>0</v>
      </c>
      <c r="R100" s="185">
        <f t="shared" si="91"/>
        <v>0</v>
      </c>
      <c r="S100" s="185">
        <f t="shared" si="92"/>
        <v>0</v>
      </c>
      <c r="T100" s="185">
        <f t="shared" si="93"/>
        <v>0</v>
      </c>
      <c r="U100" s="185">
        <f t="shared" si="94"/>
        <v>0</v>
      </c>
      <c r="V100" s="185">
        <f t="shared" si="95"/>
        <v>0</v>
      </c>
      <c r="W100" s="185">
        <f t="shared" si="96"/>
        <v>0</v>
      </c>
      <c r="X100" s="185">
        <f t="shared" si="97"/>
        <v>0</v>
      </c>
      <c r="Y100" s="185">
        <f t="shared" si="98"/>
        <v>0</v>
      </c>
      <c r="Z100" s="196">
        <f t="shared" ca="1" si="99"/>
        <v>4238</v>
      </c>
      <c r="AA100" s="185" t="str">
        <f t="shared" si="100"/>
        <v>Offererad produktnr. 08Advania Sverige AB</v>
      </c>
      <c r="AB100" s="185" t="b">
        <f>IF(D100="",TRUE,IF(COUNTIF(Processor!$M$2:$M$3,D100)=0,IF(AN100=D100,TRUE,FALSE),IF(COUNTIF(AN100,INDEX(Processor!$N$2:$N$3,MATCH(Surfplattor!D100,Processor!$M$2:$M$3,0)))&gt;0,TRUE,FALSE)))</f>
        <v>1</v>
      </c>
      <c r="AC100" s="185" t="b">
        <f>IF($D$101="",TRUE,IF(COUNTIF(Processor!$I$2:$I$9,$D$101)&gt;0,AND(AO100&gt;INDEX(Processor!$J$2:$J$9,MATCH($D$101,Processor!$I$2:$I$9,0)),AO100&lt;INDEX(Processor!$K$2:$K$9,MATCH($D$101,Processor!$I$2:$I$9,0))),IF(AO100=$D$101,TRUE,FALSE)))</f>
        <v>1</v>
      </c>
      <c r="AD100" s="185" t="b">
        <f t="shared" si="101"/>
        <v>1</v>
      </c>
      <c r="AE100" s="185" t="b">
        <f t="shared" si="102"/>
        <v>1</v>
      </c>
      <c r="AF100" s="185" t="b">
        <f t="shared" si="103"/>
        <v>1</v>
      </c>
      <c r="AG100" s="185" t="b">
        <f t="shared" si="104"/>
        <v>1</v>
      </c>
      <c r="AH100" s="185" t="b">
        <f>IF($D$106="",TRUE,IF(INDEX(Processor!$C$14:$C$20,MATCH(LEFT(AT100,10)&amp;"",Processor!$A$14:$A$20,0))&gt;=INDEX(Processor!$C$14:$C$20,MATCH(LEFT($D$106,10)&amp;"",Processor!$A$14:$A$20,0)),TRUE,FALSE))</f>
        <v>1</v>
      </c>
      <c r="AI100" s="185" t="b">
        <f t="shared" si="105"/>
        <v>1</v>
      </c>
      <c r="AJ100" s="185"/>
      <c r="AK100" s="185"/>
      <c r="AL100" s="185" t="s">
        <v>205</v>
      </c>
      <c r="AM100" s="185">
        <v>1</v>
      </c>
      <c r="AN100" s="185" t="str">
        <f t="shared" ca="1" si="106"/>
        <v>iPadOS 14</v>
      </c>
      <c r="AO100" s="185">
        <f t="shared" ca="1" si="106"/>
        <v>10.199999999999999</v>
      </c>
      <c r="AP100" s="185" t="str">
        <f t="shared" ca="1" si="106"/>
        <v>2160x1620</v>
      </c>
      <c r="AQ100" s="185">
        <f t="shared" ca="1" si="106"/>
        <v>64</v>
      </c>
      <c r="AR100" s="185">
        <f t="shared" ca="1" si="106"/>
        <v>4.2</v>
      </c>
      <c r="AS100" s="185" t="str">
        <f t="shared" ca="1" si="106"/>
        <v>802.11a/b/g/n/ac</v>
      </c>
      <c r="AT100" s="185">
        <f t="shared" ca="1" si="106"/>
        <v>10</v>
      </c>
      <c r="AU100" s="185" t="str">
        <f t="shared" ca="1" si="106"/>
        <v>EPEAT Gold</v>
      </c>
      <c r="AV100" s="185" t="str">
        <f t="shared" ca="1" si="106"/>
        <v>802.11a/b/g/n/ac</v>
      </c>
      <c r="AW100" s="185">
        <f t="shared" ca="1" si="106"/>
        <v>4.2</v>
      </c>
      <c r="AX100" s="185">
        <f t="shared" ca="1" si="107"/>
        <v>10</v>
      </c>
      <c r="AY100" s="185" t="str">
        <f t="shared" ca="1" si="107"/>
        <v>10.2-inch iPad Wi-Fi 64GB</v>
      </c>
      <c r="AZ100" s="185">
        <f t="shared" ca="1" si="107"/>
        <v>0</v>
      </c>
      <c r="BA100" s="185" t="str">
        <f t="shared" ca="1" si="107"/>
        <v>iPadOS 14</v>
      </c>
      <c r="BB100" s="185">
        <f t="shared" ca="1" si="107"/>
        <v>4238</v>
      </c>
      <c r="BC100" s="185">
        <f t="shared" ca="1" si="107"/>
        <v>4238</v>
      </c>
      <c r="BD100" s="192" t="str">
        <f t="shared" ca="1" si="107"/>
        <v>eSTUFF</v>
      </c>
      <c r="BE100" s="192" t="str">
        <f t="shared" ca="1" si="107"/>
        <v>eSTUFF</v>
      </c>
      <c r="BF100" s="192" t="str">
        <f t="shared" ca="1" si="107"/>
        <v>DELTACO</v>
      </c>
      <c r="BG100" s="192" t="str">
        <f t="shared" ca="1" si="107"/>
        <v>DELTACO</v>
      </c>
      <c r="BH100" s="192" t="str">
        <f t="shared" ca="1" si="108"/>
        <v xml:space="preserve">ZAGG </v>
      </c>
      <c r="BI100" s="192" t="str">
        <f t="shared" ca="1" si="108"/>
        <v>ES682335-BULK - Baksidesskydd för surfplatta</v>
      </c>
      <c r="BJ100" s="192" t="str">
        <f t="shared" ca="1" si="108"/>
        <v>ES503200 - Titan Shield - skärmskydd för mobiltelefon</v>
      </c>
      <c r="BK100" s="192" t="str">
        <f t="shared" ca="1" si="108"/>
        <v xml:space="preserve">USBC-AC141 </v>
      </c>
      <c r="BL100" s="192" t="str">
        <f t="shared" ca="1" si="108"/>
        <v>TB-631</v>
      </c>
      <c r="BM100" s="192" t="str">
        <f t="shared" ca="1" si="108"/>
        <v>109912139 - Pro Stylus 2 - Aktiv penna - grå</v>
      </c>
      <c r="BN100" s="192">
        <f t="shared" ca="1" si="108"/>
        <v>181</v>
      </c>
      <c r="BO100" s="192">
        <f t="shared" ca="1" si="108"/>
        <v>219</v>
      </c>
      <c r="BP100" s="192">
        <f t="shared" ca="1" si="108"/>
        <v>144</v>
      </c>
      <c r="BQ100" s="192">
        <f t="shared" ca="1" si="108"/>
        <v>169</v>
      </c>
      <c r="BR100" s="192">
        <f t="shared" ca="1" si="108"/>
        <v>595</v>
      </c>
      <c r="BS100" s="192">
        <f t="shared" ca="1" si="108"/>
        <v>781</v>
      </c>
      <c r="BT100" s="192">
        <f t="shared" ca="1" si="108"/>
        <v>50</v>
      </c>
      <c r="BU100" s="192">
        <f t="shared" ca="1" si="108"/>
        <v>50</v>
      </c>
      <c r="BV100" s="192">
        <f t="shared" ca="1" si="108"/>
        <v>0</v>
      </c>
      <c r="BW100" s="192"/>
      <c r="BX100" s="192"/>
      <c r="BY100" s="192" t="str">
        <f t="shared" ca="1" si="109"/>
        <v>Advania Sverige AB</v>
      </c>
      <c r="BZ100" s="192" t="str">
        <f t="shared" ca="1" si="109"/>
        <v>Apple</v>
      </c>
      <c r="CA100" s="200" t="s">
        <v>141</v>
      </c>
      <c r="CB100" s="185">
        <v>128</v>
      </c>
      <c r="CC100" s="185">
        <v>4.2</v>
      </c>
      <c r="CD100" s="185" t="s">
        <v>86</v>
      </c>
      <c r="CE100" s="185" t="s">
        <v>353</v>
      </c>
      <c r="CF100" s="185" t="s">
        <v>164</v>
      </c>
      <c r="CG100" s="185" t="s">
        <v>470</v>
      </c>
      <c r="CH100" s="192" t="s">
        <v>142</v>
      </c>
      <c r="CI100" s="185" t="s">
        <v>86</v>
      </c>
      <c r="CJ100" s="185">
        <v>4.2</v>
      </c>
      <c r="CK100" s="185" t="s">
        <v>164</v>
      </c>
      <c r="CL100" s="185" t="s">
        <v>352</v>
      </c>
      <c r="CM100" s="185" t="s">
        <v>69</v>
      </c>
      <c r="CN100" s="185" t="s">
        <v>83</v>
      </c>
    </row>
    <row r="101" spans="2:94" ht="22.5" customHeight="1" outlineLevel="1" x14ac:dyDescent="0.35">
      <c r="C101" s="61" t="s">
        <v>7</v>
      </c>
      <c r="D101" s="64"/>
      <c r="F101" s="78" t="str">
        <f t="shared" si="110"/>
        <v/>
      </c>
      <c r="G101" s="79">
        <f t="shared" ca="1" si="111"/>
        <v>10.3</v>
      </c>
      <c r="H101" s="79">
        <f t="shared" ca="1" si="111"/>
        <v>10.1</v>
      </c>
      <c r="I101" s="120">
        <f t="shared" ca="1" si="111"/>
        <v>10.199999999999999</v>
      </c>
      <c r="J101" s="62"/>
      <c r="K101" s="185">
        <f t="shared" ca="1" si="87"/>
        <v>0</v>
      </c>
      <c r="L101" s="185" t="b">
        <f t="shared" si="88"/>
        <v>1</v>
      </c>
      <c r="M101" s="185" t="s">
        <v>128</v>
      </c>
      <c r="N101" s="185" t="str">
        <f t="shared" ca="1" si="89"/>
        <v>Offererad produktnr. 07Dustin Sverige AB</v>
      </c>
      <c r="O101" s="185" cm="1">
        <f t="array" aca="1" ref="O101" ca="1">MIN(IF(($BY$99:$BY$122=M101)*($AM$99:$AM$122=$O$96),$Z$99:$Z$122))</f>
        <v>3261</v>
      </c>
      <c r="P101" s="197">
        <f ca="1">SMALL($Z$99:$Z$124,3)</f>
        <v>3205</v>
      </c>
      <c r="Q101" s="185">
        <f t="shared" si="90"/>
        <v>0</v>
      </c>
      <c r="R101" s="185">
        <f t="shared" si="91"/>
        <v>0</v>
      </c>
      <c r="S101" s="185">
        <f t="shared" si="92"/>
        <v>0</v>
      </c>
      <c r="T101" s="185">
        <f t="shared" si="93"/>
        <v>0</v>
      </c>
      <c r="U101" s="185">
        <f t="shared" si="94"/>
        <v>0</v>
      </c>
      <c r="V101" s="185">
        <f t="shared" si="95"/>
        <v>0</v>
      </c>
      <c r="W101" s="185">
        <f t="shared" si="96"/>
        <v>0</v>
      </c>
      <c r="X101" s="185">
        <f t="shared" si="97"/>
        <v>0</v>
      </c>
      <c r="Y101" s="185">
        <f t="shared" si="98"/>
        <v>0</v>
      </c>
      <c r="Z101" s="196">
        <f t="shared" ca="1" si="99"/>
        <v>8671</v>
      </c>
      <c r="AA101" s="185" t="str">
        <f t="shared" si="100"/>
        <v>Offererad produktnr. 09Advania Sverige AB</v>
      </c>
      <c r="AB101" s="185" t="b">
        <f>IF(D100="",TRUE,IF(COUNTIF(Processor!$M$2:$M$3,D100)=0,IF(AN101=D100,TRUE,FALSE),IF(COUNTIF(AN101,INDEX(Processor!$N$2:$N$3,MATCH(Surfplattor!D100,Processor!$M$2:$M$3,0)))&gt;0,TRUE,FALSE)))</f>
        <v>1</v>
      </c>
      <c r="AC101" s="185" t="b">
        <f>IF($D$101="",TRUE,IF(COUNTIF(Processor!$I$2:$I$9,$D$101)&gt;0,AND(AO101&gt;INDEX(Processor!$J$2:$J$9,MATCH($D$101,Processor!$I$2:$I$9,0)),AO101&lt;INDEX(Processor!$K$2:$K$9,MATCH($D$101,Processor!$I$2:$I$9,0))),IF(AO101=$D$101,TRUE,FALSE)))</f>
        <v>1</v>
      </c>
      <c r="AD101" s="185" t="b">
        <f t="shared" si="101"/>
        <v>1</v>
      </c>
      <c r="AE101" s="185" t="b">
        <f t="shared" si="102"/>
        <v>1</v>
      </c>
      <c r="AF101" s="185" t="b">
        <f t="shared" si="103"/>
        <v>1</v>
      </c>
      <c r="AG101" s="185" t="b">
        <f t="shared" si="104"/>
        <v>1</v>
      </c>
      <c r="AH101" s="185" t="b">
        <f>IF($D$106="",TRUE,IF(INDEX(Processor!$C$14:$C$20,MATCH(LEFT(AT101,10)&amp;"",Processor!$A$14:$A$20,0))&gt;=INDEX(Processor!$C$14:$C$20,MATCH(LEFT($D$106,10)&amp;"",Processor!$A$14:$A$20,0)),TRUE,FALSE))</f>
        <v>1</v>
      </c>
      <c r="AI101" s="185" t="b">
        <f t="shared" si="105"/>
        <v>1</v>
      </c>
      <c r="AJ101" s="185"/>
      <c r="AK101" s="185"/>
      <c r="AL101" s="185" t="s">
        <v>206</v>
      </c>
      <c r="AM101" s="185">
        <v>1</v>
      </c>
      <c r="AN101" s="185" t="str">
        <f t="shared" ca="1" si="106"/>
        <v>Android 11</v>
      </c>
      <c r="AO101" s="185">
        <f t="shared" ca="1" si="106"/>
        <v>11</v>
      </c>
      <c r="AP101" s="185" t="str">
        <f t="shared" ca="1" si="106"/>
        <v>2560x1600</v>
      </c>
      <c r="AQ101" s="185">
        <f t="shared" ca="1" si="106"/>
        <v>128</v>
      </c>
      <c r="AR101" s="185">
        <f t="shared" ca="1" si="106"/>
        <v>5.3</v>
      </c>
      <c r="AS101" s="185" t="str">
        <f t="shared" ca="1" si="106"/>
        <v>802.11a/b/g/n/ac/ax</v>
      </c>
      <c r="AT101" s="185">
        <f t="shared" ca="1" si="106"/>
        <v>13</v>
      </c>
      <c r="AU101" s="185" t="str">
        <f t="shared" ca="1" si="106"/>
        <v>Ej miljömärkt</v>
      </c>
      <c r="AV101" s="185" t="str">
        <f t="shared" ca="1" si="106"/>
        <v>802.11a/b/g/n/ac/ax</v>
      </c>
      <c r="AW101" s="185">
        <f t="shared" ca="1" si="106"/>
        <v>5.3</v>
      </c>
      <c r="AX101" s="185">
        <f t="shared" ca="1" si="107"/>
        <v>13</v>
      </c>
      <c r="AY101" s="185" t="str">
        <f t="shared" ca="1" si="107"/>
        <v>Samsung Galaxy Tab S9</v>
      </c>
      <c r="AZ101" s="185">
        <f t="shared" ca="1" si="107"/>
        <v>0</v>
      </c>
      <c r="BA101" s="185" t="str">
        <f t="shared" ca="1" si="107"/>
        <v>Android 11</v>
      </c>
      <c r="BB101" s="185">
        <f t="shared" ca="1" si="107"/>
        <v>8671</v>
      </c>
      <c r="BC101" s="185">
        <f t="shared" ca="1" si="107"/>
        <v>8671</v>
      </c>
      <c r="BD101" s="192" t="str">
        <f t="shared" ca="1" si="107"/>
        <v>Insmat</v>
      </c>
      <c r="BE101" s="192" t="str">
        <f t="shared" ca="1" si="107"/>
        <v>Samsung</v>
      </c>
      <c r="BF101" s="192" t="str">
        <f t="shared" ca="1" si="107"/>
        <v>CoreParts</v>
      </c>
      <c r="BG101" s="192" t="str">
        <f t="shared" ca="1" si="107"/>
        <v>DELTACO</v>
      </c>
      <c r="BH101" s="192" t="str">
        <f t="shared" ca="1" si="108"/>
        <v>Samsung</v>
      </c>
      <c r="BI101" s="192" t="str">
        <f t="shared" ca="1" si="108"/>
        <v xml:space="preserve">652-1287 - Baksidesskydd för surfplatta - robust - rugged armor </v>
      </c>
      <c r="BJ101" s="192" t="str">
        <f t="shared" ca="1" si="108"/>
        <v>EF-UX710CTEGWW - EF-UX710 - Skärmskydd för surfplatta</v>
      </c>
      <c r="BK101" s="192" t="str">
        <f t="shared" ca="1" si="108"/>
        <v>MBXUSB-AC0011 - Strömadapter - 12 Watt - 2.4 A (USB) - på kabel: USB-C - vit - med USB-C cable (2m)</v>
      </c>
      <c r="BL101" s="192" t="str">
        <f t="shared" ca="1" si="108"/>
        <v>TB-631</v>
      </c>
      <c r="BM101" s="192" t="str">
        <f t="shared" ca="1" si="108"/>
        <v>EJ-PX710BBEGEU - S Pen - Aktiv penna - Bluetooth</v>
      </c>
      <c r="BN101" s="192">
        <f t="shared" ca="1" si="108"/>
        <v>174</v>
      </c>
      <c r="BO101" s="192">
        <f t="shared" ca="1" si="108"/>
        <v>219</v>
      </c>
      <c r="BP101" s="192">
        <f t="shared" ca="1" si="108"/>
        <v>108</v>
      </c>
      <c r="BQ101" s="192">
        <f t="shared" ca="1" si="108"/>
        <v>169</v>
      </c>
      <c r="BR101" s="192">
        <f t="shared" ca="1" si="108"/>
        <v>295</v>
      </c>
      <c r="BS101" s="192">
        <f t="shared" ca="1" si="108"/>
        <v>269</v>
      </c>
      <c r="BT101" s="192">
        <f t="shared" ca="1" si="108"/>
        <v>50</v>
      </c>
      <c r="BU101" s="192">
        <f t="shared" ca="1" si="108"/>
        <v>50</v>
      </c>
      <c r="BV101" s="192">
        <f t="shared" ca="1" si="108"/>
        <v>0</v>
      </c>
      <c r="BW101" s="192"/>
      <c r="BX101" s="192"/>
      <c r="BY101" s="192" t="str">
        <f t="shared" ca="1" si="109"/>
        <v>Advania Sverige AB</v>
      </c>
      <c r="BZ101" s="192" t="str">
        <f t="shared" ca="1" si="109"/>
        <v>Samsung</v>
      </c>
      <c r="CA101" s="199" t="s">
        <v>90</v>
      </c>
      <c r="CB101" s="185">
        <v>0</v>
      </c>
      <c r="CC101" s="186">
        <v>5</v>
      </c>
      <c r="CD101" s="185"/>
      <c r="CE101" s="185">
        <v>10.199999999999999</v>
      </c>
      <c r="CF101" s="185" t="s">
        <v>144</v>
      </c>
      <c r="CG101" s="185" t="s">
        <v>96</v>
      </c>
      <c r="CH101" s="185" t="s">
        <v>94</v>
      </c>
      <c r="CI101" s="185"/>
      <c r="CJ101" s="186">
        <v>5</v>
      </c>
      <c r="CK101" s="185" t="s">
        <v>144</v>
      </c>
      <c r="CL101" s="185"/>
      <c r="CM101" s="185"/>
      <c r="CN101" s="185" t="s">
        <v>91</v>
      </c>
    </row>
    <row r="102" spans="2:94" ht="22.5" customHeight="1" outlineLevel="1" x14ac:dyDescent="0.35">
      <c r="C102" s="61" t="s">
        <v>2</v>
      </c>
      <c r="D102" s="64"/>
      <c r="F102" s="78" t="str">
        <f t="shared" si="110"/>
        <v/>
      </c>
      <c r="G102" s="79" t="str">
        <f t="shared" ca="1" si="111"/>
        <v>1920x1200</v>
      </c>
      <c r="H102" s="79" t="str">
        <f t="shared" ca="1" si="111"/>
        <v>1920x1200</v>
      </c>
      <c r="I102" s="120" t="str">
        <f t="shared" ca="1" si="111"/>
        <v>2160x1620</v>
      </c>
      <c r="J102" s="62"/>
      <c r="K102" s="185">
        <f t="shared" ca="1" si="87"/>
        <v>0</v>
      </c>
      <c r="L102" s="185" t="b">
        <f t="shared" si="88"/>
        <v>1</v>
      </c>
      <c r="M102" s="185" t="s">
        <v>169</v>
      </c>
      <c r="N102" s="185" t="str">
        <f t="shared" ca="1" si="89"/>
        <v>Offererad produktnr. 08Foxway Education AB</v>
      </c>
      <c r="O102" s="185" cm="1">
        <f t="array" aca="1" ref="O102" ca="1">MIN(IF(($BY$99:$BY$122=M102)*($AM$99:$AM$122=$O$96),$Z$99:$Z$122))</f>
        <v>3894</v>
      </c>
      <c r="P102" s="197"/>
      <c r="Q102" s="185">
        <f t="shared" si="90"/>
        <v>0</v>
      </c>
      <c r="R102" s="185">
        <f t="shared" si="91"/>
        <v>0</v>
      </c>
      <c r="S102" s="185">
        <f t="shared" si="92"/>
        <v>0</v>
      </c>
      <c r="T102" s="185">
        <f t="shared" si="93"/>
        <v>0</v>
      </c>
      <c r="U102" s="185">
        <f t="shared" si="94"/>
        <v>0</v>
      </c>
      <c r="V102" s="185">
        <f t="shared" si="95"/>
        <v>0</v>
      </c>
      <c r="W102" s="185">
        <f t="shared" si="96"/>
        <v>0</v>
      </c>
      <c r="X102" s="185">
        <f t="shared" si="97"/>
        <v>0</v>
      </c>
      <c r="Y102" s="185">
        <f t="shared" si="98"/>
        <v>0</v>
      </c>
      <c r="Z102" s="196">
        <f t="shared" ca="1" si="99"/>
        <v>6116</v>
      </c>
      <c r="AA102" s="185" t="str">
        <f t="shared" si="100"/>
        <v>Offererad produktnr. 10Advania Sverige AB</v>
      </c>
      <c r="AB102" s="185" t="b">
        <f>IF(D100="",TRUE,IF(COUNTIF(Processor!$M$2:$M$3,D100)=0,IF(AN102=D100,TRUE,FALSE),IF(COUNTIF(AN102,INDEX(Processor!$N$2:$N$3,MATCH(Surfplattor!D100,Processor!$M$2:$M$3,0)))&gt;0,TRUE,FALSE)))</f>
        <v>1</v>
      </c>
      <c r="AC102" s="185" t="b">
        <f>IF($D$101="",TRUE,IF(COUNTIF(Processor!$I$2:$I$9,$D$101)&gt;0,AND(AO102&gt;INDEX(Processor!$J$2:$J$9,MATCH($D$101,Processor!$I$2:$I$9,0)),AO102&lt;INDEX(Processor!$K$2:$K$9,MATCH($D$101,Processor!$I$2:$I$9,0))),IF(AO102=$D$101,TRUE,FALSE)))</f>
        <v>1</v>
      </c>
      <c r="AD102" s="185" t="b">
        <f t="shared" si="101"/>
        <v>1</v>
      </c>
      <c r="AE102" s="185" t="b">
        <f t="shared" si="102"/>
        <v>1</v>
      </c>
      <c r="AF102" s="185" t="b">
        <f t="shared" si="103"/>
        <v>1</v>
      </c>
      <c r="AG102" s="185" t="b">
        <f t="shared" si="104"/>
        <v>1</v>
      </c>
      <c r="AH102" s="185" t="b">
        <f>IF($D$106="",TRUE,IF(INDEX(Processor!$C$14:$C$20,MATCH(LEFT(AT102,10)&amp;"",Processor!$A$14:$A$20,0))&gt;=INDEX(Processor!$C$14:$C$20,MATCH(LEFT($D$106,10)&amp;"",Processor!$A$14:$A$20,0)),TRUE,FALSE))</f>
        <v>1</v>
      </c>
      <c r="AI102" s="185" t="b">
        <f t="shared" si="105"/>
        <v>1</v>
      </c>
      <c r="AJ102" s="185"/>
      <c r="AK102" s="185"/>
      <c r="AL102" s="185" t="s">
        <v>207</v>
      </c>
      <c r="AM102" s="185">
        <v>1</v>
      </c>
      <c r="AN102" s="185" t="str">
        <f t="shared" ca="1" si="106"/>
        <v>Android 11</v>
      </c>
      <c r="AO102" s="185">
        <f t="shared" ca="1" si="106"/>
        <v>11</v>
      </c>
      <c r="AP102" s="185" t="str">
        <f t="shared" ca="1" si="106"/>
        <v>2560x1600</v>
      </c>
      <c r="AQ102" s="185">
        <f t="shared" ca="1" si="106"/>
        <v>128</v>
      </c>
      <c r="AR102" s="185">
        <f t="shared" ca="1" si="106"/>
        <v>5.2</v>
      </c>
      <c r="AS102" s="185" t="str">
        <f t="shared" ca="1" si="106"/>
        <v>802.11a/b/g/n/ac/ax</v>
      </c>
      <c r="AT102" s="185">
        <f t="shared" ca="1" si="106"/>
        <v>13</v>
      </c>
      <c r="AU102" s="185" t="str">
        <f t="shared" ca="1" si="106"/>
        <v>Ej miljömärkt</v>
      </c>
      <c r="AV102" s="185" t="str">
        <f t="shared" ca="1" si="106"/>
        <v>802.11a/b/g/n/ac/ax</v>
      </c>
      <c r="AW102" s="185">
        <f t="shared" ca="1" si="106"/>
        <v>5.2</v>
      </c>
      <c r="AX102" s="185">
        <f t="shared" ca="1" si="107"/>
        <v>13</v>
      </c>
      <c r="AY102" s="185" t="str">
        <f t="shared" ca="1" si="107"/>
        <v>Samsung Galaxy Tab S8</v>
      </c>
      <c r="AZ102" s="185">
        <f t="shared" ca="1" si="107"/>
        <v>0</v>
      </c>
      <c r="BA102" s="185" t="str">
        <f t="shared" ca="1" si="107"/>
        <v>Android 11</v>
      </c>
      <c r="BB102" s="185">
        <f t="shared" ca="1" si="107"/>
        <v>6116</v>
      </c>
      <c r="BC102" s="185">
        <f t="shared" ca="1" si="107"/>
        <v>6116</v>
      </c>
      <c r="BD102" s="192" t="str">
        <f t="shared" ca="1" si="107"/>
        <v>Insmat</v>
      </c>
      <c r="BE102" s="192" t="str">
        <f t="shared" ca="1" si="107"/>
        <v>Tolerate</v>
      </c>
      <c r="BF102" s="192" t="str">
        <f t="shared" ca="1" si="107"/>
        <v>CoreParts</v>
      </c>
      <c r="BG102" s="192" t="str">
        <f t="shared" ca="1" si="107"/>
        <v>DELTACO</v>
      </c>
      <c r="BH102" s="192" t="str">
        <f t="shared" ca="1" si="108"/>
        <v xml:space="preserve">ZAGG </v>
      </c>
      <c r="BI102" s="192" t="str">
        <f t="shared" ca="1" si="108"/>
        <v xml:space="preserve">652-1287 - Baksidesskydd för surfplatta - robust - rugged armor </v>
      </c>
      <c r="BJ102" s="192" t="str">
        <f t="shared" ca="1" si="108"/>
        <v>ED600189 - Skärmskydd för surfplatta</v>
      </c>
      <c r="BK102" s="192" t="str">
        <f t="shared" ca="1" si="108"/>
        <v>MBXUSB-AC0011 - Strömadapter - 12 Watt - 2.4 A (USB) - på kabel: USB-C - vit - med USB-C cable (2m)</v>
      </c>
      <c r="BL102" s="192" t="str">
        <f t="shared" ca="1" si="108"/>
        <v>TB-631</v>
      </c>
      <c r="BM102" s="192" t="str">
        <f t="shared" ca="1" si="108"/>
        <v>109912139 - Pro Stylus 2 - Aktiv penna - grå</v>
      </c>
      <c r="BN102" s="192">
        <f t="shared" ca="1" si="108"/>
        <v>181</v>
      </c>
      <c r="BO102" s="192">
        <f t="shared" ca="1" si="108"/>
        <v>228</v>
      </c>
      <c r="BP102" s="192">
        <f t="shared" ca="1" si="108"/>
        <v>108</v>
      </c>
      <c r="BQ102" s="192">
        <f t="shared" ca="1" si="108"/>
        <v>169</v>
      </c>
      <c r="BR102" s="192">
        <f t="shared" ca="1" si="108"/>
        <v>595</v>
      </c>
      <c r="BS102" s="192">
        <f t="shared" ca="1" si="108"/>
        <v>781</v>
      </c>
      <c r="BT102" s="192">
        <f t="shared" ca="1" si="108"/>
        <v>50</v>
      </c>
      <c r="BU102" s="192">
        <f t="shared" ca="1" si="108"/>
        <v>50</v>
      </c>
      <c r="BV102" s="192">
        <f t="shared" ca="1" si="108"/>
        <v>0</v>
      </c>
      <c r="BW102" s="192"/>
      <c r="BX102" s="192"/>
      <c r="BY102" s="192" t="str">
        <f t="shared" ca="1" si="109"/>
        <v>Advania Sverige AB</v>
      </c>
      <c r="BZ102" s="192" t="str">
        <f t="shared" ca="1" si="109"/>
        <v>Samsung</v>
      </c>
      <c r="CA102" s="199" t="s">
        <v>95</v>
      </c>
      <c r="CB102" s="185"/>
      <c r="CC102" s="185"/>
      <c r="CD102" s="185"/>
      <c r="CE102" s="185">
        <v>10.3</v>
      </c>
      <c r="CF102" s="185" t="s">
        <v>130</v>
      </c>
      <c r="CG102" s="185" t="s">
        <v>530</v>
      </c>
      <c r="CH102" s="185" t="s">
        <v>171</v>
      </c>
      <c r="CI102" s="185"/>
      <c r="CJ102" s="185">
        <v>5.2</v>
      </c>
      <c r="CK102" s="185" t="s">
        <v>130</v>
      </c>
      <c r="CL102" s="185"/>
      <c r="CM102" s="185"/>
      <c r="CN102" s="185" t="s">
        <v>96</v>
      </c>
    </row>
    <row r="103" spans="2:94" ht="22.5" customHeight="1" outlineLevel="1" x14ac:dyDescent="0.35">
      <c r="C103" s="61" t="s">
        <v>17</v>
      </c>
      <c r="D103" s="64"/>
      <c r="F103" s="78" t="str">
        <f t="shared" si="110"/>
        <v/>
      </c>
      <c r="G103" s="79">
        <f t="shared" ca="1" si="111"/>
        <v>64</v>
      </c>
      <c r="H103" s="79">
        <f t="shared" ca="1" si="111"/>
        <v>64</v>
      </c>
      <c r="I103" s="120">
        <f t="shared" ca="1" si="111"/>
        <v>64</v>
      </c>
      <c r="J103" s="62"/>
      <c r="K103" s="185">
        <f t="shared" ca="1" si="87"/>
        <v>0</v>
      </c>
      <c r="L103" s="185" t="b">
        <f t="shared" si="88"/>
        <v>1</v>
      </c>
      <c r="M103" s="185" t="s">
        <v>167</v>
      </c>
      <c r="N103" s="185" t="str">
        <f t="shared" ca="1" si="89"/>
        <v/>
      </c>
      <c r="O103" s="185" cm="1">
        <f t="array" aca="1" ref="O103" ca="1">MIN(IF(($BY$99:$BY$122=M103)*($AM$99:$AM$122=$O$96),$Z$99:$Z$122))</f>
        <v>0</v>
      </c>
      <c r="P103" s="197"/>
      <c r="Q103" s="185">
        <f t="shared" si="90"/>
        <v>0</v>
      </c>
      <c r="R103" s="185">
        <f t="shared" si="91"/>
        <v>0</v>
      </c>
      <c r="S103" s="185">
        <f t="shared" si="92"/>
        <v>0</v>
      </c>
      <c r="T103" s="185">
        <f t="shared" si="93"/>
        <v>0</v>
      </c>
      <c r="U103" s="185">
        <f t="shared" si="94"/>
        <v>0</v>
      </c>
      <c r="V103" s="185">
        <f t="shared" si="95"/>
        <v>0</v>
      </c>
      <c r="W103" s="185">
        <f t="shared" si="96"/>
        <v>0</v>
      </c>
      <c r="X103" s="185">
        <f t="shared" si="97"/>
        <v>0</v>
      </c>
      <c r="Y103" s="185">
        <f t="shared" si="98"/>
        <v>0</v>
      </c>
      <c r="Z103" s="196">
        <f t="shared" ca="1" si="99"/>
        <v>9140</v>
      </c>
      <c r="AA103" s="185" t="str">
        <f t="shared" si="100"/>
        <v>Offererad produktnr. 07Atea Sverige AB</v>
      </c>
      <c r="AB103" s="185" t="b">
        <f>IF(D100="",TRUE,IF(COUNTIF(Processor!$M$2:$M$3,D100)=0,IF(AN103=D100,TRUE,FALSE),IF(COUNTIF(AN103,INDEX(Processor!$N$2:$N$3,MATCH(Surfplattor!D100,Processor!$M$2:$M$3,0)))&gt;0,TRUE,FALSE)))</f>
        <v>1</v>
      </c>
      <c r="AC103" s="185" t="b">
        <f>IF($D$101="",TRUE,IF(COUNTIF(Processor!$I$2:$I$9,$D$101)&gt;0,AND(AO103&gt;INDEX(Processor!$J$2:$J$9,MATCH($D$101,Processor!$I$2:$I$9,0)),AO103&lt;INDEX(Processor!$K$2:$K$9,MATCH($D$101,Processor!$I$2:$I$9,0))),IF(AO103=$D$101,TRUE,FALSE)))</f>
        <v>1</v>
      </c>
      <c r="AD103" s="185" t="b">
        <f t="shared" si="101"/>
        <v>1</v>
      </c>
      <c r="AE103" s="185" t="b">
        <f t="shared" si="102"/>
        <v>1</v>
      </c>
      <c r="AF103" s="185" t="b">
        <f t="shared" si="103"/>
        <v>1</v>
      </c>
      <c r="AG103" s="185" t="b">
        <f t="shared" si="104"/>
        <v>1</v>
      </c>
      <c r="AH103" s="185" t="b">
        <f>IF($D$106="",TRUE,IF(INDEX(Processor!$C$14:$C$20,MATCH(LEFT(AT103,10)&amp;"",Processor!$A$14:$A$20,0))&gt;=INDEX(Processor!$C$14:$C$20,MATCH(LEFT($D$106,10)&amp;"",Processor!$A$14:$A$20,0)),TRUE,FALSE))</f>
        <v>1</v>
      </c>
      <c r="AI103" s="185" t="b">
        <f t="shared" si="105"/>
        <v>1</v>
      </c>
      <c r="AJ103" s="185"/>
      <c r="AK103" s="185"/>
      <c r="AL103" s="185" t="s">
        <v>192</v>
      </c>
      <c r="AM103" s="185">
        <v>1</v>
      </c>
      <c r="AN103" s="185" t="str">
        <f t="shared" ca="1" si="106"/>
        <v>iPadOS 15</v>
      </c>
      <c r="AO103" s="185">
        <f t="shared" ca="1" si="106"/>
        <v>10.9</v>
      </c>
      <c r="AP103" s="185" t="str">
        <f t="shared" ca="1" si="106"/>
        <v>2360x1640</v>
      </c>
      <c r="AQ103" s="185">
        <f t="shared" ca="1" si="106"/>
        <v>64</v>
      </c>
      <c r="AR103" s="185">
        <f t="shared" ca="1" si="106"/>
        <v>5</v>
      </c>
      <c r="AS103" s="185" t="str">
        <f t="shared" ca="1" si="106"/>
        <v>802.11a/b/g/n/ac/ax</v>
      </c>
      <c r="AT103" s="185">
        <f t="shared" ca="1" si="106"/>
        <v>10</v>
      </c>
      <c r="AU103" s="185" t="str">
        <f t="shared" ca="1" si="106"/>
        <v>EPEAT Gold</v>
      </c>
      <c r="AV103" s="185" t="str">
        <f t="shared" ca="1" si="106"/>
        <v>802.11a/b/g/n/ac/ax</v>
      </c>
      <c r="AW103" s="185">
        <f t="shared" ca="1" si="106"/>
        <v>5</v>
      </c>
      <c r="AX103" s="185">
        <f t="shared" ca="1" si="107"/>
        <v>10</v>
      </c>
      <c r="AY103" s="185" t="str">
        <f t="shared" ca="1" si="107"/>
        <v>10.9-inch iPad Air Wi-Fi 5th Gen</v>
      </c>
      <c r="AZ103" s="185">
        <f t="shared" ca="1" si="107"/>
        <v>0</v>
      </c>
      <c r="BA103" s="185" t="str">
        <f t="shared" ca="1" si="107"/>
        <v>iPadOS 15</v>
      </c>
      <c r="BB103" s="185">
        <f t="shared" ca="1" si="107"/>
        <v>9140</v>
      </c>
      <c r="BC103" s="185">
        <f t="shared" ca="1" si="107"/>
        <v>9140</v>
      </c>
      <c r="BD103" s="192" t="str">
        <f t="shared" ca="1" si="107"/>
        <v>ZAGG</v>
      </c>
      <c r="BE103" s="192" t="str">
        <f t="shared" ca="1" si="107"/>
        <v>ZAGG</v>
      </c>
      <c r="BF103" s="192" t="str">
        <f t="shared" ca="1" si="107"/>
        <v xml:space="preserve">Mophie </v>
      </c>
      <c r="BG103" s="192" t="str">
        <f t="shared" ca="1" si="107"/>
        <v>Tolerate</v>
      </c>
      <c r="BH103" s="192" t="str">
        <f t="shared" ca="1" si="108"/>
        <v>Apple</v>
      </c>
      <c r="BI103" s="192" t="str">
        <f t="shared" ca="1" si="108"/>
        <v>GEAR4 Case Brompton + Folio Apple iPad Air 10.9" (4th Gen)/ iPad Pro 11" (1st &amp; 2nd Gen) - smoke</v>
      </c>
      <c r="BJ103" s="192" t="str">
        <f t="shared" ca="1" si="108"/>
        <v>InvisibleShield Glass Elite+ iPad Air 4/11P (2021) Case friendly Screen</v>
      </c>
      <c r="BK103" s="192" t="str">
        <f t="shared" ca="1" si="108"/>
        <v>Mophie USB typ C-kabel/MOPHIE WALL ADAPTER USB-C 20W</v>
      </c>
      <c r="BL103" s="192" t="str">
        <f t="shared" ca="1" si="108"/>
        <v>TOLERATE KEYBOARD FOLIO IPAD AIR 10,9 BLACK</v>
      </c>
      <c r="BM103" s="192" t="str">
        <f t="shared" ca="1" si="108"/>
        <v>Apple Pencil 2nd Generation - Penna för surfplatta - för 10.9-inch iPad Air (4th generation); 11-inch iPad Pro (1st generation, 2nd generation, 3rd generation); 12.9-inch iPad Pro (3rd generation, 4th generation, 5th generation)</v>
      </c>
      <c r="BN103" s="192">
        <f t="shared" ca="1" si="108"/>
        <v>344</v>
      </c>
      <c r="BO103" s="192">
        <f t="shared" ca="1" si="108"/>
        <v>302</v>
      </c>
      <c r="BP103" s="192">
        <f t="shared" ca="1" si="108"/>
        <v>289</v>
      </c>
      <c r="BQ103" s="192">
        <f t="shared" ca="1" si="108"/>
        <v>756</v>
      </c>
      <c r="BR103" s="192">
        <f t="shared" ca="1" si="108"/>
        <v>1742</v>
      </c>
      <c r="BS103" s="192">
        <f t="shared" ca="1" si="108"/>
        <v>672</v>
      </c>
      <c r="BT103" s="192">
        <f t="shared" ca="1" si="108"/>
        <v>85</v>
      </c>
      <c r="BU103" s="192">
        <f t="shared" ca="1" si="108"/>
        <v>100</v>
      </c>
      <c r="BV103" s="192">
        <f t="shared" ca="1" si="108"/>
        <v>0</v>
      </c>
      <c r="BW103" s="192"/>
      <c r="BX103" s="192"/>
      <c r="BY103" s="192" t="str">
        <f t="shared" ca="1" si="109"/>
        <v>Atea Sverige AB</v>
      </c>
      <c r="BZ103" s="192" t="str">
        <f t="shared" ca="1" si="109"/>
        <v>Apple</v>
      </c>
      <c r="CA103" s="199" t="s">
        <v>435</v>
      </c>
      <c r="CB103" s="185"/>
      <c r="CC103" s="185"/>
      <c r="CD103" s="185"/>
      <c r="CE103" s="185">
        <v>10.4</v>
      </c>
      <c r="CF103" s="185" t="s">
        <v>225</v>
      </c>
      <c r="CG103" s="185" t="s">
        <v>165</v>
      </c>
      <c r="CH103" s="185"/>
      <c r="CI103" s="185"/>
      <c r="CJ103" s="185"/>
      <c r="CK103" s="185" t="s">
        <v>225</v>
      </c>
      <c r="CL103" s="185"/>
      <c r="CM103" s="185"/>
      <c r="CN103" s="185"/>
    </row>
    <row r="104" spans="2:94" ht="28.5" customHeight="1" outlineLevel="1" x14ac:dyDescent="0.35">
      <c r="C104" s="61" t="s">
        <v>75</v>
      </c>
      <c r="D104" s="110"/>
      <c r="F104" s="78" t="str">
        <f t="shared" si="110"/>
        <v/>
      </c>
      <c r="G104" s="79">
        <f t="shared" ca="1" si="111"/>
        <v>5</v>
      </c>
      <c r="H104" s="79">
        <f t="shared" ca="1" si="111"/>
        <v>5</v>
      </c>
      <c r="I104" s="120">
        <f t="shared" ca="1" si="111"/>
        <v>4.2</v>
      </c>
      <c r="J104" s="62"/>
      <c r="K104" s="185">
        <f t="shared" ca="1" si="87"/>
        <v>0</v>
      </c>
      <c r="L104" s="185" t="b">
        <f t="shared" si="88"/>
        <v>1</v>
      </c>
      <c r="M104" s="185" t="s">
        <v>546</v>
      </c>
      <c r="N104" s="185" t="str">
        <f t="shared" ca="1" si="89"/>
        <v>Offererad produktnr. 07Qlosr Göteborg AB</v>
      </c>
      <c r="O104" s="185" cm="1">
        <f t="array" aca="1" ref="O104" ca="1">MIN(IF(($BY$99:$BY$122=M104)*($AM$99:$AM$122=$O$96),$Z$99:$Z$122))</f>
        <v>1700</v>
      </c>
      <c r="P104" s="197"/>
      <c r="Q104" s="185">
        <f t="shared" si="90"/>
        <v>0</v>
      </c>
      <c r="R104" s="185">
        <f t="shared" si="91"/>
        <v>0</v>
      </c>
      <c r="S104" s="185">
        <f t="shared" si="92"/>
        <v>0</v>
      </c>
      <c r="T104" s="185">
        <f t="shared" si="93"/>
        <v>0</v>
      </c>
      <c r="U104" s="185">
        <f t="shared" si="94"/>
        <v>0</v>
      </c>
      <c r="V104" s="185">
        <f t="shared" si="95"/>
        <v>0</v>
      </c>
      <c r="W104" s="185">
        <f t="shared" si="96"/>
        <v>0</v>
      </c>
      <c r="X104" s="185">
        <f t="shared" si="97"/>
        <v>0</v>
      </c>
      <c r="Y104" s="185">
        <f t="shared" si="98"/>
        <v>0</v>
      </c>
      <c r="Z104" s="196">
        <f t="shared" ca="1" si="99"/>
        <v>5254</v>
      </c>
      <c r="AA104" s="185" t="str">
        <f t="shared" si="100"/>
        <v>Offererad produktnr. 08Atea Sverige AB</v>
      </c>
      <c r="AB104" s="185" t="b">
        <f>IF(D100="",TRUE,IF(COUNTIF(Processor!$M$2:$M$3,D100)=0,IF(AN104=D100,TRUE,FALSE),IF(COUNTIF(AN104,INDEX(Processor!$N$2:$N$3,MATCH(Surfplattor!D100,Processor!$M$2:$M$3,0)))&gt;0,TRUE,FALSE)))</f>
        <v>1</v>
      </c>
      <c r="AC104" s="185" t="b">
        <f>IF($D$101="",TRUE,IF(COUNTIF(Processor!$I$2:$I$9,$D$101)&gt;0,AND(AO104&gt;INDEX(Processor!$J$2:$J$9,MATCH($D$101,Processor!$I$2:$I$9,0)),AO104&lt;INDEX(Processor!$K$2:$K$9,MATCH($D$101,Processor!$I$2:$I$9,0))),IF(AO104=$D$101,TRUE,FALSE)))</f>
        <v>1</v>
      </c>
      <c r="AD104" s="185" t="b">
        <f t="shared" si="101"/>
        <v>1</v>
      </c>
      <c r="AE104" s="185" t="b">
        <f t="shared" si="102"/>
        <v>1</v>
      </c>
      <c r="AF104" s="185" t="b">
        <f t="shared" si="103"/>
        <v>1</v>
      </c>
      <c r="AG104" s="185" t="b">
        <f t="shared" si="104"/>
        <v>1</v>
      </c>
      <c r="AH104" s="185" t="b">
        <f>IF($D$106="",TRUE,IF(INDEX(Processor!$C$14:$C$20,MATCH(LEFT(AT104,10)&amp;"",Processor!$A$14:$A$20,0))&gt;=INDEX(Processor!$C$14:$C$20,MATCH(LEFT($D$106,10)&amp;"",Processor!$A$14:$A$20,0)),TRUE,FALSE))</f>
        <v>1</v>
      </c>
      <c r="AI104" s="185" t="b">
        <f t="shared" si="105"/>
        <v>1</v>
      </c>
      <c r="AJ104" s="185"/>
      <c r="AK104" s="185"/>
      <c r="AL104" s="185" t="s">
        <v>193</v>
      </c>
      <c r="AM104" s="185">
        <v>1</v>
      </c>
      <c r="AN104" s="185" t="str">
        <f t="shared" ca="1" si="106"/>
        <v>iPadOS 14</v>
      </c>
      <c r="AO104" s="185">
        <f t="shared" ca="1" si="106"/>
        <v>10.199999999999999</v>
      </c>
      <c r="AP104" s="185" t="str">
        <f t="shared" ca="1" si="106"/>
        <v>2160x1620</v>
      </c>
      <c r="AQ104" s="185">
        <f t="shared" ca="1" si="106"/>
        <v>64</v>
      </c>
      <c r="AR104" s="185">
        <f t="shared" ca="1" si="106"/>
        <v>4.2</v>
      </c>
      <c r="AS104" s="185" t="str">
        <f t="shared" ca="1" si="106"/>
        <v>802.11a/b/g/n/ac</v>
      </c>
      <c r="AT104" s="185">
        <f t="shared" ca="1" si="106"/>
        <v>10</v>
      </c>
      <c r="AU104" s="185" t="str">
        <f t="shared" ca="1" si="106"/>
        <v>EPEAT Gold</v>
      </c>
      <c r="AV104" s="185" t="str">
        <f t="shared" ca="1" si="106"/>
        <v>802.11a/b/g/n/ac</v>
      </c>
      <c r="AW104" s="185">
        <f t="shared" ca="1" si="106"/>
        <v>4.2</v>
      </c>
      <c r="AX104" s="185">
        <f t="shared" ca="1" si="107"/>
        <v>10</v>
      </c>
      <c r="AY104" s="185" t="str">
        <f t="shared" ca="1" si="107"/>
        <v>iPad Wi-Fi 9:e Generationen</v>
      </c>
      <c r="AZ104" s="185">
        <f t="shared" ca="1" si="107"/>
        <v>0</v>
      </c>
      <c r="BA104" s="185" t="str">
        <f t="shared" ca="1" si="107"/>
        <v>iPadOS 14</v>
      </c>
      <c r="BB104" s="185">
        <f t="shared" ca="1" si="107"/>
        <v>5254</v>
      </c>
      <c r="BC104" s="185">
        <f t="shared" ca="1" si="107"/>
        <v>5254</v>
      </c>
      <c r="BD104" s="192" t="str">
        <f t="shared" ca="1" si="107"/>
        <v>ZAGG</v>
      </c>
      <c r="BE104" s="192" t="str">
        <f t="shared" ca="1" si="107"/>
        <v>ZAGG</v>
      </c>
      <c r="BF104" s="192" t="str">
        <f t="shared" ca="1" si="107"/>
        <v>Mophie</v>
      </c>
      <c r="BG104" s="192" t="str">
        <f t="shared" ca="1" si="107"/>
        <v>Tolerate</v>
      </c>
      <c r="BH104" s="192" t="str">
        <f t="shared" ca="1" si="108"/>
        <v>Apple</v>
      </c>
      <c r="BI104" s="192" t="str">
        <f t="shared" ca="1" si="108"/>
        <v>ZAGG Rugged Messenger Case - Skyddsfodral för surfplatta - robust - 10.2" - för Apple 10.2-inch iPad</v>
      </c>
      <c r="BJ104" s="192" t="str">
        <f t="shared" ca="1" si="108"/>
        <v>InvisibleShield Glass Elite+ Apple iPad 10.2" Screen</v>
      </c>
      <c r="BK104" s="192" t="str">
        <f t="shared" ca="1" si="108"/>
        <v>Wall Adapter-USB-C-20W-White-EU/mophie Charge and Sync Cable- USB-C to Lightning Cable 1.8M – White</v>
      </c>
      <c r="BL104" s="192" t="str">
        <f t="shared" ca="1" si="108"/>
        <v>Tolerate KEYBOARD FOLIO - Tangentbord och foliefodral - Bluetooth - svensk - svart - för Apple 10.2-inch iPad</v>
      </c>
      <c r="BM104" s="192" t="str">
        <f t="shared" ca="1" si="108"/>
        <v>Apple Pencil - Penna för surfplatta - för 10.2-inch iPad (7th generation, 8th generation); 10.5-inch iPad Air (3rd generation); 10.5-inch iPad Pro; 12.9-inch iPad Pro (1st generation, 2nd generation); 9.7-inch iPad (6th generation); 9.7-inch iPad Pro; iPad mini 5</v>
      </c>
      <c r="BN104" s="192">
        <f t="shared" ca="1" si="108"/>
        <v>430</v>
      </c>
      <c r="BO104" s="192">
        <f t="shared" ca="1" si="108"/>
        <v>302</v>
      </c>
      <c r="BP104" s="192">
        <f t="shared" ca="1" si="108"/>
        <v>226</v>
      </c>
      <c r="BQ104" s="192">
        <f t="shared" ca="1" si="108"/>
        <v>756</v>
      </c>
      <c r="BR104" s="192">
        <f t="shared" ca="1" si="108"/>
        <v>1284</v>
      </c>
      <c r="BS104" s="192">
        <f t="shared" ca="1" si="108"/>
        <v>672</v>
      </c>
      <c r="BT104" s="192">
        <f t="shared" ca="1" si="108"/>
        <v>85</v>
      </c>
      <c r="BU104" s="192">
        <f t="shared" ca="1" si="108"/>
        <v>100</v>
      </c>
      <c r="BV104" s="192">
        <f t="shared" ca="1" si="108"/>
        <v>0</v>
      </c>
      <c r="BW104" s="192"/>
      <c r="BX104" s="192"/>
      <c r="BY104" s="192" t="str">
        <f t="shared" ca="1" si="109"/>
        <v>Atea Sverige AB</v>
      </c>
      <c r="BZ104" s="192" t="str">
        <f t="shared" ca="1" si="109"/>
        <v>Apple</v>
      </c>
      <c r="CA104" s="199" t="s">
        <v>93</v>
      </c>
      <c r="CB104" s="185"/>
      <c r="CC104" s="185"/>
      <c r="CD104" s="185"/>
      <c r="CE104" s="185">
        <v>10.9</v>
      </c>
      <c r="CF104" s="185" t="s">
        <v>146</v>
      </c>
      <c r="CG104" s="185" t="s">
        <v>91</v>
      </c>
      <c r="CH104" s="185"/>
      <c r="CI104" s="185"/>
      <c r="CJ104" s="185"/>
      <c r="CK104" s="185" t="s">
        <v>146</v>
      </c>
      <c r="CL104" s="185"/>
      <c r="CM104" s="185"/>
      <c r="CN104" s="185"/>
    </row>
    <row r="105" spans="2:94" ht="29.25" customHeight="1" outlineLevel="1" x14ac:dyDescent="0.35">
      <c r="C105" s="61" t="s">
        <v>103</v>
      </c>
      <c r="D105" s="64"/>
      <c r="F105" s="78" t="str">
        <f t="shared" si="110"/>
        <v/>
      </c>
      <c r="G105" s="79" t="str">
        <f t="shared" ca="1" si="111"/>
        <v>802.11a/b/g/n/ac</v>
      </c>
      <c r="H105" s="79" t="str">
        <f t="shared" ca="1" si="111"/>
        <v>802.11a/b/g/n/ac</v>
      </c>
      <c r="I105" s="120" t="str">
        <f t="shared" ca="1" si="111"/>
        <v>802.11a/b/g/n/ac</v>
      </c>
      <c r="J105" s="62"/>
      <c r="Q105" s="185">
        <f t="shared" si="90"/>
        <v>0</v>
      </c>
      <c r="R105" s="185">
        <f t="shared" si="91"/>
        <v>0</v>
      </c>
      <c r="S105" s="185">
        <f t="shared" si="92"/>
        <v>0</v>
      </c>
      <c r="T105" s="185">
        <f t="shared" si="93"/>
        <v>0</v>
      </c>
      <c r="U105" s="185">
        <f t="shared" si="94"/>
        <v>0</v>
      </c>
      <c r="V105" s="185">
        <f t="shared" si="95"/>
        <v>0</v>
      </c>
      <c r="W105" s="185">
        <f t="shared" si="96"/>
        <v>0</v>
      </c>
      <c r="X105" s="185">
        <f t="shared" si="97"/>
        <v>0</v>
      </c>
      <c r="Y105" s="185">
        <f t="shared" si="98"/>
        <v>0</v>
      </c>
      <c r="Z105" s="196">
        <f t="shared" ca="1" si="99"/>
        <v>10177</v>
      </c>
      <c r="AA105" s="185" t="str">
        <f t="shared" si="100"/>
        <v>Offererad produktnr. 09Atea Sverige AB</v>
      </c>
      <c r="AB105" s="185" t="b">
        <f>IF(D100="",TRUE,IF(COUNTIF(Processor!$M$2:$M$3,D100)=0,IF(AN105=D100,TRUE,FALSE),IF(COUNTIF(AN105,INDEX(Processor!$N$2:$N$3,MATCH(Surfplattor!D100,Processor!$M$2:$M$3,0)))&gt;0,TRUE,FALSE)))</f>
        <v>1</v>
      </c>
      <c r="AC105" s="185" t="b">
        <f>IF($D$101="",TRUE,IF(COUNTIF(Processor!$I$2:$I$9,$D$101)&gt;0,AND(AO105&gt;INDEX(Processor!$J$2:$J$9,MATCH($D$101,Processor!$I$2:$I$9,0)),AO105&lt;INDEX(Processor!$K$2:$K$9,MATCH($D$101,Processor!$I$2:$I$9,0))),IF(AO105=$D$101,TRUE,FALSE)))</f>
        <v>1</v>
      </c>
      <c r="AD105" s="185" t="b">
        <f t="shared" si="101"/>
        <v>1</v>
      </c>
      <c r="AE105" s="185" t="b">
        <f t="shared" si="102"/>
        <v>1</v>
      </c>
      <c r="AF105" s="185" t="b">
        <f t="shared" si="103"/>
        <v>1</v>
      </c>
      <c r="AG105" s="185" t="b">
        <f t="shared" si="104"/>
        <v>1</v>
      </c>
      <c r="AH105" s="185" t="b">
        <f>IF($D$106="",TRUE,IF(INDEX(Processor!$C$14:$C$20,MATCH(LEFT(AT105,10)&amp;"",Processor!$A$14:$A$20,0))&gt;=INDEX(Processor!$C$14:$C$20,MATCH(LEFT($D$106,10)&amp;"",Processor!$A$14:$A$20,0)),TRUE,FALSE))</f>
        <v>1</v>
      </c>
      <c r="AI105" s="185" t="b">
        <f t="shared" si="105"/>
        <v>1</v>
      </c>
      <c r="AJ105" s="185"/>
      <c r="AK105" s="185"/>
      <c r="AL105" s="185" t="s">
        <v>194</v>
      </c>
      <c r="AM105" s="185">
        <v>1</v>
      </c>
      <c r="AN105" s="185" t="str">
        <f t="shared" ca="1" si="106"/>
        <v>Android 13</v>
      </c>
      <c r="AO105" s="185">
        <f t="shared" ca="1" si="106"/>
        <v>11</v>
      </c>
      <c r="AP105" s="185" t="str">
        <f t="shared" ca="1" si="106"/>
        <v>2560x1600</v>
      </c>
      <c r="AQ105" s="185">
        <f t="shared" ca="1" si="106"/>
        <v>128</v>
      </c>
      <c r="AR105" s="185">
        <f t="shared" ca="1" si="106"/>
        <v>5.3</v>
      </c>
      <c r="AS105" s="185" t="str">
        <f t="shared" ca="1" si="106"/>
        <v>802.11a/b/g/n/ac/ax</v>
      </c>
      <c r="AT105" s="185">
        <f t="shared" ca="1" si="106"/>
        <v>13</v>
      </c>
      <c r="AU105" s="185" t="str">
        <f t="shared" ca="1" si="106"/>
        <v>Ej miljömärkt</v>
      </c>
      <c r="AV105" s="185" t="str">
        <f t="shared" ca="1" si="106"/>
        <v>802.11a/b/g/n/ac/ax</v>
      </c>
      <c r="AW105" s="185">
        <f t="shared" ca="1" si="106"/>
        <v>5.3</v>
      </c>
      <c r="AX105" s="185">
        <f t="shared" ca="1" si="107"/>
        <v>13</v>
      </c>
      <c r="AY105" s="185" t="str">
        <f t="shared" ca="1" si="107"/>
        <v>Galaxy Tab S9 Wifi (128GB)</v>
      </c>
      <c r="AZ105" s="185">
        <f t="shared" ca="1" si="107"/>
        <v>0</v>
      </c>
      <c r="BA105" s="185" t="str">
        <f t="shared" ca="1" si="107"/>
        <v>Android 13</v>
      </c>
      <c r="BB105" s="185">
        <f t="shared" ca="1" si="107"/>
        <v>10177</v>
      </c>
      <c r="BC105" s="185">
        <f t="shared" ca="1" si="107"/>
        <v>10177</v>
      </c>
      <c r="BD105" s="192" t="str">
        <f t="shared" ca="1" si="107"/>
        <v>Tolerate</v>
      </c>
      <c r="BE105" s="192" t="str">
        <f t="shared" ca="1" si="107"/>
        <v>Tolerate</v>
      </c>
      <c r="BF105" s="192" t="str">
        <f t="shared" ca="1" si="107"/>
        <v>Samsung</v>
      </c>
      <c r="BG105" s="192" t="str">
        <f t="shared" ca="1" si="107"/>
        <v>Tolerate</v>
      </c>
      <c r="BH105" s="192" t="str">
        <f t="shared" ca="1" si="108"/>
        <v>Samsung</v>
      </c>
      <c r="BI105" s="192" t="str">
        <f t="shared" ca="1" si="108"/>
        <v>TOLERATE ARMOUR FOLIO TAB S9 BULK</v>
      </c>
      <c r="BJ105" s="192" t="str">
        <f t="shared" ca="1" si="108"/>
        <v>TOLERATE GLASS SCREEN PROTECTOR SAMSUNG TAB S9 BULK</v>
      </c>
      <c r="BK105" s="192" t="str">
        <f t="shared" ca="1" si="108"/>
        <v>Samsung Travel Adapter/USB-C till USB-A-kabel - 1.5 m</v>
      </c>
      <c r="BL105" s="192" t="str">
        <f t="shared" ca="1" si="108"/>
        <v xml:space="preserve">TOLERATE KEYBOARD FOLIO SAMSUNG TAB S8 </v>
      </c>
      <c r="BM105" s="192" t="str">
        <f t="shared" ca="1" si="108"/>
        <v>Samsung S-Pen</v>
      </c>
      <c r="BN105" s="192">
        <f t="shared" ca="1" si="108"/>
        <v>461</v>
      </c>
      <c r="BO105" s="192">
        <f t="shared" ca="1" si="108"/>
        <v>281</v>
      </c>
      <c r="BP105" s="192">
        <f t="shared" ca="1" si="108"/>
        <v>386</v>
      </c>
      <c r="BQ105" s="192">
        <f t="shared" ca="1" si="108"/>
        <v>756</v>
      </c>
      <c r="BR105" s="192">
        <f t="shared" ca="1" si="108"/>
        <v>504</v>
      </c>
      <c r="BS105" s="192">
        <f t="shared" ca="1" si="108"/>
        <v>1</v>
      </c>
      <c r="BT105" s="192">
        <f t="shared" ca="1" si="108"/>
        <v>85</v>
      </c>
      <c r="BU105" s="192">
        <f t="shared" ca="1" si="108"/>
        <v>100</v>
      </c>
      <c r="BV105" s="192">
        <f t="shared" ca="1" si="108"/>
        <v>0</v>
      </c>
      <c r="BW105" s="192"/>
      <c r="BX105" s="192"/>
      <c r="BY105" s="192" t="str">
        <f t="shared" ca="1" si="109"/>
        <v>Atea Sverige AB</v>
      </c>
      <c r="BZ105" s="192" t="str">
        <f t="shared" ca="1" si="109"/>
        <v>Samsung</v>
      </c>
      <c r="CA105" s="199" t="s">
        <v>147</v>
      </c>
      <c r="CB105" s="185"/>
      <c r="CC105" s="185"/>
      <c r="CD105" s="185"/>
      <c r="CE105" s="185">
        <v>11</v>
      </c>
      <c r="CF105" s="185"/>
      <c r="CG105" s="192"/>
      <c r="CH105" s="185"/>
      <c r="CI105" s="185"/>
      <c r="CJ105" s="185"/>
      <c r="CK105" s="185"/>
      <c r="CL105" s="185"/>
      <c r="CM105" s="185"/>
      <c r="CN105" s="192"/>
    </row>
    <row r="106" spans="2:94" ht="29.25" customHeight="1" outlineLevel="1" x14ac:dyDescent="0.35">
      <c r="C106" s="61" t="s">
        <v>120</v>
      </c>
      <c r="D106" s="64"/>
      <c r="F106" s="80" t="str">
        <f t="shared" si="110"/>
        <v/>
      </c>
      <c r="G106" s="81">
        <f t="shared" ca="1" si="111"/>
        <v>9</v>
      </c>
      <c r="H106" s="81">
        <f t="shared" ca="1" si="111"/>
        <v>9</v>
      </c>
      <c r="I106" s="121">
        <f t="shared" ca="1" si="111"/>
        <v>10</v>
      </c>
      <c r="J106" s="62"/>
      <c r="Q106" s="185">
        <f t="shared" si="90"/>
        <v>0</v>
      </c>
      <c r="R106" s="185">
        <f t="shared" si="91"/>
        <v>0</v>
      </c>
      <c r="S106" s="185">
        <f t="shared" si="92"/>
        <v>0</v>
      </c>
      <c r="T106" s="185">
        <f t="shared" si="93"/>
        <v>0</v>
      </c>
      <c r="U106" s="185">
        <f t="shared" si="94"/>
        <v>0</v>
      </c>
      <c r="V106" s="185">
        <f t="shared" si="95"/>
        <v>0</v>
      </c>
      <c r="W106" s="185">
        <f t="shared" si="96"/>
        <v>0</v>
      </c>
      <c r="X106" s="185">
        <f t="shared" si="97"/>
        <v>0</v>
      </c>
      <c r="Y106" s="185">
        <f t="shared" si="98"/>
        <v>0</v>
      </c>
      <c r="Z106" s="196">
        <f t="shared" ca="1" si="99"/>
        <v>8276</v>
      </c>
      <c r="AA106" s="185" t="str">
        <f t="shared" si="100"/>
        <v>Offererad produktnr. 10Atea Sverige AB</v>
      </c>
      <c r="AB106" s="185" t="b">
        <f>IF(D100="",TRUE,IF(COUNTIF(Processor!$M$2:$M$3,D100)=0,IF(AN106=D100,TRUE,FALSE),IF(COUNTIF(AN106,INDEX(Processor!$N$2:$N$3,MATCH(Surfplattor!D100,Processor!$M$2:$M$3,0)))&gt;0,TRUE,FALSE)))</f>
        <v>1</v>
      </c>
      <c r="AC106" s="185" t="b">
        <f>IF($D$101="",TRUE,IF(COUNTIF(Processor!$I$2:$I$9,$D$101)&gt;0,AND(AO106&gt;INDEX(Processor!$J$2:$J$9,MATCH($D$101,Processor!$I$2:$I$9,0)),AO106&lt;INDEX(Processor!$K$2:$K$9,MATCH($D$101,Processor!$I$2:$I$9,0))),IF(AO106=$D$101,TRUE,FALSE)))</f>
        <v>1</v>
      </c>
      <c r="AD106" s="185" t="b">
        <f t="shared" si="101"/>
        <v>1</v>
      </c>
      <c r="AE106" s="185" t="b">
        <f t="shared" si="102"/>
        <v>1</v>
      </c>
      <c r="AF106" s="185" t="b">
        <f t="shared" si="103"/>
        <v>1</v>
      </c>
      <c r="AG106" s="185" t="b">
        <f t="shared" si="104"/>
        <v>1</v>
      </c>
      <c r="AH106" s="185" t="b">
        <f>IF($D$106="",TRUE,IF(INDEX(Processor!$C$14:$C$20,MATCH(LEFT(AT106,10)&amp;"",Processor!$A$14:$A$20,0))&gt;=INDEX(Processor!$C$14:$C$20,MATCH(LEFT($D$106,10)&amp;"",Processor!$A$14:$A$20,0)),TRUE,FALSE))</f>
        <v>1</v>
      </c>
      <c r="AI106" s="185" t="b">
        <f t="shared" si="105"/>
        <v>1</v>
      </c>
      <c r="AJ106" s="185"/>
      <c r="AK106" s="185"/>
      <c r="AL106" s="185" t="s">
        <v>195</v>
      </c>
      <c r="AM106" s="185">
        <v>1</v>
      </c>
      <c r="AN106" s="185" t="str">
        <f t="shared" ca="1" si="106"/>
        <v>Android 10</v>
      </c>
      <c r="AO106" s="185">
        <f t="shared" ca="1" si="106"/>
        <v>11.5</v>
      </c>
      <c r="AP106" s="185" t="str">
        <f t="shared" ca="1" si="106"/>
        <v>2560x1600</v>
      </c>
      <c r="AQ106" s="185">
        <f t="shared" ca="1" si="106"/>
        <v>128</v>
      </c>
      <c r="AR106" s="185">
        <f t="shared" ca="1" si="106"/>
        <v>5</v>
      </c>
      <c r="AS106" s="185" t="str">
        <f t="shared" ca="1" si="106"/>
        <v>802.11a/b/g/n/ac</v>
      </c>
      <c r="AT106" s="185">
        <f t="shared" ca="1" si="106"/>
        <v>8</v>
      </c>
      <c r="AU106" s="185" t="str">
        <f t="shared" ca="1" si="106"/>
        <v>Ej miljömärkt</v>
      </c>
      <c r="AV106" s="185" t="str">
        <f t="shared" ca="1" si="106"/>
        <v>802.11a/b/g/n/ac</v>
      </c>
      <c r="AW106" s="185">
        <f t="shared" ca="1" si="106"/>
        <v>5</v>
      </c>
      <c r="AX106" s="185">
        <f t="shared" ca="1" si="107"/>
        <v>8</v>
      </c>
      <c r="AY106" s="185" t="str">
        <f t="shared" ca="1" si="107"/>
        <v>Lenovo Tab P11 Pro</v>
      </c>
      <c r="AZ106" s="185">
        <f t="shared" ca="1" si="107"/>
        <v>0</v>
      </c>
      <c r="BA106" s="185" t="str">
        <f t="shared" ca="1" si="107"/>
        <v>Android 10</v>
      </c>
      <c r="BB106" s="185">
        <f t="shared" ca="1" si="107"/>
        <v>8276</v>
      </c>
      <c r="BC106" s="185">
        <f t="shared" ca="1" si="107"/>
        <v>8276</v>
      </c>
      <c r="BD106" s="192" t="str">
        <f t="shared" ca="1" si="107"/>
        <v>Tolerate</v>
      </c>
      <c r="BE106" s="192" t="str">
        <f t="shared" ca="1" si="107"/>
        <v>Zagg</v>
      </c>
      <c r="BF106" s="192" t="str">
        <f t="shared" ca="1" si="107"/>
        <v>Lenovo</v>
      </c>
      <c r="BG106" s="192" t="str">
        <f t="shared" ca="1" si="107"/>
        <v>Lenovo</v>
      </c>
      <c r="BH106" s="192" t="str">
        <f t="shared" ca="1" si="108"/>
        <v>Lenovo</v>
      </c>
      <c r="BI106" s="192" t="str">
        <f t="shared" ca="1" si="108"/>
        <v>TOLERATE ARMOR FOLIO LENOVO TAB 11 PRO</v>
      </c>
      <c r="BJ106" s="192" t="str">
        <f t="shared" ca="1" si="108"/>
        <v>InvisibleShield Glass Elite+</v>
      </c>
      <c r="BK106" s="192" t="str">
        <f t="shared" ca="1" si="108"/>
        <v xml:space="preserve">Lenovo Smart Charge station </v>
      </c>
      <c r="BL106" s="192" t="str">
        <f t="shared" ca="1" si="108"/>
        <v>Lenovo P11 Pro Keyboard</v>
      </c>
      <c r="BM106" s="192" t="str">
        <f t="shared" ca="1" si="108"/>
        <v>Lenovo Precision Pen 2</v>
      </c>
      <c r="BN106" s="192">
        <f t="shared" ca="1" si="108"/>
        <v>502</v>
      </c>
      <c r="BO106" s="192">
        <f t="shared" ca="1" si="108"/>
        <v>293</v>
      </c>
      <c r="BP106" s="192">
        <f t="shared" ca="1" si="108"/>
        <v>324</v>
      </c>
      <c r="BQ106" s="192">
        <f t="shared" ca="1" si="108"/>
        <v>1138</v>
      </c>
      <c r="BR106" s="192">
        <f t="shared" ca="1" si="108"/>
        <v>718</v>
      </c>
      <c r="BS106" s="192">
        <f t="shared" ca="1" si="108"/>
        <v>1</v>
      </c>
      <c r="BT106" s="192">
        <f t="shared" ca="1" si="108"/>
        <v>85</v>
      </c>
      <c r="BU106" s="192">
        <f t="shared" ca="1" si="108"/>
        <v>100</v>
      </c>
      <c r="BV106" s="192">
        <f t="shared" ca="1" si="108"/>
        <v>0</v>
      </c>
      <c r="BW106" s="192"/>
      <c r="BX106" s="192"/>
      <c r="BY106" s="192" t="str">
        <f t="shared" ca="1" si="109"/>
        <v>Atea Sverige AB</v>
      </c>
      <c r="BZ106" s="192" t="str">
        <f t="shared" ca="1" si="109"/>
        <v>Lenovo</v>
      </c>
      <c r="CA106" s="199"/>
      <c r="CB106" s="185"/>
      <c r="CC106" s="185"/>
      <c r="CD106" s="185"/>
      <c r="CE106" s="185">
        <v>11.5</v>
      </c>
      <c r="CF106" s="185"/>
      <c r="CG106" s="185"/>
      <c r="CH106" s="185"/>
      <c r="CI106" s="185"/>
      <c r="CJ106" s="185"/>
      <c r="CK106" s="192"/>
      <c r="CL106" s="185"/>
      <c r="CM106" s="185"/>
      <c r="CN106" s="185"/>
    </row>
    <row r="107" spans="2:94" ht="29.25" customHeight="1" outlineLevel="1" x14ac:dyDescent="0.35">
      <c r="C107" s="61" t="s">
        <v>39</v>
      </c>
      <c r="D107" s="64"/>
      <c r="F107" s="78" t="str">
        <f t="shared" si="110"/>
        <v/>
      </c>
      <c r="G107" s="79" t="str">
        <f t="shared" ca="1" si="111"/>
        <v>Ej miljömärkt</v>
      </c>
      <c r="H107" s="79" t="str">
        <f t="shared" ca="1" si="111"/>
        <v>Ej miljömärkt</v>
      </c>
      <c r="I107" s="120" t="str">
        <f t="shared" ca="1" si="111"/>
        <v>Ej miljömärkt</v>
      </c>
      <c r="J107" s="62"/>
      <c r="Q107" s="185">
        <f t="shared" si="90"/>
        <v>0</v>
      </c>
      <c r="R107" s="185">
        <f t="shared" si="91"/>
        <v>0</v>
      </c>
      <c r="S107" s="185">
        <f t="shared" si="92"/>
        <v>0</v>
      </c>
      <c r="T107" s="185">
        <f t="shared" si="93"/>
        <v>0</v>
      </c>
      <c r="U107" s="185">
        <f t="shared" si="94"/>
        <v>0</v>
      </c>
      <c r="V107" s="185">
        <f t="shared" si="95"/>
        <v>0</v>
      </c>
      <c r="W107" s="185">
        <f t="shared" si="96"/>
        <v>0</v>
      </c>
      <c r="X107" s="185">
        <f t="shared" si="97"/>
        <v>0</v>
      </c>
      <c r="Y107" s="185">
        <f t="shared" si="98"/>
        <v>0</v>
      </c>
      <c r="Z107" s="196">
        <f t="shared" ca="1" si="99"/>
        <v>3261</v>
      </c>
      <c r="AA107" s="185" t="str">
        <f t="shared" si="100"/>
        <v>Offererad produktnr. 07Dustin Sverige AB</v>
      </c>
      <c r="AB107" s="185" t="b">
        <f>IF(D100="",TRUE,IF(COUNTIF(Processor!$M$2:$M$3,D100)=0,IF(AN107=D100,TRUE,FALSE),IF(COUNTIF(AN107,INDEX(Processor!$N$2:$N$3,MATCH(Surfplattor!D100,Processor!$M$2:$M$3,0)))&gt;0,TRUE,FALSE)))</f>
        <v>1</v>
      </c>
      <c r="AC107" s="185" t="b">
        <f>IF($D$101="",TRUE,IF(COUNTIF(Processor!$I$2:$I$9,$D$101)&gt;0,AND(AO107&gt;INDEX(Processor!$J$2:$J$9,MATCH($D$101,Processor!$I$2:$I$9,0)),AO107&lt;INDEX(Processor!$K$2:$K$9,MATCH($D$101,Processor!$I$2:$I$9,0))),IF(AO107=$D$101,TRUE,FALSE)))</f>
        <v>1</v>
      </c>
      <c r="AD107" s="185" t="b">
        <f t="shared" si="101"/>
        <v>1</v>
      </c>
      <c r="AE107" s="185" t="b">
        <f t="shared" si="102"/>
        <v>1</v>
      </c>
      <c r="AF107" s="185" t="b">
        <f t="shared" si="103"/>
        <v>1</v>
      </c>
      <c r="AG107" s="185" t="b">
        <f t="shared" si="104"/>
        <v>1</v>
      </c>
      <c r="AH107" s="185" t="b">
        <f>IF($D$106="",TRUE,IF(INDEX(Processor!$C$14:$C$20,MATCH(LEFT(AT107,10)&amp;"",Processor!$A$14:$A$20,0))&gt;=INDEX(Processor!$C$14:$C$20,MATCH(LEFT($D$106,10)&amp;"",Processor!$A$14:$A$20,0)),TRUE,FALSE))</f>
        <v>1</v>
      </c>
      <c r="AI107" s="185" t="b">
        <f t="shared" si="105"/>
        <v>1</v>
      </c>
      <c r="AJ107" s="185"/>
      <c r="AK107" s="185"/>
      <c r="AL107" s="185" t="s">
        <v>180</v>
      </c>
      <c r="AM107" s="185">
        <v>1</v>
      </c>
      <c r="AN107" s="185" t="str">
        <f t="shared" ca="1" si="106"/>
        <v>Android 11</v>
      </c>
      <c r="AO107" s="185">
        <f t="shared" ca="1" si="106"/>
        <v>10.4</v>
      </c>
      <c r="AP107" s="185" t="str">
        <f t="shared" ca="1" si="106"/>
        <v>2000x1200</v>
      </c>
      <c r="AQ107" s="185">
        <f t="shared" ca="1" si="106"/>
        <v>64</v>
      </c>
      <c r="AR107" s="185">
        <f t="shared" ca="1" si="106"/>
        <v>5</v>
      </c>
      <c r="AS107" s="185" t="str">
        <f t="shared" ca="1" si="106"/>
        <v>802.11a/b/g/n/ac</v>
      </c>
      <c r="AT107" s="185">
        <f t="shared" ca="1" si="106"/>
        <v>12</v>
      </c>
      <c r="AU107" s="185" t="str">
        <f t="shared" ca="1" si="106"/>
        <v>EPEAT Bronze (Canada)</v>
      </c>
      <c r="AV107" s="185" t="str">
        <f t="shared" ca="1" si="106"/>
        <v>802.11a/b/g/n/ac</v>
      </c>
      <c r="AW107" s="185">
        <f t="shared" ca="1" si="106"/>
        <v>5</v>
      </c>
      <c r="AX107" s="185">
        <f t="shared" ca="1" si="107"/>
        <v>12</v>
      </c>
      <c r="AY107" s="185" t="str">
        <f t="shared" ca="1" si="107"/>
        <v>Galaxy Tab S6 Lite WiFi (64GB)</v>
      </c>
      <c r="AZ107" s="185">
        <f t="shared" ca="1" si="107"/>
        <v>0</v>
      </c>
      <c r="BA107" s="185" t="str">
        <f t="shared" ca="1" si="107"/>
        <v>Android 11</v>
      </c>
      <c r="BB107" s="185">
        <f t="shared" ca="1" si="107"/>
        <v>3261</v>
      </c>
      <c r="BC107" s="185">
        <f t="shared" ca="1" si="107"/>
        <v>3261</v>
      </c>
      <c r="BD107" s="192" t="str">
        <f t="shared" ca="1" si="107"/>
        <v>Samsung</v>
      </c>
      <c r="BE107" s="192" t="str">
        <f t="shared" ca="1" si="107"/>
        <v>Hama</v>
      </c>
      <c r="BF107" s="192" t="str">
        <f t="shared" ca="1" si="107"/>
        <v>Samsung</v>
      </c>
      <c r="BG107" s="192" t="str">
        <f t="shared" ca="1" si="107"/>
        <v>Voxicon</v>
      </c>
      <c r="BH107" s="192" t="str">
        <f t="shared" ca="1" si="108"/>
        <v>Samsung</v>
      </c>
      <c r="BI107" s="192" t="str">
        <f t="shared" ca="1" si="108"/>
        <v>GH96-13408A</v>
      </c>
      <c r="BJ107" s="192" t="str">
        <f t="shared" ca="1" si="108"/>
        <v>KAP12483</v>
      </c>
      <c r="BK107" s="192" t="str">
        <f t="shared" ca="1" si="108"/>
        <v>EP-T1510NBEGEU / EP-TA20EWECGWW</v>
      </c>
      <c r="BL107" s="192" t="str">
        <f t="shared" ca="1" si="108"/>
        <v>DK-199B-G</v>
      </c>
      <c r="BM107" s="192" t="str">
        <f t="shared" ca="1" si="108"/>
        <v>EJ-PP610BJEGEU / EJ-PP610BLEGEU</v>
      </c>
      <c r="BN107" s="192">
        <f t="shared" ca="1" si="108"/>
        <v>518</v>
      </c>
      <c r="BO107" s="192">
        <f t="shared" ca="1" si="108"/>
        <v>219</v>
      </c>
      <c r="BP107" s="192">
        <f t="shared" ca="1" si="108"/>
        <v>111</v>
      </c>
      <c r="BQ107" s="192">
        <f t="shared" ca="1" si="108"/>
        <v>936</v>
      </c>
      <c r="BR107" s="192">
        <f t="shared" ca="1" si="108"/>
        <v>305</v>
      </c>
      <c r="BS107" s="192">
        <f t="shared" ca="1" si="108"/>
        <v>532</v>
      </c>
      <c r="BT107" s="192">
        <f t="shared" ca="1" si="108"/>
        <v>20</v>
      </c>
      <c r="BU107" s="192">
        <f t="shared" ca="1" si="108"/>
        <v>20</v>
      </c>
      <c r="BV107" s="192">
        <f t="shared" ca="1" si="108"/>
        <v>0</v>
      </c>
      <c r="BW107" s="192"/>
      <c r="BX107" s="192"/>
      <c r="BY107" s="192" t="str">
        <f t="shared" ca="1" si="109"/>
        <v>Dustin Sverige AB</v>
      </c>
      <c r="BZ107" s="192" t="str">
        <f t="shared" ca="1" si="109"/>
        <v>Samsung</v>
      </c>
      <c r="CA107" s="199"/>
      <c r="CB107" s="185"/>
      <c r="CC107" s="185"/>
      <c r="CD107" s="185"/>
      <c r="CE107" s="186">
        <v>12.4</v>
      </c>
      <c r="CF107" s="185"/>
      <c r="CG107" s="185"/>
      <c r="CH107" s="185"/>
      <c r="CI107" s="185"/>
      <c r="CJ107" s="185"/>
      <c r="CK107" s="185"/>
      <c r="CL107" s="185"/>
      <c r="CM107" s="185"/>
      <c r="CN107" s="185"/>
    </row>
    <row r="108" spans="2:94" ht="22.5" customHeight="1" outlineLevel="1" x14ac:dyDescent="0.35">
      <c r="C108" s="66"/>
      <c r="D108" s="67"/>
      <c r="G108" s="62"/>
      <c r="H108" s="62"/>
      <c r="I108" s="62"/>
      <c r="J108" s="62"/>
      <c r="Q108" s="185">
        <f t="shared" si="90"/>
        <v>0</v>
      </c>
      <c r="R108" s="185">
        <f t="shared" si="91"/>
        <v>0</v>
      </c>
      <c r="S108" s="185">
        <f t="shared" si="92"/>
        <v>0</v>
      </c>
      <c r="T108" s="185">
        <f t="shared" si="93"/>
        <v>0</v>
      </c>
      <c r="U108" s="185">
        <f t="shared" si="94"/>
        <v>0</v>
      </c>
      <c r="V108" s="185">
        <f t="shared" si="95"/>
        <v>0</v>
      </c>
      <c r="W108" s="185">
        <f t="shared" si="96"/>
        <v>0</v>
      </c>
      <c r="X108" s="185">
        <f t="shared" si="97"/>
        <v>0</v>
      </c>
      <c r="Y108" s="185">
        <f t="shared" si="98"/>
        <v>0</v>
      </c>
      <c r="Z108" s="196">
        <f t="shared" ca="1" si="99"/>
        <v>3751</v>
      </c>
      <c r="AA108" s="185" t="str">
        <f t="shared" si="100"/>
        <v>Offererad produktnr. 08Dustin Sverige AB</v>
      </c>
      <c r="AB108" s="185" t="b">
        <f>IF(D100="",TRUE,IF(COUNTIF(Processor!$M$2:$M$3,D100)=0,IF(AN108=D100,TRUE,FALSE),IF(COUNTIF(AN108,INDEX(Processor!$N$2:$N$3,MATCH(Surfplattor!D100,Processor!$M$2:$M$3,0)))&gt;0,TRUE,FALSE)))</f>
        <v>1</v>
      </c>
      <c r="AC108" s="185" t="b">
        <f>IF($D$101="",TRUE,IF(COUNTIF(Processor!$I$2:$I$9,$D$101)&gt;0,AND(AO108&gt;INDEX(Processor!$J$2:$J$9,MATCH($D$101,Processor!$I$2:$I$9,0)),AO108&lt;INDEX(Processor!$K$2:$K$9,MATCH($D$101,Processor!$I$2:$I$9,0))),IF(AO108=$D$101,TRUE,FALSE)))</f>
        <v>1</v>
      </c>
      <c r="AD108" s="185" t="b">
        <f t="shared" si="101"/>
        <v>1</v>
      </c>
      <c r="AE108" s="185" t="b">
        <f t="shared" si="102"/>
        <v>1</v>
      </c>
      <c r="AF108" s="185" t="b">
        <f t="shared" si="103"/>
        <v>1</v>
      </c>
      <c r="AG108" s="185" t="b">
        <f t="shared" si="104"/>
        <v>1</v>
      </c>
      <c r="AH108" s="185" t="b">
        <f>IF($D$106="",TRUE,IF(INDEX(Processor!$C$14:$C$20,MATCH(LEFT(AT108,10)&amp;"",Processor!$A$14:$A$20,0))&gt;=INDEX(Processor!$C$14:$C$20,MATCH(LEFT($D$106,10)&amp;"",Processor!$A$14:$A$20,0)),TRUE,FALSE))</f>
        <v>1</v>
      </c>
      <c r="AI108" s="185" t="b">
        <f t="shared" si="105"/>
        <v>1</v>
      </c>
      <c r="AJ108" s="185"/>
      <c r="AK108" s="185"/>
      <c r="AL108" s="185" t="s">
        <v>181</v>
      </c>
      <c r="AM108" s="185">
        <v>1</v>
      </c>
      <c r="AN108" s="185" t="str">
        <f t="shared" ca="1" si="106"/>
        <v>iPadOS 14</v>
      </c>
      <c r="AO108" s="185">
        <f t="shared" ca="1" si="106"/>
        <v>10.199999999999999</v>
      </c>
      <c r="AP108" s="185" t="str">
        <f t="shared" ca="1" si="106"/>
        <v>2160x1620</v>
      </c>
      <c r="AQ108" s="185">
        <f t="shared" ca="1" si="106"/>
        <v>64</v>
      </c>
      <c r="AR108" s="185">
        <f t="shared" ca="1" si="106"/>
        <v>4.2</v>
      </c>
      <c r="AS108" s="185" t="str">
        <f t="shared" ca="1" si="106"/>
        <v>802.11a/b/g/n/ac</v>
      </c>
      <c r="AT108" s="185">
        <f t="shared" ca="1" si="106"/>
        <v>10</v>
      </c>
      <c r="AU108" s="185" t="str">
        <f t="shared" ca="1" si="106"/>
        <v>EPEAT Gold</v>
      </c>
      <c r="AV108" s="185" t="str">
        <f t="shared" ca="1" si="106"/>
        <v>802.11a/b/g/n/ac</v>
      </c>
      <c r="AW108" s="185">
        <f t="shared" ca="1" si="106"/>
        <v>4.2</v>
      </c>
      <c r="AX108" s="185">
        <f t="shared" ca="1" si="107"/>
        <v>10</v>
      </c>
      <c r="AY108" s="185" t="str">
        <f t="shared" ca="1" si="107"/>
        <v>iPad 9th gen</v>
      </c>
      <c r="AZ108" s="185">
        <f t="shared" ca="1" si="107"/>
        <v>0</v>
      </c>
      <c r="BA108" s="185" t="str">
        <f t="shared" ca="1" si="107"/>
        <v>iPadOS 14</v>
      </c>
      <c r="BB108" s="185">
        <f t="shared" ca="1" si="107"/>
        <v>3751</v>
      </c>
      <c r="BC108" s="185">
        <f t="shared" ca="1" si="107"/>
        <v>3751</v>
      </c>
      <c r="BD108" s="192" t="str">
        <f t="shared" ca="1" si="107"/>
        <v>Cirafon</v>
      </c>
      <c r="BE108" s="192" t="str">
        <f t="shared" ca="1" si="107"/>
        <v>Cirafon</v>
      </c>
      <c r="BF108" s="192" t="str">
        <f t="shared" ca="1" si="107"/>
        <v>Cirafon</v>
      </c>
      <c r="BG108" s="192" t="str">
        <f t="shared" ca="1" si="107"/>
        <v>Voxicon</v>
      </c>
      <c r="BH108" s="192" t="str">
        <f t="shared" ca="1" si="108"/>
        <v>Zagg</v>
      </c>
      <c r="BI108" s="192" t="str">
        <f t="shared" ca="1" si="108"/>
        <v>APD9-HBSFO-BLCK</v>
      </c>
      <c r="BJ108" s="192" t="str">
        <f t="shared" ca="1" si="108"/>
        <v>CG-TG-APL-IDP102</v>
      </c>
      <c r="BK108" s="192" t="str">
        <f t="shared" ca="1" si="108"/>
        <v>PD20E-1TGA-W/DMA-038#KIT</v>
      </c>
      <c r="BL108" s="192" t="str">
        <f t="shared" ca="1" si="108"/>
        <v>DK-400B-WHT</v>
      </c>
      <c r="BM108" s="192">
        <f t="shared" ca="1" si="108"/>
        <v>109907068</v>
      </c>
      <c r="BN108" s="192">
        <f t="shared" ca="1" si="108"/>
        <v>347</v>
      </c>
      <c r="BO108" s="192">
        <f t="shared" ca="1" si="108"/>
        <v>234</v>
      </c>
      <c r="BP108" s="192">
        <f t="shared" ca="1" si="108"/>
        <v>309</v>
      </c>
      <c r="BQ108" s="192">
        <f t="shared" ca="1" si="108"/>
        <v>407</v>
      </c>
      <c r="BR108" s="192">
        <f t="shared" ca="1" si="108"/>
        <v>373</v>
      </c>
      <c r="BS108" s="192">
        <f t="shared" ca="1" si="108"/>
        <v>532</v>
      </c>
      <c r="BT108" s="192">
        <f t="shared" ca="1" si="108"/>
        <v>20</v>
      </c>
      <c r="BU108" s="192">
        <f t="shared" ca="1" si="108"/>
        <v>20</v>
      </c>
      <c r="BV108" s="192">
        <f t="shared" ca="1" si="108"/>
        <v>0</v>
      </c>
      <c r="BW108" s="192"/>
      <c r="BX108" s="192"/>
      <c r="BY108" s="192" t="str">
        <f t="shared" ca="1" si="109"/>
        <v>Dustin Sverige AB</v>
      </c>
      <c r="BZ108" s="192" t="str">
        <f t="shared" ca="1" si="109"/>
        <v>Apple</v>
      </c>
      <c r="CA108" s="199"/>
      <c r="CB108" s="185"/>
      <c r="CC108" s="185"/>
      <c r="CD108" s="185"/>
      <c r="CE108" s="185"/>
      <c r="CF108" s="185"/>
      <c r="CG108" s="185"/>
      <c r="CH108" s="185"/>
      <c r="CI108" s="185"/>
      <c r="CJ108" s="185"/>
      <c r="CK108" s="185"/>
      <c r="CL108" s="185"/>
      <c r="CM108" s="185"/>
      <c r="CN108" s="185"/>
    </row>
    <row r="109" spans="2:94" ht="22.5" customHeight="1" outlineLevel="1" x14ac:dyDescent="0.35">
      <c r="C109" s="212" t="s">
        <v>366</v>
      </c>
      <c r="D109" s="213"/>
      <c r="E109" s="213"/>
      <c r="F109" s="213"/>
      <c r="G109" s="213"/>
      <c r="H109" s="213"/>
      <c r="I109" s="214"/>
      <c r="J109" s="94"/>
      <c r="Q109" s="185">
        <f t="shared" si="90"/>
        <v>0</v>
      </c>
      <c r="R109" s="185">
        <f t="shared" si="91"/>
        <v>0</v>
      </c>
      <c r="S109" s="185">
        <f t="shared" si="92"/>
        <v>0</v>
      </c>
      <c r="T109" s="185">
        <f t="shared" si="93"/>
        <v>0</v>
      </c>
      <c r="U109" s="185">
        <f t="shared" si="94"/>
        <v>0</v>
      </c>
      <c r="V109" s="185">
        <f t="shared" si="95"/>
        <v>0</v>
      </c>
      <c r="W109" s="185">
        <f t="shared" si="96"/>
        <v>0</v>
      </c>
      <c r="X109" s="185">
        <f t="shared" si="97"/>
        <v>0</v>
      </c>
      <c r="Y109" s="185">
        <f t="shared" si="98"/>
        <v>0</v>
      </c>
      <c r="Z109" s="196">
        <f t="shared" ca="1" si="99"/>
        <v>5710</v>
      </c>
      <c r="AA109" s="185" t="str">
        <f t="shared" si="100"/>
        <v>Offererad produktnr. 09Dustin Sverige AB</v>
      </c>
      <c r="AB109" s="185" t="b">
        <f>IF(D100="",TRUE,IF(COUNTIF(Processor!$M$2:$M$3,D100)=0,IF(AN109=D100,TRUE,FALSE),IF(COUNTIF(AN109,INDEX(Processor!$N$2:$N$3,MATCH(Surfplattor!D100,Processor!$M$2:$M$3,0)))&gt;0,TRUE,FALSE)))</f>
        <v>1</v>
      </c>
      <c r="AC109" s="185" t="b">
        <f>IF($D$101="",TRUE,IF(COUNTIF(Processor!$I$2:$I$9,$D$101)&gt;0,AND(AO109&gt;INDEX(Processor!$J$2:$J$9,MATCH($D$101,Processor!$I$2:$I$9,0)),AO109&lt;INDEX(Processor!$K$2:$K$9,MATCH($D$101,Processor!$I$2:$I$9,0))),IF(AO109=$D$101,TRUE,FALSE)))</f>
        <v>1</v>
      </c>
      <c r="AD109" s="185" t="b">
        <f t="shared" si="101"/>
        <v>1</v>
      </c>
      <c r="AE109" s="185" t="b">
        <f t="shared" si="102"/>
        <v>1</v>
      </c>
      <c r="AF109" s="185" t="b">
        <f t="shared" si="103"/>
        <v>1</v>
      </c>
      <c r="AG109" s="185" t="b">
        <f t="shared" si="104"/>
        <v>1</v>
      </c>
      <c r="AH109" s="185" t="b">
        <f>IF($D$106="",TRUE,IF(INDEX(Processor!$C$14:$C$20,MATCH(LEFT(AT109,10)&amp;"",Processor!$A$14:$A$20,0))&gt;=INDEX(Processor!$C$14:$C$20,MATCH(LEFT($D$106,10)&amp;"",Processor!$A$14:$A$20,0)),TRUE,FALSE))</f>
        <v>1</v>
      </c>
      <c r="AI109" s="185" t="b">
        <f t="shared" si="105"/>
        <v>1</v>
      </c>
      <c r="AJ109" s="185"/>
      <c r="AK109" s="185"/>
      <c r="AL109" s="185" t="s">
        <v>182</v>
      </c>
      <c r="AM109" s="185">
        <v>1</v>
      </c>
      <c r="AN109" s="185" t="str">
        <f t="shared" ref="AN109:AW118" ca="1" si="112">IFERROR(INDEX(INDIRECT(AN$94&amp;"!$A$10:CC100000"),MATCH($AL109,INDIRECT(AN$94&amp;"!BH$10:BH100000"),0),MATCH(AN$96,INDIRECT(AN$94&amp;"!a10:CC10"),0)),"False")</f>
        <v>Android 13</v>
      </c>
      <c r="AO109" s="185">
        <f t="shared" ca="1" si="112"/>
        <v>11</v>
      </c>
      <c r="AP109" s="185" t="str">
        <f t="shared" ca="1" si="112"/>
        <v>2560x1600</v>
      </c>
      <c r="AQ109" s="185">
        <f t="shared" ca="1" si="112"/>
        <v>128</v>
      </c>
      <c r="AR109" s="185">
        <f t="shared" ca="1" si="112"/>
        <v>5.3</v>
      </c>
      <c r="AS109" s="185" t="str">
        <f t="shared" ca="1" si="112"/>
        <v>802.11a/b/g/n/ac/ax</v>
      </c>
      <c r="AT109" s="185">
        <f t="shared" ca="1" si="112"/>
        <v>13</v>
      </c>
      <c r="AU109" s="185" t="str">
        <f t="shared" ca="1" si="112"/>
        <v>EPEAT Bronze (Canada)</v>
      </c>
      <c r="AV109" s="185" t="str">
        <f t="shared" ca="1" si="112"/>
        <v>802.11a/b/g/n/ac/ax</v>
      </c>
      <c r="AW109" s="185">
        <f t="shared" ca="1" si="112"/>
        <v>5.3</v>
      </c>
      <c r="AX109" s="185">
        <f t="shared" ref="AX109:BG118" ca="1" si="113">IFERROR(INDEX(INDIRECT(AX$94&amp;"!$A$10:CC100000"),MATCH($AL109,INDIRECT(AX$94&amp;"!BH$10:BH100000"),0),MATCH(AX$96,INDIRECT(AX$94&amp;"!a10:CC10"),0)),"False")</f>
        <v>13</v>
      </c>
      <c r="AY109" s="185" t="str">
        <f t="shared" ca="1" si="113"/>
        <v>Galaxy Tab S9</v>
      </c>
      <c r="AZ109" s="185">
        <f t="shared" ca="1" si="113"/>
        <v>0</v>
      </c>
      <c r="BA109" s="185" t="str">
        <f t="shared" ca="1" si="113"/>
        <v>Android 13</v>
      </c>
      <c r="BB109" s="185">
        <f t="shared" ca="1" si="113"/>
        <v>5710</v>
      </c>
      <c r="BC109" s="185">
        <f t="shared" ca="1" si="113"/>
        <v>5710</v>
      </c>
      <c r="BD109" s="192" t="str">
        <f t="shared" ca="1" si="113"/>
        <v>UAG METROPOLIS SE</v>
      </c>
      <c r="BE109" s="192" t="str">
        <f t="shared" ca="1" si="113"/>
        <v>Panzerglass</v>
      </c>
      <c r="BF109" s="192" t="str">
        <f t="shared" ca="1" si="113"/>
        <v xml:space="preserve">Samsung </v>
      </c>
      <c r="BG109" s="192" t="str">
        <f t="shared" ca="1" si="113"/>
        <v>Voxicon</v>
      </c>
      <c r="BH109" s="192" t="str">
        <f t="shared" ref="BH109:BV118" ca="1" si="114">IFERROR(INDEX(INDIRECT(BH$94&amp;"!$A$10:CC100000"),MATCH($AL109,INDIRECT(BH$94&amp;"!BH$10:BH100000"),0),MATCH(BH$96,INDIRECT(BH$94&amp;"!a10:CC10"),0)),"False")</f>
        <v>INGÅR</v>
      </c>
      <c r="BI109" s="192">
        <f t="shared" ca="1" si="114"/>
        <v>224339114040</v>
      </c>
      <c r="BJ109" s="192">
        <f t="shared" ca="1" si="114"/>
        <v>7332</v>
      </c>
      <c r="BK109" s="192" t="str">
        <f t="shared" ca="1" si="114"/>
        <v>EP-T1510NBEGEU / EP-TA20EWECGWW</v>
      </c>
      <c r="BL109" s="192" t="str">
        <f t="shared" ca="1" si="114"/>
        <v>DK-199B-G</v>
      </c>
      <c r="BM109" s="192">
        <f t="shared" ca="1" si="114"/>
        <v>0</v>
      </c>
      <c r="BN109" s="192">
        <f t="shared" ca="1" si="114"/>
        <v>419</v>
      </c>
      <c r="BO109" s="192">
        <f t="shared" ca="1" si="114"/>
        <v>269</v>
      </c>
      <c r="BP109" s="192">
        <f t="shared" ca="1" si="114"/>
        <v>111</v>
      </c>
      <c r="BQ109" s="192">
        <f t="shared" ca="1" si="114"/>
        <v>866</v>
      </c>
      <c r="BR109" s="192">
        <f t="shared" ca="1" si="114"/>
        <v>0</v>
      </c>
      <c r="BS109" s="192">
        <f t="shared" ca="1" si="114"/>
        <v>532</v>
      </c>
      <c r="BT109" s="192">
        <f t="shared" ca="1" si="114"/>
        <v>20</v>
      </c>
      <c r="BU109" s="192">
        <f t="shared" ca="1" si="114"/>
        <v>20</v>
      </c>
      <c r="BV109" s="192">
        <f t="shared" ca="1" si="114"/>
        <v>0</v>
      </c>
      <c r="BW109" s="192"/>
      <c r="BX109" s="192"/>
      <c r="BY109" s="192" t="str">
        <f t="shared" ca="1" si="109"/>
        <v>Dustin Sverige AB</v>
      </c>
      <c r="BZ109" s="192" t="str">
        <f t="shared" ca="1" si="109"/>
        <v>Samsung</v>
      </c>
      <c r="CE109" s="101"/>
    </row>
    <row r="110" spans="2:94" ht="30" customHeight="1" outlineLevel="1" x14ac:dyDescent="0.35">
      <c r="B110" s="69" t="s">
        <v>53</v>
      </c>
      <c r="C110" s="115" t="s">
        <v>372</v>
      </c>
      <c r="D110" s="70"/>
      <c r="F110" s="161" t="str">
        <f t="shared" ref="F110:F124" si="115">IF(F$97="Inget antal angivet","",IFERROR(INDEX($AN$98:$BZ$124,MATCH(F$94,$AL$98:$AL$124,0),MATCH($B110,$AN$98:$BZ$98,0)),""))</f>
        <v/>
      </c>
      <c r="G110" s="162">
        <f t="shared" ref="G110:I124" ca="1" si="116">IFERROR(INDEX($AN$98:$BZ$124,MATCH(G$94,$AL$98:$AL$124,0),MATCH($B110,$AN$98:$BZ$98,0)),"")</f>
        <v>325</v>
      </c>
      <c r="H110" s="162">
        <f t="shared" ca="1" si="116"/>
        <v>251</v>
      </c>
      <c r="I110" s="162">
        <f t="shared" ca="1" si="116"/>
        <v>460</v>
      </c>
      <c r="J110" s="62"/>
      <c r="Q110" s="185">
        <f t="shared" si="90"/>
        <v>0</v>
      </c>
      <c r="R110" s="185">
        <f t="shared" si="91"/>
        <v>0</v>
      </c>
      <c r="S110" s="185">
        <f t="shared" si="92"/>
        <v>0</v>
      </c>
      <c r="T110" s="185">
        <f t="shared" si="93"/>
        <v>0</v>
      </c>
      <c r="U110" s="185">
        <f t="shared" si="94"/>
        <v>0</v>
      </c>
      <c r="V110" s="185">
        <f t="shared" si="95"/>
        <v>0</v>
      </c>
      <c r="W110" s="185">
        <f t="shared" si="96"/>
        <v>0</v>
      </c>
      <c r="X110" s="185">
        <f t="shared" si="97"/>
        <v>0</v>
      </c>
      <c r="Y110" s="185">
        <f t="shared" si="98"/>
        <v>0</v>
      </c>
      <c r="Z110" s="196">
        <f t="shared" ca="1" si="99"/>
        <v>10190</v>
      </c>
      <c r="AA110" s="185" t="str">
        <f t="shared" si="100"/>
        <v>Offererad produktnr. 10Dustin Sverige AB</v>
      </c>
      <c r="AB110" s="185" t="b">
        <f>IF(D100="",TRUE,IF(COUNTIF(Processor!$M$2:$M$3,D100)=0,IF(AN110=D100,TRUE,FALSE),IF(COUNTIF(AN110,INDEX(Processor!$N$2:$N$3,MATCH(Surfplattor!D100,Processor!$M$2:$M$3,0)))&gt;0,TRUE,FALSE)))</f>
        <v>1</v>
      </c>
      <c r="AC110" s="185" t="b">
        <f>IF($D$101="",TRUE,IF(COUNTIF(Processor!$I$2:$I$9,$D$101)&gt;0,AND(AO110&gt;INDEX(Processor!$J$2:$J$9,MATCH($D$101,Processor!$I$2:$I$9,0)),AO110&lt;INDEX(Processor!$K$2:$K$9,MATCH($D$101,Processor!$I$2:$I$9,0))),IF(AO110=$D$101,TRUE,FALSE)))</f>
        <v>1</v>
      </c>
      <c r="AD110" s="185" t="b">
        <f t="shared" si="101"/>
        <v>1</v>
      </c>
      <c r="AE110" s="185" t="b">
        <f t="shared" si="102"/>
        <v>1</v>
      </c>
      <c r="AF110" s="185" t="b">
        <f t="shared" si="103"/>
        <v>1</v>
      </c>
      <c r="AG110" s="185" t="b">
        <f t="shared" si="104"/>
        <v>1</v>
      </c>
      <c r="AH110" s="185" t="b">
        <f>IF($D$106="",TRUE,IF(INDEX(Processor!$C$14:$C$20,MATCH(LEFT(AT110,10)&amp;"",Processor!$A$14:$A$20,0))&gt;=INDEX(Processor!$C$14:$C$20,MATCH(LEFT($D$106,10)&amp;"",Processor!$A$14:$A$20,0)),TRUE,FALSE))</f>
        <v>1</v>
      </c>
      <c r="AI110" s="185" t="b">
        <f t="shared" si="105"/>
        <v>1</v>
      </c>
      <c r="AJ110" s="185"/>
      <c r="AK110" s="185"/>
      <c r="AL110" s="185" t="s">
        <v>183</v>
      </c>
      <c r="AM110" s="185">
        <v>1</v>
      </c>
      <c r="AN110" s="185" t="str">
        <f t="shared" ca="1" si="112"/>
        <v>Android 13</v>
      </c>
      <c r="AO110" s="185">
        <f t="shared" ca="1" si="112"/>
        <v>12.4</v>
      </c>
      <c r="AP110" s="185" t="str">
        <f t="shared" ca="1" si="112"/>
        <v>2800x1752</v>
      </c>
      <c r="AQ110" s="185">
        <f t="shared" ca="1" si="112"/>
        <v>256</v>
      </c>
      <c r="AR110" s="185">
        <f t="shared" ca="1" si="112"/>
        <v>5.3</v>
      </c>
      <c r="AS110" s="185" t="str">
        <f t="shared" ca="1" si="112"/>
        <v>802.11a/b/g/n/ac/ax</v>
      </c>
      <c r="AT110" s="185">
        <f t="shared" ca="1" si="112"/>
        <v>13</v>
      </c>
      <c r="AU110" s="185" t="str">
        <f t="shared" ca="1" si="112"/>
        <v>EPEAT Bronze (Canada)</v>
      </c>
      <c r="AV110" s="185" t="str">
        <f t="shared" ca="1" si="112"/>
        <v>802.11a/b/g/n/ac/ax</v>
      </c>
      <c r="AW110" s="185">
        <f t="shared" ca="1" si="112"/>
        <v>5.3</v>
      </c>
      <c r="AX110" s="185">
        <f t="shared" ca="1" si="113"/>
        <v>13</v>
      </c>
      <c r="AY110" s="185" t="str">
        <f t="shared" ca="1" si="113"/>
        <v>Galaxy Tab S9+</v>
      </c>
      <c r="AZ110" s="185">
        <f t="shared" ca="1" si="113"/>
        <v>0</v>
      </c>
      <c r="BA110" s="185" t="str">
        <f t="shared" ca="1" si="113"/>
        <v>Android 13</v>
      </c>
      <c r="BB110" s="185">
        <f t="shared" ca="1" si="113"/>
        <v>10190</v>
      </c>
      <c r="BC110" s="185">
        <f t="shared" ca="1" si="113"/>
        <v>10190</v>
      </c>
      <c r="BD110" s="192" t="str">
        <f t="shared" ca="1" si="113"/>
        <v>Targus</v>
      </c>
      <c r="BE110" s="192" t="str">
        <f t="shared" ca="1" si="113"/>
        <v>Panzerglass</v>
      </c>
      <c r="BF110" s="192" t="str">
        <f t="shared" ca="1" si="113"/>
        <v>Samsung</v>
      </c>
      <c r="BG110" s="192" t="str">
        <f t="shared" ca="1" si="113"/>
        <v>Voxicon</v>
      </c>
      <c r="BH110" s="192" t="str">
        <f t="shared" ca="1" si="114"/>
        <v>INGÅR</v>
      </c>
      <c r="BI110" s="192" t="str">
        <f t="shared" ca="1" si="114"/>
        <v>THZ904GL </v>
      </c>
      <c r="BJ110" s="192">
        <f t="shared" ca="1" si="114"/>
        <v>7242</v>
      </c>
      <c r="BK110" s="192" t="str">
        <f t="shared" ca="1" si="114"/>
        <v>EP-T1510NBEGEU / EP-TA20EWECGWW</v>
      </c>
      <c r="BL110" s="192" t="str">
        <f t="shared" ca="1" si="114"/>
        <v>DK-199B-G</v>
      </c>
      <c r="BM110" s="192">
        <f t="shared" ca="1" si="114"/>
        <v>0</v>
      </c>
      <c r="BN110" s="192">
        <f t="shared" ca="1" si="114"/>
        <v>279</v>
      </c>
      <c r="BO110" s="192">
        <f t="shared" ca="1" si="114"/>
        <v>206</v>
      </c>
      <c r="BP110" s="192">
        <f t="shared" ca="1" si="114"/>
        <v>111</v>
      </c>
      <c r="BQ110" s="192">
        <f t="shared" ca="1" si="114"/>
        <v>979</v>
      </c>
      <c r="BR110" s="192">
        <f t="shared" ca="1" si="114"/>
        <v>0</v>
      </c>
      <c r="BS110" s="192">
        <f t="shared" ca="1" si="114"/>
        <v>532</v>
      </c>
      <c r="BT110" s="192">
        <f t="shared" ca="1" si="114"/>
        <v>20</v>
      </c>
      <c r="BU110" s="192">
        <f t="shared" ca="1" si="114"/>
        <v>20</v>
      </c>
      <c r="BV110" s="192">
        <f t="shared" ca="1" si="114"/>
        <v>0</v>
      </c>
      <c r="BW110" s="192"/>
      <c r="BX110" s="192"/>
      <c r="BY110" s="192" t="str">
        <f t="shared" ca="1" si="109"/>
        <v>Dustin Sverige AB</v>
      </c>
      <c r="BZ110" s="192" t="str">
        <f t="shared" ca="1" si="109"/>
        <v>Samsung</v>
      </c>
      <c r="CE110" s="101"/>
    </row>
    <row r="111" spans="2:94" ht="30" customHeight="1" outlineLevel="1" x14ac:dyDescent="0.35">
      <c r="B111" s="69" t="s">
        <v>340</v>
      </c>
      <c r="C111" s="96" t="s">
        <v>51</v>
      </c>
      <c r="D111" s="131" t="str">
        <f>IF("Ska Ingå"=D110,"Ska Ingå","")</f>
        <v/>
      </c>
      <c r="F111" s="84" t="str">
        <f t="shared" si="115"/>
        <v/>
      </c>
      <c r="G111" s="85" t="str">
        <f t="shared" ca="1" si="116"/>
        <v>Phonelife</v>
      </c>
      <c r="H111" s="85" t="str">
        <f t="shared" ca="1" si="116"/>
        <v>eSTUFF</v>
      </c>
      <c r="I111" s="85" t="str">
        <f t="shared" ca="1" si="116"/>
        <v>Otterbox Defender Series</v>
      </c>
      <c r="J111" s="62"/>
      <c r="Q111" s="185">
        <f t="shared" si="90"/>
        <v>0</v>
      </c>
      <c r="R111" s="185">
        <f t="shared" si="91"/>
        <v>0</v>
      </c>
      <c r="S111" s="185">
        <f t="shared" si="92"/>
        <v>0</v>
      </c>
      <c r="T111" s="185">
        <f t="shared" si="93"/>
        <v>0</v>
      </c>
      <c r="U111" s="185">
        <f t="shared" si="94"/>
        <v>0</v>
      </c>
      <c r="V111" s="185">
        <f t="shared" si="95"/>
        <v>0</v>
      </c>
      <c r="W111" s="185">
        <f t="shared" si="96"/>
        <v>0</v>
      </c>
      <c r="X111" s="185">
        <f t="shared" si="97"/>
        <v>0</v>
      </c>
      <c r="Y111" s="185">
        <f t="shared" si="98"/>
        <v>0</v>
      </c>
      <c r="Z111" s="196">
        <f t="shared" ca="1" si="99"/>
        <v>4068</v>
      </c>
      <c r="AA111" s="185" t="str">
        <f t="shared" si="100"/>
        <v>Offererad produktnr. 07Foxway Education AB</v>
      </c>
      <c r="AB111" s="185" t="b">
        <f>IF(D100="",TRUE,IF(COUNTIF(Processor!$M$2:$M$3,D100)=0,IF(AN111=D100,TRUE,FALSE),IF(COUNTIF(AN111,INDEX(Processor!$N$2:$N$3,MATCH(Surfplattor!D100,Processor!$M$2:$M$3,0)))&gt;0,TRUE,FALSE)))</f>
        <v>1</v>
      </c>
      <c r="AC111" s="185" t="b">
        <f>IF($D$101="",TRUE,IF(COUNTIF(Processor!$I$2:$I$9,$D$101)&gt;0,AND(AO111&gt;INDEX(Processor!$J$2:$J$9,MATCH($D$101,Processor!$I$2:$I$9,0)),AO111&lt;INDEX(Processor!$K$2:$K$9,MATCH($D$101,Processor!$I$2:$I$9,0))),IF(AO111=$D$101,TRUE,FALSE)))</f>
        <v>1</v>
      </c>
      <c r="AD111" s="185" t="b">
        <f t="shared" si="101"/>
        <v>1</v>
      </c>
      <c r="AE111" s="185" t="b">
        <f t="shared" si="102"/>
        <v>1</v>
      </c>
      <c r="AF111" s="185" t="b">
        <f t="shared" si="103"/>
        <v>1</v>
      </c>
      <c r="AG111" s="185" t="b">
        <f t="shared" si="104"/>
        <v>1</v>
      </c>
      <c r="AH111" s="185" t="b">
        <f>IF($D$106="",TRUE,IF(INDEX(Processor!$C$14:$C$20,MATCH(LEFT(AT111,10)&amp;"",Processor!$A$14:$A$20,0))&gt;=INDEX(Processor!$C$14:$C$20,MATCH(LEFT($D$106,10)&amp;"",Processor!$A$14:$A$20,0)),TRUE,FALSE))</f>
        <v>1</v>
      </c>
      <c r="AI111" s="185" t="b">
        <f t="shared" si="105"/>
        <v>1</v>
      </c>
      <c r="AJ111" s="185"/>
      <c r="AK111" s="185"/>
      <c r="AL111" s="185" t="s">
        <v>216</v>
      </c>
      <c r="AM111" s="185">
        <v>1</v>
      </c>
      <c r="AN111" s="185" t="str">
        <f t="shared" ca="1" si="112"/>
        <v>iPadOS 15</v>
      </c>
      <c r="AO111" s="185">
        <f t="shared" ca="1" si="112"/>
        <v>10.199999999999999</v>
      </c>
      <c r="AP111" s="185" t="str">
        <f t="shared" ca="1" si="112"/>
        <v>2160x1620</v>
      </c>
      <c r="AQ111" s="185">
        <f t="shared" ca="1" si="112"/>
        <v>64</v>
      </c>
      <c r="AR111" s="185">
        <f t="shared" ca="1" si="112"/>
        <v>4.2</v>
      </c>
      <c r="AS111" s="185" t="str">
        <f t="shared" ca="1" si="112"/>
        <v>802.11a/b/g/n/ac</v>
      </c>
      <c r="AT111" s="185">
        <f t="shared" ca="1" si="112"/>
        <v>10</v>
      </c>
      <c r="AU111" s="185" t="str">
        <f t="shared" ca="1" si="112"/>
        <v>EPEAT Gold</v>
      </c>
      <c r="AV111" s="185" t="str">
        <f t="shared" ca="1" si="112"/>
        <v>802.11a/b/g/n/ac</v>
      </c>
      <c r="AW111" s="185">
        <f t="shared" ca="1" si="112"/>
        <v>4.2</v>
      </c>
      <c r="AX111" s="185">
        <f t="shared" ca="1" si="113"/>
        <v>10</v>
      </c>
      <c r="AY111" s="185" t="str">
        <f t="shared" ca="1" si="113"/>
        <v>10.2-inch (9th-gen) iPad Wi-Fi 64GB</v>
      </c>
      <c r="AZ111" s="185">
        <f t="shared" ca="1" si="113"/>
        <v>0</v>
      </c>
      <c r="BA111" s="185" t="str">
        <f t="shared" ca="1" si="113"/>
        <v>iPadOS 15</v>
      </c>
      <c r="BB111" s="185">
        <f t="shared" ca="1" si="113"/>
        <v>4068</v>
      </c>
      <c r="BC111" s="185">
        <f t="shared" ca="1" si="113"/>
        <v>4068</v>
      </c>
      <c r="BD111" s="192" t="str">
        <f t="shared" ca="1" si="113"/>
        <v>Targus</v>
      </c>
      <c r="BE111" s="192" t="str">
        <f t="shared" ca="1" si="113"/>
        <v>Screenor</v>
      </c>
      <c r="BF111" s="192" t="str">
        <f t="shared" ca="1" si="113"/>
        <v>Apple</v>
      </c>
      <c r="BG111" s="192" t="str">
        <f t="shared" ca="1" si="113"/>
        <v>Deltaco</v>
      </c>
      <c r="BH111" s="192" t="str">
        <f t="shared" ca="1" si="114"/>
        <v>Apple</v>
      </c>
      <c r="BI111" s="192" t="str">
        <f t="shared" ca="1" si="114"/>
        <v>Targus SafePORT Rugged</v>
      </c>
      <c r="BJ111" s="192" t="str">
        <f t="shared" ca="1" si="114"/>
        <v>SCREENOR TEMPERED IPAD 10.2</v>
      </c>
      <c r="BK111" s="192" t="str">
        <f t="shared" ca="1" si="114"/>
        <v>Laddkit iPad</v>
      </c>
      <c r="BL111" s="192" t="str">
        <f t="shared" ca="1" si="114"/>
        <v>DELTACO trådlöst minitangentbord, 78 tangenter, Bluetooth, nordisk layout, dämpade tangenter, svart</v>
      </c>
      <c r="BM111" s="192" t="str">
        <f t="shared" ca="1" si="114"/>
        <v>Apple Pencil</v>
      </c>
      <c r="BN111" s="192">
        <f t="shared" ca="1" si="114"/>
        <v>210</v>
      </c>
      <c r="BO111" s="192">
        <f t="shared" ca="1" si="114"/>
        <v>240</v>
      </c>
      <c r="BP111" s="192">
        <f t="shared" ca="1" si="114"/>
        <v>372</v>
      </c>
      <c r="BQ111" s="192">
        <f t="shared" ca="1" si="114"/>
        <v>156</v>
      </c>
      <c r="BR111" s="192">
        <f t="shared" ca="1" si="114"/>
        <v>1080</v>
      </c>
      <c r="BS111" s="192">
        <f t="shared" ca="1" si="114"/>
        <v>480</v>
      </c>
      <c r="BT111" s="192">
        <f t="shared" ca="1" si="114"/>
        <v>60</v>
      </c>
      <c r="BU111" s="192">
        <f t="shared" ca="1" si="114"/>
        <v>50</v>
      </c>
      <c r="BV111" s="192">
        <f t="shared" ca="1" si="114"/>
        <v>0</v>
      </c>
      <c r="BW111" s="192"/>
      <c r="BX111" s="192"/>
      <c r="BY111" s="192" t="str">
        <f t="shared" ca="1" si="109"/>
        <v>Foxway Education AB</v>
      </c>
      <c r="BZ111" s="192" t="str">
        <f t="shared" ca="1" si="109"/>
        <v>Apple</v>
      </c>
      <c r="CB111" s="63"/>
      <c r="CC111" s="63"/>
      <c r="CD111" s="63"/>
      <c r="CE111" s="102"/>
      <c r="CF111" s="63"/>
      <c r="CG111" s="63"/>
      <c r="CH111" s="63"/>
      <c r="CI111" s="63"/>
      <c r="CJ111" s="63"/>
      <c r="CK111" s="63"/>
      <c r="CL111" s="63"/>
      <c r="CM111" s="63"/>
      <c r="CN111" s="63"/>
      <c r="CO111" s="63"/>
      <c r="CP111" s="63"/>
    </row>
    <row r="112" spans="2:94" ht="67.5" customHeight="1" outlineLevel="1" x14ac:dyDescent="0.35">
      <c r="B112" s="69" t="s">
        <v>345</v>
      </c>
      <c r="C112" s="97" t="s">
        <v>52</v>
      </c>
      <c r="D112" s="132" t="str">
        <f>IF("Ska Ingå"=D110,"Ska Ingå","")</f>
        <v/>
      </c>
      <c r="F112" s="86" t="str">
        <f t="shared" si="115"/>
        <v/>
      </c>
      <c r="G112" s="87" t="str">
        <f t="shared" ca="1" si="116"/>
        <v>GBXRUGGEDLENTAB-V1</v>
      </c>
      <c r="H112" s="87" t="str">
        <f t="shared" ca="1" si="116"/>
        <v>ES685307-BULK - Vikbart fodral för surfplatta - polyuretan, polykarbonat, konstläder, mikrofiber - svart - för Lenovo Tab M10 (3rd Gen)</v>
      </c>
      <c r="I112" s="87" t="str">
        <f t="shared" ca="1" si="116"/>
        <v>GBX77-62032</v>
      </c>
      <c r="J112" s="62"/>
      <c r="Q112" s="185">
        <f t="shared" si="90"/>
        <v>0</v>
      </c>
      <c r="R112" s="185">
        <f t="shared" si="91"/>
        <v>0</v>
      </c>
      <c r="S112" s="185">
        <f t="shared" si="92"/>
        <v>0</v>
      </c>
      <c r="T112" s="185">
        <f t="shared" si="93"/>
        <v>0</v>
      </c>
      <c r="U112" s="185">
        <f t="shared" si="94"/>
        <v>0</v>
      </c>
      <c r="V112" s="185">
        <f t="shared" si="95"/>
        <v>0</v>
      </c>
      <c r="W112" s="185">
        <f t="shared" si="96"/>
        <v>0</v>
      </c>
      <c r="X112" s="185">
        <f t="shared" si="97"/>
        <v>0</v>
      </c>
      <c r="Y112" s="185">
        <f t="shared" si="98"/>
        <v>0</v>
      </c>
      <c r="Z112" s="196">
        <f t="shared" ca="1" si="99"/>
        <v>3894</v>
      </c>
      <c r="AA112" s="185" t="str">
        <f t="shared" si="100"/>
        <v>Offererad produktnr. 08Foxway Education AB</v>
      </c>
      <c r="AB112" s="185" t="b">
        <f>IF(D100="",TRUE,IF(COUNTIF(Processor!$M$2:$M$3,D100)=0,IF(AN112=D100,TRUE,FALSE),IF(COUNTIF(AN112,INDEX(Processor!$N$2:$N$3,MATCH(Surfplattor!D100,Processor!$M$2:$M$3,0)))&gt;0,TRUE,FALSE)))</f>
        <v>1</v>
      </c>
      <c r="AC112" s="185" t="b">
        <f>IF($D$101="",TRUE,IF(COUNTIF(Processor!$I$2:$I$9,$D$101)&gt;0,AND(AO112&gt;INDEX(Processor!$J$2:$J$9,MATCH($D$101,Processor!$I$2:$I$9,0)),AO112&lt;INDEX(Processor!$K$2:$K$9,MATCH($D$101,Processor!$I$2:$I$9,0))),IF(AO112=$D$101,TRUE,FALSE)))</f>
        <v>1</v>
      </c>
      <c r="AD112" s="185" t="b">
        <f t="shared" si="101"/>
        <v>1</v>
      </c>
      <c r="AE112" s="185" t="b">
        <f t="shared" si="102"/>
        <v>1</v>
      </c>
      <c r="AF112" s="185" t="b">
        <f t="shared" si="103"/>
        <v>1</v>
      </c>
      <c r="AG112" s="185" t="b">
        <f t="shared" si="104"/>
        <v>1</v>
      </c>
      <c r="AH112" s="185" t="b">
        <f>IF($D$106="",TRUE,IF(INDEX(Processor!$C$14:$C$20,MATCH(LEFT(AT112,10)&amp;"",Processor!$A$14:$A$20,0))&gt;=INDEX(Processor!$C$14:$C$20,MATCH(LEFT($D$106,10)&amp;"",Processor!$A$14:$A$20,0)),TRUE,FALSE))</f>
        <v>1</v>
      </c>
      <c r="AI112" s="185" t="b">
        <f t="shared" si="105"/>
        <v>1</v>
      </c>
      <c r="AJ112" s="185"/>
      <c r="AK112" s="185"/>
      <c r="AL112" s="185" t="s">
        <v>217</v>
      </c>
      <c r="AM112" s="185">
        <v>1</v>
      </c>
      <c r="AN112" s="185" t="str">
        <f t="shared" ca="1" si="112"/>
        <v>Android 11</v>
      </c>
      <c r="AO112" s="185">
        <f t="shared" ca="1" si="112"/>
        <v>10.4</v>
      </c>
      <c r="AP112" s="185" t="str">
        <f t="shared" ca="1" si="112"/>
        <v>2000x1200</v>
      </c>
      <c r="AQ112" s="185">
        <f t="shared" ca="1" si="112"/>
        <v>64</v>
      </c>
      <c r="AR112" s="185">
        <f t="shared" ca="1" si="112"/>
        <v>5</v>
      </c>
      <c r="AS112" s="185" t="str">
        <f t="shared" ca="1" si="112"/>
        <v>802.11a/b/g/n/ac</v>
      </c>
      <c r="AT112" s="185">
        <f t="shared" ca="1" si="112"/>
        <v>12</v>
      </c>
      <c r="AU112" s="185" t="str">
        <f t="shared" ca="1" si="112"/>
        <v>Epeat Bronze</v>
      </c>
      <c r="AV112" s="185" t="str">
        <f t="shared" ca="1" si="112"/>
        <v>802.11a/b/g/n/ac</v>
      </c>
      <c r="AW112" s="185">
        <f t="shared" ca="1" si="112"/>
        <v>5</v>
      </c>
      <c r="AX112" s="185">
        <f t="shared" ca="1" si="113"/>
        <v>12</v>
      </c>
      <c r="AY112" s="185" t="str">
        <f t="shared" ca="1" si="113"/>
        <v>Galaxy Tab S6 Lite WiFi (64GB)</v>
      </c>
      <c r="AZ112" s="185">
        <f t="shared" ca="1" si="113"/>
        <v>0</v>
      </c>
      <c r="BA112" s="185" t="str">
        <f t="shared" ca="1" si="113"/>
        <v>Android 11</v>
      </c>
      <c r="BB112" s="185">
        <f t="shared" ca="1" si="113"/>
        <v>3894</v>
      </c>
      <c r="BC112" s="185">
        <f t="shared" ca="1" si="113"/>
        <v>3894</v>
      </c>
      <c r="BD112" s="192" t="str">
        <f t="shared" ca="1" si="113"/>
        <v>Tolerate</v>
      </c>
      <c r="BE112" s="192" t="str">
        <f t="shared" ca="1" si="113"/>
        <v xml:space="preserve">Insmat </v>
      </c>
      <c r="BF112" s="192" t="str">
        <f t="shared" ca="1" si="113"/>
        <v>Samsung</v>
      </c>
      <c r="BG112" s="192" t="str">
        <f t="shared" ca="1" si="113"/>
        <v>Deltaco</v>
      </c>
      <c r="BH112" s="192" t="str">
        <f t="shared" ca="1" si="114"/>
        <v>Samsung</v>
      </c>
      <c r="BI112" s="192" t="str">
        <f t="shared" ca="1" si="114"/>
        <v xml:space="preserve">TOLERATE ARMOR FOLIO SAMSUNG TAB S6 LITE BLACK </v>
      </c>
      <c r="BJ112" s="192" t="str">
        <f t="shared" ca="1" si="114"/>
        <v>Insmat Brilliant</v>
      </c>
      <c r="BK112" s="192" t="str">
        <f t="shared" ca="1" si="114"/>
        <v>SAMSUNG FAST TRAVEL CHARGER USB-C BLACK</v>
      </c>
      <c r="BL112" s="192" t="str">
        <f t="shared" ca="1" si="114"/>
        <v>DELTACO trådlöst minitangentbord, 78 tangenter, Bluetooth, nordisk layout, dämpade tangenter, svart</v>
      </c>
      <c r="BM112" s="192" t="str">
        <f t="shared" ca="1" si="114"/>
        <v xml:space="preserve">SAMSUNG S-PEN GALAXY TAB S6 LITE GREY </v>
      </c>
      <c r="BN112" s="192">
        <f t="shared" ca="1" si="114"/>
        <v>350</v>
      </c>
      <c r="BO112" s="192">
        <f t="shared" ca="1" si="114"/>
        <v>165</v>
      </c>
      <c r="BP112" s="192">
        <f t="shared" ca="1" si="114"/>
        <v>114</v>
      </c>
      <c r="BQ112" s="192">
        <f t="shared" ca="1" si="114"/>
        <v>156</v>
      </c>
      <c r="BR112" s="192">
        <f t="shared" ca="1" si="114"/>
        <v>306</v>
      </c>
      <c r="BS112" s="192">
        <f t="shared" ca="1" si="114"/>
        <v>1</v>
      </c>
      <c r="BT112" s="192">
        <f t="shared" ca="1" si="114"/>
        <v>60</v>
      </c>
      <c r="BU112" s="192">
        <f t="shared" ca="1" si="114"/>
        <v>50</v>
      </c>
      <c r="BV112" s="192">
        <f t="shared" ca="1" si="114"/>
        <v>0</v>
      </c>
      <c r="BW112" s="192"/>
      <c r="BX112" s="192"/>
      <c r="BY112" s="192" t="str">
        <f t="shared" ca="1" si="109"/>
        <v>Foxway Education AB</v>
      </c>
      <c r="BZ112" s="192" t="str">
        <f t="shared" ca="1" si="109"/>
        <v>Samsung</v>
      </c>
      <c r="CA112" s="63"/>
      <c r="CB112" s="63"/>
      <c r="CC112" s="63"/>
      <c r="CD112" s="63"/>
      <c r="CE112" s="63"/>
      <c r="CF112" s="63"/>
      <c r="CG112" s="63"/>
      <c r="CH112" s="63"/>
      <c r="CI112" s="63"/>
      <c r="CJ112" s="63"/>
      <c r="CK112" s="63"/>
      <c r="CL112" s="63"/>
      <c r="CM112" s="63"/>
      <c r="CN112" s="63"/>
    </row>
    <row r="113" spans="2:92" ht="30" customHeight="1" outlineLevel="1" x14ac:dyDescent="0.35">
      <c r="B113" s="69" t="s">
        <v>54</v>
      </c>
      <c r="C113" s="98" t="s">
        <v>373</v>
      </c>
      <c r="D113" s="70"/>
      <c r="F113" s="157" t="str">
        <f t="shared" si="115"/>
        <v/>
      </c>
      <c r="G113" s="158">
        <f t="shared" ca="1" si="116"/>
        <v>180</v>
      </c>
      <c r="H113" s="158">
        <f t="shared" ca="1" si="116"/>
        <v>251</v>
      </c>
      <c r="I113" s="158">
        <f t="shared" ca="1" si="116"/>
        <v>189</v>
      </c>
      <c r="J113" s="62"/>
      <c r="Q113" s="185">
        <f t="shared" si="90"/>
        <v>0</v>
      </c>
      <c r="R113" s="185">
        <f t="shared" si="91"/>
        <v>0</v>
      </c>
      <c r="S113" s="185">
        <f t="shared" si="92"/>
        <v>0</v>
      </c>
      <c r="T113" s="185">
        <f t="shared" si="93"/>
        <v>0</v>
      </c>
      <c r="U113" s="185">
        <f t="shared" si="94"/>
        <v>0</v>
      </c>
      <c r="V113" s="185">
        <f t="shared" si="95"/>
        <v>0</v>
      </c>
      <c r="W113" s="185">
        <f t="shared" si="96"/>
        <v>0</v>
      </c>
      <c r="X113" s="185">
        <f t="shared" si="97"/>
        <v>0</v>
      </c>
      <c r="Y113" s="185">
        <f t="shared" si="98"/>
        <v>0</v>
      </c>
      <c r="Z113" s="196">
        <f t="shared" ca="1" si="99"/>
        <v>7350</v>
      </c>
      <c r="AA113" s="185" t="str">
        <f t="shared" si="100"/>
        <v>Offererad produktnr. 09Foxway Education AB</v>
      </c>
      <c r="AB113" s="185" t="b">
        <f>IF(D100="",TRUE,IF(COUNTIF(Processor!$M$2:$M$3,D100)=0,IF(AN113=D100,TRUE,FALSE),IF(COUNTIF(AN113,INDEX(Processor!$N$2:$N$3,MATCH(Surfplattor!D100,Processor!$M$2:$M$3,0)))&gt;0,TRUE,FALSE)))</f>
        <v>1</v>
      </c>
      <c r="AC113" s="185" t="b">
        <f>IF($D$101="",TRUE,IF(COUNTIF(Processor!$I$2:$I$9,$D$101)&gt;0,AND(AO113&gt;INDEX(Processor!$J$2:$J$9,MATCH($D$101,Processor!$I$2:$I$9,0)),AO113&lt;INDEX(Processor!$K$2:$K$9,MATCH($D$101,Processor!$I$2:$I$9,0))),IF(AO113=$D$101,TRUE,FALSE)))</f>
        <v>1</v>
      </c>
      <c r="AD113" s="185" t="b">
        <f t="shared" si="101"/>
        <v>1</v>
      </c>
      <c r="AE113" s="185" t="b">
        <f t="shared" si="102"/>
        <v>1</v>
      </c>
      <c r="AF113" s="185" t="b">
        <f t="shared" si="103"/>
        <v>1</v>
      </c>
      <c r="AG113" s="185" t="b">
        <f t="shared" si="104"/>
        <v>1</v>
      </c>
      <c r="AH113" s="185" t="b">
        <f>IF($D$106="",TRUE,IF(INDEX(Processor!$C$14:$C$20,MATCH(LEFT(AT113,10)&amp;"",Processor!$A$14:$A$20,0))&gt;=INDEX(Processor!$C$14:$C$20,MATCH(LEFT($D$106,10)&amp;"",Processor!$A$14:$A$20,0)),TRUE,FALSE))</f>
        <v>1</v>
      </c>
      <c r="AI113" s="185" t="b">
        <f t="shared" si="105"/>
        <v>1</v>
      </c>
      <c r="AJ113" s="185"/>
      <c r="AK113" s="185"/>
      <c r="AL113" s="185" t="s">
        <v>218</v>
      </c>
      <c r="AM113" s="185">
        <v>1</v>
      </c>
      <c r="AN113" s="185" t="str">
        <f t="shared" ca="1" si="112"/>
        <v>Android 11</v>
      </c>
      <c r="AO113" s="185">
        <f t="shared" ca="1" si="112"/>
        <v>11</v>
      </c>
      <c r="AP113" s="185" t="str">
        <f t="shared" ca="1" si="112"/>
        <v>2560x1600</v>
      </c>
      <c r="AQ113" s="185">
        <f t="shared" ca="1" si="112"/>
        <v>128</v>
      </c>
      <c r="AR113" s="185">
        <f t="shared" ca="1" si="112"/>
        <v>5</v>
      </c>
      <c r="AS113" s="185" t="str">
        <f t="shared" ca="1" si="112"/>
        <v>802.11a/b/g/n/ac/ax</v>
      </c>
      <c r="AT113" s="185">
        <f t="shared" ca="1" si="112"/>
        <v>13</v>
      </c>
      <c r="AU113" s="185" t="str">
        <f t="shared" ca="1" si="112"/>
        <v>Epeat Bronze</v>
      </c>
      <c r="AV113" s="185" t="str">
        <f t="shared" ca="1" si="112"/>
        <v>802.11a/b/g/n/ac/ax</v>
      </c>
      <c r="AW113" s="185">
        <f t="shared" ca="1" si="112"/>
        <v>5</v>
      </c>
      <c r="AX113" s="185">
        <f t="shared" ca="1" si="113"/>
        <v>13</v>
      </c>
      <c r="AY113" s="185" t="str">
        <f t="shared" ca="1" si="113"/>
        <v>Galaxy Tab S8 Wifi (128GB)</v>
      </c>
      <c r="AZ113" s="185">
        <f t="shared" ca="1" si="113"/>
        <v>0</v>
      </c>
      <c r="BA113" s="185" t="str">
        <f t="shared" ca="1" si="113"/>
        <v>Android 11</v>
      </c>
      <c r="BB113" s="185">
        <f t="shared" ca="1" si="113"/>
        <v>7350</v>
      </c>
      <c r="BC113" s="185">
        <f t="shared" ca="1" si="113"/>
        <v>7350</v>
      </c>
      <c r="BD113" s="192" t="str">
        <f t="shared" ca="1" si="113"/>
        <v>Insmat</v>
      </c>
      <c r="BE113" s="192" t="str">
        <f t="shared" ca="1" si="113"/>
        <v>Tolerate</v>
      </c>
      <c r="BF113" s="192" t="str">
        <f t="shared" ca="1" si="113"/>
        <v>Samsung</v>
      </c>
      <c r="BG113" s="192" t="str">
        <f t="shared" ca="1" si="113"/>
        <v>Deltaco</v>
      </c>
      <c r="BH113" s="192" t="str">
        <f t="shared" ca="1" si="114"/>
        <v>Samsung</v>
      </c>
      <c r="BI113" s="192" t="str">
        <f t="shared" ca="1" si="114"/>
        <v>Insmat Rugged Armor S8</v>
      </c>
      <c r="BJ113" s="192" t="str">
        <f t="shared" ca="1" si="114"/>
        <v>TOLERATE GLASS SCREEN PROTECTOR SAMSUNG TAB S8</v>
      </c>
      <c r="BK113" s="192" t="str">
        <f t="shared" ca="1" si="114"/>
        <v>SAMSUNG FAST TRAVEL CHARGER USB-C BLACK</v>
      </c>
      <c r="BL113" s="192" t="str">
        <f t="shared" ca="1" si="114"/>
        <v>DELTACO trådlöst minitangentbord, 78 tangenter, Bluetooth, nordisk layout, dämpade tangenter, svart</v>
      </c>
      <c r="BM113" s="192" t="str">
        <f t="shared" ca="1" si="114"/>
        <v>SAMSUNG S-PEN GALAXY TAB S7</v>
      </c>
      <c r="BN113" s="192">
        <f t="shared" ca="1" si="114"/>
        <v>340</v>
      </c>
      <c r="BO113" s="185">
        <f t="shared" ca="1" si="114"/>
        <v>205</v>
      </c>
      <c r="BP113" s="192">
        <f t="shared" ca="1" si="114"/>
        <v>114</v>
      </c>
      <c r="BQ113" s="192">
        <f t="shared" ca="1" si="114"/>
        <v>156</v>
      </c>
      <c r="BR113" s="192">
        <f t="shared" ca="1" si="114"/>
        <v>360</v>
      </c>
      <c r="BS113" s="185">
        <f t="shared" ca="1" si="114"/>
        <v>1</v>
      </c>
      <c r="BT113" s="185">
        <f t="shared" ca="1" si="114"/>
        <v>60</v>
      </c>
      <c r="BU113" s="185">
        <f t="shared" ca="1" si="114"/>
        <v>50</v>
      </c>
      <c r="BV113" s="185">
        <f t="shared" ca="1" si="114"/>
        <v>0</v>
      </c>
      <c r="BW113" s="185"/>
      <c r="BX113" s="185"/>
      <c r="BY113" s="185" t="str">
        <f t="shared" ca="1" si="109"/>
        <v>Foxway Education AB</v>
      </c>
      <c r="BZ113" s="185" t="str">
        <f t="shared" ca="1" si="109"/>
        <v>Samsung</v>
      </c>
      <c r="CA113" s="63"/>
      <c r="CB113" s="63"/>
      <c r="CC113" s="63"/>
      <c r="CD113" s="63"/>
      <c r="CE113" s="63"/>
      <c r="CF113" s="63"/>
      <c r="CG113" s="63"/>
      <c r="CH113" s="63"/>
      <c r="CI113" s="63"/>
      <c r="CJ113" s="63"/>
      <c r="CK113" s="63"/>
      <c r="CL113" s="63"/>
      <c r="CM113" s="63"/>
      <c r="CN113" s="63"/>
    </row>
    <row r="114" spans="2:92" ht="30" customHeight="1" outlineLevel="1" x14ac:dyDescent="0.35">
      <c r="B114" s="69" t="s">
        <v>341</v>
      </c>
      <c r="C114" s="61" t="s">
        <v>51</v>
      </c>
      <c r="D114" s="131" t="str">
        <f>IF("Ska Ingå"=D113,"Ska Ingå","")</f>
        <v/>
      </c>
      <c r="F114" s="88" t="str">
        <f t="shared" si="115"/>
        <v/>
      </c>
      <c r="G114" s="89" t="str">
        <f t="shared" ca="1" si="116"/>
        <v>Lenovo</v>
      </c>
      <c r="H114" s="89" t="str">
        <f t="shared" ca="1" si="116"/>
        <v>eSTUFF</v>
      </c>
      <c r="I114" s="89" t="str">
        <f t="shared" ca="1" si="116"/>
        <v>ZAGG</v>
      </c>
      <c r="J114" s="62"/>
      <c r="Q114" s="185">
        <f t="shared" si="90"/>
        <v>0</v>
      </c>
      <c r="R114" s="185">
        <f t="shared" si="91"/>
        <v>0</v>
      </c>
      <c r="S114" s="185">
        <f t="shared" si="92"/>
        <v>0</v>
      </c>
      <c r="T114" s="185">
        <f t="shared" si="93"/>
        <v>0</v>
      </c>
      <c r="U114" s="185">
        <f t="shared" si="94"/>
        <v>0</v>
      </c>
      <c r="V114" s="185">
        <f t="shared" si="95"/>
        <v>0</v>
      </c>
      <c r="W114" s="185">
        <f t="shared" si="96"/>
        <v>0</v>
      </c>
      <c r="X114" s="185">
        <f t="shared" si="97"/>
        <v>0</v>
      </c>
      <c r="Y114" s="185">
        <f t="shared" si="98"/>
        <v>0</v>
      </c>
      <c r="Z114" s="196">
        <f t="shared" ca="1" si="99"/>
        <v>5256</v>
      </c>
      <c r="AA114" s="185" t="str">
        <f t="shared" si="100"/>
        <v>Offererad produktnr. 10Foxway Education AB</v>
      </c>
      <c r="AB114" s="185" t="b">
        <f>IF(D100="",TRUE,IF(COUNTIF(Processor!$M$2:$M$3,D100)=0,IF(AN114=D100,TRUE,FALSE),IF(COUNTIF(AN114,INDEX(Processor!$N$2:$N$3,MATCH(Surfplattor!D100,Processor!$M$2:$M$3,0)))&gt;0,TRUE,FALSE)))</f>
        <v>1</v>
      </c>
      <c r="AC114" s="185" t="b">
        <f>IF($D$101="",TRUE,IF(COUNTIF(Processor!$I$2:$I$9,$D$101)&gt;0,AND(AO114&gt;INDEX(Processor!$J$2:$J$9,MATCH($D$101,Processor!$I$2:$I$9,0)),AO114&lt;INDEX(Processor!$K$2:$K$9,MATCH($D$101,Processor!$I$2:$I$9,0))),IF(AO114=$D$101,TRUE,FALSE)))</f>
        <v>1</v>
      </c>
      <c r="AD114" s="185" t="b">
        <f t="shared" si="101"/>
        <v>1</v>
      </c>
      <c r="AE114" s="185" t="b">
        <f t="shared" si="102"/>
        <v>1</v>
      </c>
      <c r="AF114" s="185" t="b">
        <f t="shared" si="103"/>
        <v>1</v>
      </c>
      <c r="AG114" s="185" t="b">
        <f t="shared" si="104"/>
        <v>1</v>
      </c>
      <c r="AH114" s="185" t="b">
        <f>IF($D$106="",TRUE,IF(INDEX(Processor!$C$14:$C$20,MATCH(LEFT(AT114,10)&amp;"",Processor!$A$14:$A$20,0))&gt;=INDEX(Processor!$C$14:$C$20,MATCH(LEFT($D$106,10)&amp;"",Processor!$A$14:$A$20,0)),TRUE,FALSE))</f>
        <v>1</v>
      </c>
      <c r="AI114" s="185" t="b">
        <f t="shared" si="105"/>
        <v>1</v>
      </c>
      <c r="AJ114" s="185"/>
      <c r="AK114" s="185"/>
      <c r="AL114" s="185" t="s">
        <v>219</v>
      </c>
      <c r="AM114" s="185">
        <v>1</v>
      </c>
      <c r="AN114" s="185" t="str">
        <f t="shared" ca="1" si="112"/>
        <v>Android 10</v>
      </c>
      <c r="AO114" s="185">
        <f t="shared" ca="1" si="112"/>
        <v>11.5</v>
      </c>
      <c r="AP114" s="185" t="str">
        <f t="shared" ca="1" si="112"/>
        <v>2560x1600</v>
      </c>
      <c r="AQ114" s="185">
        <f t="shared" ca="1" si="112"/>
        <v>128</v>
      </c>
      <c r="AR114" s="185">
        <f t="shared" ca="1" si="112"/>
        <v>5</v>
      </c>
      <c r="AS114" s="185" t="str">
        <f t="shared" ca="1" si="112"/>
        <v>802.11a/b/g/n/ac</v>
      </c>
      <c r="AT114" s="185">
        <f t="shared" ca="1" si="112"/>
        <v>8</v>
      </c>
      <c r="AU114" s="185" t="str">
        <f t="shared" ca="1" si="112"/>
        <v>Ej miljömärkt</v>
      </c>
      <c r="AV114" s="185" t="str">
        <f t="shared" ca="1" si="112"/>
        <v>802.11a/b/g/n/ac</v>
      </c>
      <c r="AW114" s="185">
        <f t="shared" ca="1" si="112"/>
        <v>5</v>
      </c>
      <c r="AX114" s="185">
        <f t="shared" ca="1" si="113"/>
        <v>8</v>
      </c>
      <c r="AY114" s="185" t="str">
        <f t="shared" ca="1" si="113"/>
        <v>Tab P11 Pro</v>
      </c>
      <c r="AZ114" s="185">
        <f t="shared" ca="1" si="113"/>
        <v>0</v>
      </c>
      <c r="BA114" s="185" t="str">
        <f t="shared" ca="1" si="113"/>
        <v>Android 10</v>
      </c>
      <c r="BB114" s="185">
        <f t="shared" ca="1" si="113"/>
        <v>5256</v>
      </c>
      <c r="BC114" s="185">
        <f t="shared" ca="1" si="113"/>
        <v>5256</v>
      </c>
      <c r="BD114" s="192" t="str">
        <f t="shared" ca="1" si="113"/>
        <v>Lenovo</v>
      </c>
      <c r="BE114" s="192" t="str">
        <f t="shared" ca="1" si="113"/>
        <v>Lenovo</v>
      </c>
      <c r="BF114" s="192" t="str">
        <f t="shared" ca="1" si="113"/>
        <v>Lenovo</v>
      </c>
      <c r="BG114" s="192" t="str">
        <f t="shared" ca="1" si="113"/>
        <v>Deltaco</v>
      </c>
      <c r="BH114" s="192" t="str">
        <f t="shared" ca="1" si="114"/>
        <v>Lenovo</v>
      </c>
      <c r="BI114" s="192" t="str">
        <f t="shared" ca="1" si="114"/>
        <v>P11 Pro Folio Case &amp; Film Grey</v>
      </c>
      <c r="BJ114" s="192" t="str">
        <f t="shared" ca="1" si="114"/>
        <v>Skyddsfilm</v>
      </c>
      <c r="BK114" s="192" t="str">
        <f t="shared" ca="1" si="114"/>
        <v xml:space="preserve">Lenovo Smart Charge station </v>
      </c>
      <c r="BL114" s="192" t="str">
        <f t="shared" ca="1" si="114"/>
        <v>DELTACO trådlöst minitangentbord, 78 tangenter, Bluetooth, nordisk layout, dämpade tangenter, svart</v>
      </c>
      <c r="BM114" s="192" t="str">
        <f t="shared" ca="1" si="114"/>
        <v>Lenovo Precision Pen 2</v>
      </c>
      <c r="BN114" s="192">
        <f t="shared" ca="1" si="114"/>
        <v>210</v>
      </c>
      <c r="BO114" s="185">
        <f t="shared" ca="1" si="114"/>
        <v>276</v>
      </c>
      <c r="BP114" s="192">
        <f t="shared" ca="1" si="114"/>
        <v>240</v>
      </c>
      <c r="BQ114" s="192">
        <f t="shared" ca="1" si="114"/>
        <v>156</v>
      </c>
      <c r="BR114" s="192">
        <f t="shared" ca="1" si="114"/>
        <v>564</v>
      </c>
      <c r="BS114" s="185">
        <f t="shared" ca="1" si="114"/>
        <v>550</v>
      </c>
      <c r="BT114" s="185">
        <f t="shared" ca="1" si="114"/>
        <v>60</v>
      </c>
      <c r="BU114" s="185">
        <f t="shared" ca="1" si="114"/>
        <v>50</v>
      </c>
      <c r="BV114" s="185">
        <f t="shared" ca="1" si="114"/>
        <v>0</v>
      </c>
      <c r="BW114" s="185"/>
      <c r="BX114" s="185"/>
      <c r="BY114" s="185" t="str">
        <f t="shared" ca="1" si="109"/>
        <v>Foxway Education AB</v>
      </c>
      <c r="BZ114" s="185" t="str">
        <f t="shared" ca="1" si="109"/>
        <v>Lenovo</v>
      </c>
      <c r="CA114" s="63"/>
      <c r="CB114" s="63"/>
      <c r="CC114" s="63"/>
      <c r="CD114" s="63"/>
      <c r="CE114" s="63"/>
      <c r="CF114" s="63"/>
      <c r="CG114" s="63"/>
      <c r="CH114" s="63"/>
      <c r="CI114" s="63"/>
      <c r="CJ114" s="63"/>
      <c r="CK114" s="63"/>
      <c r="CL114" s="63"/>
      <c r="CM114" s="63"/>
      <c r="CN114" s="63"/>
    </row>
    <row r="115" spans="2:92" ht="68.25" customHeight="1" outlineLevel="1" x14ac:dyDescent="0.35">
      <c r="B115" s="69" t="s">
        <v>346</v>
      </c>
      <c r="C115" s="99" t="s">
        <v>52</v>
      </c>
      <c r="D115" s="132" t="str">
        <f>IF("Ska Ingå"=D113,"Ska Ingå","")</f>
        <v/>
      </c>
      <c r="F115" s="90" t="str">
        <f t="shared" si="115"/>
        <v/>
      </c>
      <c r="G115" s="91" t="str">
        <f t="shared" ca="1" si="116"/>
        <v>GBXLENFILM</v>
      </c>
      <c r="H115" s="91" t="str">
        <f t="shared" ca="1" si="116"/>
        <v>ES517003 - Skärmskydd för surfplatta - glas - klar - för Lenovo Tab M10 (3rd Gen)</v>
      </c>
      <c r="I115" s="91" t="str">
        <f t="shared" ca="1" si="116"/>
        <v>gbx200106077</v>
      </c>
      <c r="J115" s="73"/>
      <c r="Q115" s="185">
        <f t="shared" si="90"/>
        <v>0</v>
      </c>
      <c r="R115" s="185">
        <f t="shared" si="91"/>
        <v>0</v>
      </c>
      <c r="S115" s="185">
        <f t="shared" si="92"/>
        <v>0</v>
      </c>
      <c r="T115" s="185">
        <f t="shared" si="93"/>
        <v>0</v>
      </c>
      <c r="U115" s="185">
        <f t="shared" si="94"/>
        <v>0</v>
      </c>
      <c r="V115" s="185">
        <f t="shared" si="95"/>
        <v>0</v>
      </c>
      <c r="W115" s="185">
        <f t="shared" si="96"/>
        <v>0</v>
      </c>
      <c r="X115" s="185">
        <f t="shared" si="97"/>
        <v>0</v>
      </c>
      <c r="Y115" s="185">
        <f t="shared" si="98"/>
        <v>0</v>
      </c>
      <c r="Z115" s="196">
        <f t="shared" ca="1" si="99"/>
        <v>1700</v>
      </c>
      <c r="AA115" s="185" t="str">
        <f t="shared" si="100"/>
        <v>Offererad produktnr. 07Qlosr Göteborg AB</v>
      </c>
      <c r="AB115" s="185" t="b">
        <f>IF(D100="",TRUE,IF(COUNTIF(Processor!$M$2:$M$3,D100)=0,IF(AN115=D100,TRUE,FALSE),IF(COUNTIF(AN115,INDEX(Processor!$N$2:$N$3,MATCH(Surfplattor!D100,Processor!$M$2:$M$3,0)))&gt;0,TRUE,FALSE)))</f>
        <v>1</v>
      </c>
      <c r="AC115" s="185" t="b">
        <f>IF($D$101="",TRUE,IF(COUNTIF(Processor!$I$2:$I$9,$D$101)&gt;0,AND(AO115&gt;INDEX(Processor!$J$2:$J$9,MATCH($D$101,Processor!$I$2:$I$9,0)),AO115&lt;INDEX(Processor!$K$2:$K$9,MATCH($D$101,Processor!$I$2:$I$9,0))),IF(AO115=$D$101,TRUE,FALSE)))</f>
        <v>1</v>
      </c>
      <c r="AD115" s="185" t="b">
        <f t="shared" si="101"/>
        <v>1</v>
      </c>
      <c r="AE115" s="185" t="b">
        <f t="shared" si="102"/>
        <v>1</v>
      </c>
      <c r="AF115" s="185" t="b">
        <f t="shared" si="103"/>
        <v>1</v>
      </c>
      <c r="AG115" s="185" t="b">
        <f t="shared" si="104"/>
        <v>1</v>
      </c>
      <c r="AH115" s="185" t="b">
        <f>IF($D$106="",TRUE,IF(INDEX(Processor!$C$14:$C$20,MATCH(LEFT(AT115,10)&amp;"",Processor!$A$14:$A$20,0))&gt;=INDEX(Processor!$C$14:$C$20,MATCH(LEFT($D$106,10)&amp;"",Processor!$A$14:$A$20,0)),TRUE,FALSE))</f>
        <v>1</v>
      </c>
      <c r="AI115" s="185" t="b">
        <f t="shared" si="105"/>
        <v>1</v>
      </c>
      <c r="AJ115" s="185"/>
      <c r="AK115" s="185"/>
      <c r="AL115" s="185" t="s">
        <v>558</v>
      </c>
      <c r="AM115" s="185">
        <v>1</v>
      </c>
      <c r="AN115" s="185" t="str">
        <f t="shared" ca="1" si="112"/>
        <v>Android 9</v>
      </c>
      <c r="AO115" s="185">
        <f t="shared" ca="1" si="112"/>
        <v>10.3</v>
      </c>
      <c r="AP115" s="185" t="str">
        <f t="shared" ca="1" si="112"/>
        <v>1920x1200</v>
      </c>
      <c r="AQ115" s="185">
        <f t="shared" ca="1" si="112"/>
        <v>64</v>
      </c>
      <c r="AR115" s="185">
        <f t="shared" ca="1" si="112"/>
        <v>5</v>
      </c>
      <c r="AS115" s="185" t="str">
        <f t="shared" ca="1" si="112"/>
        <v>802.11a/b/g/n/ac</v>
      </c>
      <c r="AT115" s="185">
        <f t="shared" ca="1" si="112"/>
        <v>9</v>
      </c>
      <c r="AU115" s="185" t="str">
        <f t="shared" ca="1" si="112"/>
        <v>Ej miljömärkt</v>
      </c>
      <c r="AV115" s="185" t="str">
        <f t="shared" ca="1" si="112"/>
        <v>802.11a/b/g/n/ac</v>
      </c>
      <c r="AW115" s="185">
        <f t="shared" ca="1" si="112"/>
        <v>5</v>
      </c>
      <c r="AX115" s="185">
        <f t="shared" ca="1" si="113"/>
        <v>9</v>
      </c>
      <c r="AY115" s="185" t="str">
        <f t="shared" ca="1" si="113"/>
        <v>M10 FHD G2</v>
      </c>
      <c r="AZ115" s="185">
        <f t="shared" ca="1" si="113"/>
        <v>0</v>
      </c>
      <c r="BA115" s="185" t="str">
        <f t="shared" ca="1" si="113"/>
        <v>Android 9</v>
      </c>
      <c r="BB115" s="185">
        <f t="shared" ca="1" si="113"/>
        <v>1700</v>
      </c>
      <c r="BC115" s="185">
        <f t="shared" ca="1" si="113"/>
        <v>1700</v>
      </c>
      <c r="BD115" s="192" t="str">
        <f t="shared" ca="1" si="113"/>
        <v>Phonelife</v>
      </c>
      <c r="BE115" s="192" t="str">
        <f t="shared" ca="1" si="113"/>
        <v>Lenovo</v>
      </c>
      <c r="BF115" s="192" t="str">
        <f t="shared" ca="1" si="113"/>
        <v>Lenovo</v>
      </c>
      <c r="BG115" s="192" t="str">
        <f t="shared" ca="1" si="113"/>
        <v>DELTACO</v>
      </c>
      <c r="BH115" s="192" t="str">
        <f t="shared" ca="1" si="114"/>
        <v>Kecow</v>
      </c>
      <c r="BI115" s="192" t="str">
        <f t="shared" ca="1" si="114"/>
        <v>GBXRUGGEDLENTAB-V1</v>
      </c>
      <c r="BJ115" s="192" t="str">
        <f t="shared" ca="1" si="114"/>
        <v>GBXLENFILM</v>
      </c>
      <c r="BK115" s="192" t="str">
        <f t="shared" ca="1" si="114"/>
        <v>GBXLENCHARGE</v>
      </c>
      <c r="BL115" s="192" t="str">
        <f t="shared" ca="1" si="114"/>
        <v>GBX TB-631</v>
      </c>
      <c r="BM115" s="192" t="str">
        <f t="shared" ca="1" si="114"/>
        <v>GBXPP2PENMAGNETIC</v>
      </c>
      <c r="BN115" s="192">
        <f t="shared" ca="1" si="114"/>
        <v>325</v>
      </c>
      <c r="BO115" s="185">
        <f t="shared" ca="1" si="114"/>
        <v>180</v>
      </c>
      <c r="BP115" s="192">
        <f t="shared" ca="1" si="114"/>
        <v>220</v>
      </c>
      <c r="BQ115" s="192">
        <f t="shared" ca="1" si="114"/>
        <v>150</v>
      </c>
      <c r="BR115" s="192">
        <f t="shared" ca="1" si="114"/>
        <v>399</v>
      </c>
      <c r="BS115" s="185">
        <f t="shared" ca="1" si="114"/>
        <v>570</v>
      </c>
      <c r="BT115" s="185">
        <f t="shared" ca="1" si="114"/>
        <v>25</v>
      </c>
      <c r="BU115" s="185">
        <f t="shared" ca="1" si="114"/>
        <v>25</v>
      </c>
      <c r="BV115" s="185">
        <f t="shared" ca="1" si="114"/>
        <v>0</v>
      </c>
      <c r="BW115" s="185"/>
      <c r="BX115" s="185"/>
      <c r="BY115" s="185" t="str">
        <f t="shared" ca="1" si="109"/>
        <v>Qlosr Göteborg AB</v>
      </c>
      <c r="BZ115" s="185" t="str">
        <f t="shared" ca="1" si="109"/>
        <v>Lenovo</v>
      </c>
      <c r="CA115" s="63"/>
      <c r="CB115" s="63"/>
      <c r="CC115" s="63"/>
      <c r="CD115" s="63"/>
      <c r="CE115" s="63"/>
      <c r="CF115" s="63"/>
      <c r="CG115" s="63"/>
      <c r="CH115" s="63"/>
      <c r="CI115" s="63"/>
      <c r="CJ115" s="63"/>
      <c r="CK115" s="63"/>
      <c r="CL115" s="63"/>
      <c r="CM115" s="63"/>
      <c r="CN115" s="63"/>
    </row>
    <row r="116" spans="2:92" ht="30" customHeight="1" outlineLevel="1" x14ac:dyDescent="0.35">
      <c r="B116" s="69" t="s">
        <v>55</v>
      </c>
      <c r="C116" s="95" t="s">
        <v>371</v>
      </c>
      <c r="D116" s="70"/>
      <c r="F116" s="159" t="str">
        <f t="shared" si="115"/>
        <v/>
      </c>
      <c r="G116" s="160">
        <f t="shared" ca="1" si="116"/>
        <v>220</v>
      </c>
      <c r="H116" s="160">
        <f t="shared" ca="1" si="116"/>
        <v>108</v>
      </c>
      <c r="I116" s="160">
        <f t="shared" ca="1" si="116"/>
        <v>279</v>
      </c>
      <c r="J116" s="54"/>
      <c r="Q116" s="185">
        <f t="shared" si="90"/>
        <v>0</v>
      </c>
      <c r="R116" s="185">
        <f t="shared" si="91"/>
        <v>0</v>
      </c>
      <c r="S116" s="185">
        <f t="shared" si="92"/>
        <v>0</v>
      </c>
      <c r="T116" s="185">
        <f t="shared" si="93"/>
        <v>0</v>
      </c>
      <c r="U116" s="185">
        <f t="shared" si="94"/>
        <v>0</v>
      </c>
      <c r="V116" s="185">
        <f t="shared" si="95"/>
        <v>0</v>
      </c>
      <c r="W116" s="185">
        <f t="shared" si="96"/>
        <v>0</v>
      </c>
      <c r="X116" s="185">
        <f t="shared" si="97"/>
        <v>0</v>
      </c>
      <c r="Y116" s="185">
        <f t="shared" si="98"/>
        <v>0</v>
      </c>
      <c r="Z116" s="196">
        <f t="shared" ca="1" si="99"/>
        <v>3205</v>
      </c>
      <c r="AA116" s="185" t="str">
        <f t="shared" si="100"/>
        <v>Offererad produktnr. 08Qlosr Göteborg AB</v>
      </c>
      <c r="AB116" s="185" t="b">
        <f>IF(D100="",TRUE,IF(COUNTIF(Processor!$M$2:$M$3,D100)=0,IF(AN116=D100,TRUE,FALSE),IF(COUNTIF(AN116,INDEX(Processor!$N$2:$N$3,MATCH(Surfplattor!D100,Processor!$M$2:$M$3,0)))&gt;0,TRUE,FALSE)))</f>
        <v>1</v>
      </c>
      <c r="AC116" s="185" t="b">
        <f>IF($D$101="",TRUE,IF(COUNTIF(Processor!$I$2:$I$9,$D$101)&gt;0,AND(AO116&gt;INDEX(Processor!$J$2:$J$9,MATCH($D$101,Processor!$I$2:$I$9,0)),AO116&lt;INDEX(Processor!$K$2:$K$9,MATCH($D$101,Processor!$I$2:$I$9,0))),IF(AO116=$D$101,TRUE,FALSE)))</f>
        <v>1</v>
      </c>
      <c r="AD116" s="185" t="b">
        <f t="shared" si="101"/>
        <v>1</v>
      </c>
      <c r="AE116" s="185" t="b">
        <f t="shared" si="102"/>
        <v>1</v>
      </c>
      <c r="AF116" s="185" t="b">
        <f t="shared" si="103"/>
        <v>1</v>
      </c>
      <c r="AG116" s="185" t="b">
        <f t="shared" si="104"/>
        <v>1</v>
      </c>
      <c r="AH116" s="185" t="b">
        <f>IF($D$106="",TRUE,IF(INDEX(Processor!$C$14:$C$20,MATCH(LEFT(AT116,10)&amp;"",Processor!$A$14:$A$20,0))&gt;=INDEX(Processor!$C$14:$C$20,MATCH(LEFT($D$106,10)&amp;"",Processor!$A$14:$A$20,0)),TRUE,FALSE))</f>
        <v>1</v>
      </c>
      <c r="AI116" s="185" t="b">
        <f t="shared" si="105"/>
        <v>1</v>
      </c>
      <c r="AJ116" s="185"/>
      <c r="AK116" s="185"/>
      <c r="AL116" s="185" t="s">
        <v>559</v>
      </c>
      <c r="AM116" s="185">
        <v>1</v>
      </c>
      <c r="AN116" s="185" t="str">
        <f t="shared" ca="1" si="112"/>
        <v>iPadOS 15</v>
      </c>
      <c r="AO116" s="185">
        <f t="shared" ca="1" si="112"/>
        <v>10.199999999999999</v>
      </c>
      <c r="AP116" s="185" t="str">
        <f t="shared" ca="1" si="112"/>
        <v>2160x1620</v>
      </c>
      <c r="AQ116" s="185">
        <f t="shared" ca="1" si="112"/>
        <v>64</v>
      </c>
      <c r="AR116" s="185">
        <f t="shared" ca="1" si="112"/>
        <v>4.2</v>
      </c>
      <c r="AS116" s="185" t="str">
        <f t="shared" ca="1" si="112"/>
        <v>802.11a/b/g/n/ac</v>
      </c>
      <c r="AT116" s="185">
        <f t="shared" ca="1" si="112"/>
        <v>10</v>
      </c>
      <c r="AU116" s="185" t="str">
        <f t="shared" ca="1" si="112"/>
        <v>Ej miljömärkt</v>
      </c>
      <c r="AV116" s="185" t="str">
        <f t="shared" ca="1" si="112"/>
        <v>802.11a/b/g/n/ac</v>
      </c>
      <c r="AW116" s="185">
        <f t="shared" ca="1" si="112"/>
        <v>4.2</v>
      </c>
      <c r="AX116" s="185">
        <f t="shared" ca="1" si="113"/>
        <v>10</v>
      </c>
      <c r="AY116" s="185" t="str">
        <f t="shared" ca="1" si="113"/>
        <v>iPad 9th gen (2021)</v>
      </c>
      <c r="AZ116" s="185">
        <f t="shared" ca="1" si="113"/>
        <v>0</v>
      </c>
      <c r="BA116" s="185" t="str">
        <f t="shared" ca="1" si="113"/>
        <v>iPadOS 15</v>
      </c>
      <c r="BB116" s="185">
        <f t="shared" ca="1" si="113"/>
        <v>3205</v>
      </c>
      <c r="BC116" s="185">
        <f t="shared" ca="1" si="113"/>
        <v>3205</v>
      </c>
      <c r="BD116" s="192" t="str">
        <f t="shared" ca="1" si="113"/>
        <v>Otterbox Defender Series</v>
      </c>
      <c r="BE116" s="192" t="str">
        <f t="shared" ca="1" si="113"/>
        <v>ZAGG</v>
      </c>
      <c r="BF116" s="192" t="str">
        <f t="shared" ca="1" si="113"/>
        <v>Belkin</v>
      </c>
      <c r="BG116" s="192" t="str">
        <f t="shared" ca="1" si="113"/>
        <v>DELTACO</v>
      </c>
      <c r="BH116" s="192" t="str">
        <f t="shared" ca="1" si="114"/>
        <v>Apple</v>
      </c>
      <c r="BI116" s="192" t="str">
        <f t="shared" ca="1" si="114"/>
        <v>GBX77-62032</v>
      </c>
      <c r="BJ116" s="192" t="str">
        <f t="shared" ca="1" si="114"/>
        <v>gbx200106077</v>
      </c>
      <c r="BK116" s="192" t="str">
        <f t="shared" ca="1" si="114"/>
        <v>GBXWCA003VF04WH</v>
      </c>
      <c r="BL116" s="192" t="str">
        <f t="shared" ca="1" si="114"/>
        <v>GBX TB-631</v>
      </c>
      <c r="BM116" s="192" t="str">
        <f t="shared" ca="1" si="114"/>
        <v>MK0C2ZM/A</v>
      </c>
      <c r="BN116" s="192">
        <f t="shared" ca="1" si="114"/>
        <v>460</v>
      </c>
      <c r="BO116" s="185">
        <f t="shared" ca="1" si="114"/>
        <v>189</v>
      </c>
      <c r="BP116" s="192">
        <f t="shared" ca="1" si="114"/>
        <v>279</v>
      </c>
      <c r="BQ116" s="192">
        <f t="shared" ca="1" si="114"/>
        <v>150</v>
      </c>
      <c r="BR116" s="192">
        <f t="shared" ca="1" si="114"/>
        <v>839</v>
      </c>
      <c r="BS116" s="185">
        <f t="shared" ca="1" si="114"/>
        <v>514</v>
      </c>
      <c r="BT116" s="185">
        <f t="shared" ca="1" si="114"/>
        <v>25</v>
      </c>
      <c r="BU116" s="185">
        <f t="shared" ca="1" si="114"/>
        <v>25</v>
      </c>
      <c r="BV116" s="185">
        <f t="shared" ca="1" si="114"/>
        <v>0</v>
      </c>
      <c r="BW116" s="185"/>
      <c r="BX116" s="185"/>
      <c r="BY116" s="185" t="str">
        <f t="shared" ca="1" si="109"/>
        <v>Qlosr Göteborg AB</v>
      </c>
      <c r="BZ116" s="185" t="str">
        <f t="shared" ca="1" si="109"/>
        <v>Apple</v>
      </c>
      <c r="CA116" s="63"/>
      <c r="CB116" s="63"/>
      <c r="CC116" s="63"/>
      <c r="CD116" s="63"/>
      <c r="CE116" s="63"/>
      <c r="CF116" s="63"/>
      <c r="CG116" s="63"/>
      <c r="CH116" s="63"/>
      <c r="CI116" s="63"/>
      <c r="CJ116" s="63"/>
      <c r="CK116" s="63"/>
      <c r="CL116" s="63"/>
      <c r="CM116" s="63"/>
      <c r="CN116" s="63"/>
    </row>
    <row r="117" spans="2:92" ht="30" customHeight="1" outlineLevel="1" x14ac:dyDescent="0.35">
      <c r="B117" s="69" t="s">
        <v>342</v>
      </c>
      <c r="C117" s="96" t="s">
        <v>51</v>
      </c>
      <c r="D117" s="131" t="str">
        <f>IF("Ska Ingå"=D116,"Ska Ingå","")</f>
        <v/>
      </c>
      <c r="F117" s="84" t="str">
        <f t="shared" si="115"/>
        <v/>
      </c>
      <c r="G117" s="85" t="str">
        <f t="shared" ca="1" si="116"/>
        <v>Lenovo</v>
      </c>
      <c r="H117" s="85" t="str">
        <f t="shared" ca="1" si="116"/>
        <v>CoreParts</v>
      </c>
      <c r="I117" s="85" t="str">
        <f t="shared" ca="1" si="116"/>
        <v>Belkin</v>
      </c>
      <c r="J117" s="73"/>
      <c r="Q117" s="185">
        <f t="shared" si="90"/>
        <v>0</v>
      </c>
      <c r="R117" s="185">
        <f t="shared" si="91"/>
        <v>0</v>
      </c>
      <c r="S117" s="185">
        <f t="shared" si="92"/>
        <v>0</v>
      </c>
      <c r="T117" s="185">
        <f t="shared" si="93"/>
        <v>0</v>
      </c>
      <c r="U117" s="185">
        <f t="shared" si="94"/>
        <v>0</v>
      </c>
      <c r="V117" s="185">
        <f t="shared" si="95"/>
        <v>0</v>
      </c>
      <c r="W117" s="185">
        <f t="shared" si="96"/>
        <v>0</v>
      </c>
      <c r="X117" s="185">
        <f t="shared" si="97"/>
        <v>0</v>
      </c>
      <c r="Y117" s="185">
        <f t="shared" si="98"/>
        <v>0</v>
      </c>
      <c r="Z117" s="196">
        <f t="shared" ca="1" si="99"/>
        <v>7256</v>
      </c>
      <c r="AA117" s="185" t="str">
        <f t="shared" si="100"/>
        <v>Offererad produktnr. 09Qlosr Göteborg AB</v>
      </c>
      <c r="AB117" s="185" t="b">
        <f>IF(D100="",TRUE,IF(COUNTIF(Processor!$M$2:$M$3,D100)=0,IF(AN117=D100,TRUE,FALSE),IF(COUNTIF(AN117,INDEX(Processor!$N$2:$N$3,MATCH(Surfplattor!D100,Processor!$M$2:$M$3,0)))&gt;0,TRUE,FALSE)))</f>
        <v>1</v>
      </c>
      <c r="AC117" s="185" t="b">
        <f>IF($D$101="",TRUE,IF(COUNTIF(Processor!$I$2:$I$9,$D$101)&gt;0,AND(AO117&gt;INDEX(Processor!$J$2:$J$9,MATCH($D$101,Processor!$I$2:$I$9,0)),AO117&lt;INDEX(Processor!$K$2:$K$9,MATCH($D$101,Processor!$I$2:$I$9,0))),IF(AO117=$D$101,TRUE,FALSE)))</f>
        <v>1</v>
      </c>
      <c r="AD117" s="185" t="b">
        <f t="shared" si="101"/>
        <v>1</v>
      </c>
      <c r="AE117" s="185" t="b">
        <f t="shared" si="102"/>
        <v>1</v>
      </c>
      <c r="AF117" s="185" t="b">
        <f t="shared" si="103"/>
        <v>1</v>
      </c>
      <c r="AG117" s="185" t="b">
        <f t="shared" si="104"/>
        <v>1</v>
      </c>
      <c r="AH117" s="185" t="b">
        <f>IF($D$106="",TRUE,IF(INDEX(Processor!$C$14:$C$20,MATCH(LEFT(AT117,10)&amp;"",Processor!$A$14:$A$20,0))&gt;=INDEX(Processor!$C$14:$C$20,MATCH(LEFT($D$106,10)&amp;"",Processor!$A$14:$A$20,0)),TRUE,FALSE))</f>
        <v>1</v>
      </c>
      <c r="AI117" s="185" t="b">
        <f t="shared" si="105"/>
        <v>1</v>
      </c>
      <c r="AJ117" s="185"/>
      <c r="AK117" s="185"/>
      <c r="AL117" s="185" t="s">
        <v>560</v>
      </c>
      <c r="AM117" s="185">
        <v>1</v>
      </c>
      <c r="AN117" s="185" t="str">
        <f t="shared" ca="1" si="112"/>
        <v>iPadOS 14</v>
      </c>
      <c r="AO117" s="185">
        <f t="shared" ca="1" si="112"/>
        <v>11</v>
      </c>
      <c r="AP117" s="185" t="str">
        <f t="shared" ca="1" si="112"/>
        <v>2388x1668</v>
      </c>
      <c r="AQ117" s="185">
        <f t="shared" ca="1" si="112"/>
        <v>128</v>
      </c>
      <c r="AR117" s="185">
        <f t="shared" ca="1" si="112"/>
        <v>5</v>
      </c>
      <c r="AS117" s="185" t="str">
        <f t="shared" ca="1" si="112"/>
        <v>802.11a/b/g/n/ac/ax</v>
      </c>
      <c r="AT117" s="185">
        <f t="shared" ca="1" si="112"/>
        <v>10</v>
      </c>
      <c r="AU117" s="185" t="str">
        <f t="shared" ca="1" si="112"/>
        <v>Ej miljömärkt</v>
      </c>
      <c r="AV117" s="185" t="str">
        <f t="shared" ca="1" si="112"/>
        <v>802.11a/b/g/n/ac/ax</v>
      </c>
      <c r="AW117" s="185">
        <f t="shared" ca="1" si="112"/>
        <v>5</v>
      </c>
      <c r="AX117" s="185">
        <f t="shared" ca="1" si="113"/>
        <v>10</v>
      </c>
      <c r="AY117" s="185" t="str">
        <f t="shared" ca="1" si="113"/>
        <v>Ipad Pro 11 tum</v>
      </c>
      <c r="AZ117" s="185">
        <f t="shared" ca="1" si="113"/>
        <v>0</v>
      </c>
      <c r="BA117" s="185" t="str">
        <f t="shared" ca="1" si="113"/>
        <v>iPadOS 14</v>
      </c>
      <c r="BB117" s="185">
        <f t="shared" ca="1" si="113"/>
        <v>7256</v>
      </c>
      <c r="BC117" s="185">
        <f t="shared" ca="1" si="113"/>
        <v>7256</v>
      </c>
      <c r="BD117" s="192" t="str">
        <f t="shared" ca="1" si="113"/>
        <v>Otterbox Defender Series</v>
      </c>
      <c r="BE117" s="192" t="str">
        <f t="shared" ca="1" si="113"/>
        <v>ZAGG</v>
      </c>
      <c r="BF117" s="192" t="str">
        <f t="shared" ca="1" si="113"/>
        <v>Belkin</v>
      </c>
      <c r="BG117" s="192" t="str">
        <f t="shared" ca="1" si="113"/>
        <v>DELTACO</v>
      </c>
      <c r="BH117" s="192" t="str">
        <f t="shared" ca="1" si="114"/>
        <v>Apple</v>
      </c>
      <c r="BI117" s="192" t="str">
        <f t="shared" ca="1" si="114"/>
        <v>GBX77-82261</v>
      </c>
      <c r="BJ117" s="192" t="str">
        <f t="shared" ca="1" si="114"/>
        <v>GBX200108138</v>
      </c>
      <c r="BK117" s="192" t="str">
        <f t="shared" ca="1" si="114"/>
        <v>GBXF7U074vf04-SLV</v>
      </c>
      <c r="BL117" s="192" t="str">
        <f t="shared" ca="1" si="114"/>
        <v>GBX TB-631</v>
      </c>
      <c r="BM117" s="192" t="str">
        <f t="shared" ca="1" si="114"/>
        <v>MU8F2ZM/A</v>
      </c>
      <c r="BN117" s="192">
        <f t="shared" ca="1" si="114"/>
        <v>435</v>
      </c>
      <c r="BO117" s="185">
        <f t="shared" ca="1" si="114"/>
        <v>179</v>
      </c>
      <c r="BP117" s="192">
        <f t="shared" ca="1" si="114"/>
        <v>355</v>
      </c>
      <c r="BQ117" s="192">
        <f t="shared" ca="1" si="114"/>
        <v>150</v>
      </c>
      <c r="BR117" s="192">
        <f t="shared" ca="1" si="114"/>
        <v>1145</v>
      </c>
      <c r="BS117" s="185">
        <f t="shared" ca="1" si="114"/>
        <v>724</v>
      </c>
      <c r="BT117" s="185">
        <f t="shared" ca="1" si="114"/>
        <v>25</v>
      </c>
      <c r="BU117" s="185">
        <f t="shared" ca="1" si="114"/>
        <v>25</v>
      </c>
      <c r="BV117" s="185">
        <f t="shared" ca="1" si="114"/>
        <v>0</v>
      </c>
      <c r="BW117" s="185"/>
      <c r="BX117" s="185"/>
      <c r="BY117" s="185" t="str">
        <f t="shared" ca="1" si="109"/>
        <v>Qlosr Göteborg AB</v>
      </c>
      <c r="BZ117" s="185" t="str">
        <f t="shared" ca="1" si="109"/>
        <v>Apple</v>
      </c>
      <c r="CA117" s="63"/>
      <c r="CB117" s="63"/>
      <c r="CC117" s="63"/>
      <c r="CD117" s="63"/>
      <c r="CE117" s="63"/>
      <c r="CF117" s="63"/>
      <c r="CG117" s="63"/>
      <c r="CH117" s="63"/>
      <c r="CI117" s="63"/>
      <c r="CJ117" s="63"/>
      <c r="CK117" s="63"/>
      <c r="CL117" s="63"/>
      <c r="CM117" s="63"/>
      <c r="CN117" s="63"/>
    </row>
    <row r="118" spans="2:92" ht="67.5" customHeight="1" outlineLevel="1" x14ac:dyDescent="0.35">
      <c r="B118" s="69" t="s">
        <v>347</v>
      </c>
      <c r="C118" s="97" t="s">
        <v>52</v>
      </c>
      <c r="D118" s="132" t="str">
        <f>IF("Ska Ingå"=D116,"Ska Ingå","")</f>
        <v/>
      </c>
      <c r="F118" s="86" t="str">
        <f t="shared" si="115"/>
        <v/>
      </c>
      <c r="G118" s="87" t="str">
        <f t="shared" ca="1" si="116"/>
        <v>GBXLENCHARGE</v>
      </c>
      <c r="H118" s="87" t="str">
        <f t="shared" ca="1" si="116"/>
        <v>MBXUSB-AC0011 - Strömadapter - 12 Watt - 2.4 A (USB) - på kabel: USB-C - vit - med USB-C cable (2m)</v>
      </c>
      <c r="I118" s="87" t="str">
        <f t="shared" ca="1" si="116"/>
        <v>GBXWCA003VF04WH</v>
      </c>
      <c r="J118" s="54"/>
      <c r="Q118" s="185">
        <f t="shared" si="90"/>
        <v>0</v>
      </c>
      <c r="R118" s="185">
        <f t="shared" si="91"/>
        <v>0</v>
      </c>
      <c r="S118" s="185">
        <f t="shared" si="92"/>
        <v>0</v>
      </c>
      <c r="T118" s="185">
        <f t="shared" si="93"/>
        <v>0</v>
      </c>
      <c r="U118" s="185">
        <f t="shared" si="94"/>
        <v>0</v>
      </c>
      <c r="V118" s="185">
        <f t="shared" si="95"/>
        <v>0</v>
      </c>
      <c r="W118" s="185">
        <f t="shared" si="96"/>
        <v>0</v>
      </c>
      <c r="X118" s="185">
        <f t="shared" si="97"/>
        <v>0</v>
      </c>
      <c r="Y118" s="185">
        <f t="shared" si="98"/>
        <v>0</v>
      </c>
      <c r="Z118" s="196">
        <f t="shared" ca="1" si="99"/>
        <v>4710</v>
      </c>
      <c r="AA118" s="185" t="str">
        <f t="shared" si="100"/>
        <v>Offererad produktnr. 10Qlosr Göteborg AB</v>
      </c>
      <c r="AB118" s="185" t="b">
        <f>IF(D100="",TRUE,IF(COUNTIF(Processor!$M$2:$M$3,D100)=0,IF(AN118=D100,TRUE,FALSE),IF(COUNTIF(AN118,INDEX(Processor!$N$2:$N$3,MATCH(Surfplattor!D100,Processor!$M$2:$M$3,0)))&gt;0,TRUE,FALSE)))</f>
        <v>1</v>
      </c>
      <c r="AC118" s="185" t="b">
        <f>IF($D$101="",TRUE,IF(COUNTIF(Processor!$I$2:$I$9,$D$101)&gt;0,AND(AO118&gt;INDEX(Processor!$J$2:$J$9,MATCH($D$101,Processor!$I$2:$I$9,0)),AO118&lt;INDEX(Processor!$K$2:$K$9,MATCH($D$101,Processor!$I$2:$I$9,0))),IF(AO118=$D$101,TRUE,FALSE)))</f>
        <v>1</v>
      </c>
      <c r="AD118" s="185" t="b">
        <f t="shared" si="101"/>
        <v>1</v>
      </c>
      <c r="AE118" s="185" t="b">
        <f t="shared" si="102"/>
        <v>1</v>
      </c>
      <c r="AF118" s="185" t="b">
        <f t="shared" si="103"/>
        <v>1</v>
      </c>
      <c r="AG118" s="185" t="b">
        <f t="shared" si="104"/>
        <v>1</v>
      </c>
      <c r="AH118" s="185" t="b">
        <f>IF($D$106="",TRUE,IF(INDEX(Processor!$C$14:$C$20,MATCH(LEFT(AT118,10)&amp;"",Processor!$A$14:$A$20,0))&gt;=INDEX(Processor!$C$14:$C$20,MATCH(LEFT($D$106,10)&amp;"",Processor!$A$14:$A$20,0)),TRUE,FALSE))</f>
        <v>1</v>
      </c>
      <c r="AI118" s="185" t="b">
        <f t="shared" si="105"/>
        <v>1</v>
      </c>
      <c r="AJ118" s="185"/>
      <c r="AK118" s="185"/>
      <c r="AL118" s="185" t="s">
        <v>561</v>
      </c>
      <c r="AM118" s="185">
        <v>1</v>
      </c>
      <c r="AN118" s="185" t="str">
        <f t="shared" ca="1" si="112"/>
        <v>Android 10</v>
      </c>
      <c r="AO118" s="185">
        <f t="shared" ca="1" si="112"/>
        <v>11.5</v>
      </c>
      <c r="AP118" s="185" t="str">
        <f t="shared" ca="1" si="112"/>
        <v>2560x1600</v>
      </c>
      <c r="AQ118" s="185">
        <f t="shared" ca="1" si="112"/>
        <v>128</v>
      </c>
      <c r="AR118" s="185">
        <f t="shared" ca="1" si="112"/>
        <v>5</v>
      </c>
      <c r="AS118" s="185" t="str">
        <f t="shared" ca="1" si="112"/>
        <v>802.11a/b/g/n/ac</v>
      </c>
      <c r="AT118" s="185">
        <f t="shared" ca="1" si="112"/>
        <v>8</v>
      </c>
      <c r="AU118" s="185" t="str">
        <f t="shared" ca="1" si="112"/>
        <v>Ej miljömärkt</v>
      </c>
      <c r="AV118" s="185" t="str">
        <f t="shared" ca="1" si="112"/>
        <v>802.11a/b/g/n/ac</v>
      </c>
      <c r="AW118" s="185">
        <f t="shared" ca="1" si="112"/>
        <v>5</v>
      </c>
      <c r="AX118" s="185">
        <f t="shared" ca="1" si="113"/>
        <v>8</v>
      </c>
      <c r="AY118" s="185" t="str">
        <f t="shared" ca="1" si="113"/>
        <v>Lenovo Tab P11 Pro ZA7C 128GB</v>
      </c>
      <c r="AZ118" s="185">
        <f t="shared" ca="1" si="113"/>
        <v>0</v>
      </c>
      <c r="BA118" s="185" t="str">
        <f t="shared" ca="1" si="113"/>
        <v>Android 10</v>
      </c>
      <c r="BB118" s="185">
        <f t="shared" ca="1" si="113"/>
        <v>4710</v>
      </c>
      <c r="BC118" s="185">
        <f t="shared" ca="1" si="113"/>
        <v>4710</v>
      </c>
      <c r="BD118" s="192" t="str">
        <f t="shared" ca="1" si="113"/>
        <v>Phonelife</v>
      </c>
      <c r="BE118" s="192" t="str">
        <f t="shared" ca="1" si="113"/>
        <v>Lenovo</v>
      </c>
      <c r="BF118" s="192" t="str">
        <f t="shared" ca="1" si="113"/>
        <v>Lenovo</v>
      </c>
      <c r="BG118" s="192" t="str">
        <f t="shared" ca="1" si="113"/>
        <v>DELTACO</v>
      </c>
      <c r="BH118" s="192" t="str">
        <f t="shared" ca="1" si="114"/>
        <v>Kecow</v>
      </c>
      <c r="BI118" s="192" t="str">
        <f t="shared" ca="1" si="114"/>
        <v>GBXRUGGEDLENTAB-V2</v>
      </c>
      <c r="BJ118" s="192" t="str">
        <f t="shared" ca="1" si="114"/>
        <v>GBXLENFILM</v>
      </c>
      <c r="BK118" s="192" t="str">
        <f t="shared" ca="1" si="114"/>
        <v>GBXLENCHARGE</v>
      </c>
      <c r="BL118" s="192" t="str">
        <f t="shared" ca="1" si="114"/>
        <v>GBX TB-631</v>
      </c>
      <c r="BM118" s="192" t="str">
        <f t="shared" ca="1" si="114"/>
        <v>GBXPP2PENMAGNETIC</v>
      </c>
      <c r="BN118" s="192">
        <f t="shared" ca="1" si="114"/>
        <v>330</v>
      </c>
      <c r="BO118" s="185">
        <f t="shared" ca="1" si="114"/>
        <v>180</v>
      </c>
      <c r="BP118" s="192">
        <f t="shared" ca="1" si="114"/>
        <v>220</v>
      </c>
      <c r="BQ118" s="192">
        <f t="shared" ca="1" si="114"/>
        <v>150</v>
      </c>
      <c r="BR118" s="192">
        <f t="shared" ca="1" si="114"/>
        <v>399</v>
      </c>
      <c r="BS118" s="185">
        <f t="shared" ca="1" si="114"/>
        <v>560</v>
      </c>
      <c r="BT118" s="185">
        <f t="shared" ca="1" si="114"/>
        <v>25</v>
      </c>
      <c r="BU118" s="185">
        <f t="shared" ca="1" si="114"/>
        <v>25</v>
      </c>
      <c r="BV118" s="185">
        <f t="shared" ca="1" si="114"/>
        <v>0</v>
      </c>
      <c r="BW118" s="185"/>
      <c r="BX118" s="185"/>
      <c r="BY118" s="185" t="str">
        <f t="shared" ca="1" si="109"/>
        <v>Qlosr Göteborg AB</v>
      </c>
      <c r="BZ118" s="185" t="str">
        <f t="shared" ca="1" si="109"/>
        <v>Lenovo</v>
      </c>
      <c r="CA118" s="63"/>
      <c r="CB118" s="63"/>
      <c r="CC118" s="63"/>
      <c r="CD118" s="63"/>
      <c r="CE118" s="63"/>
      <c r="CF118" s="63"/>
      <c r="CG118" s="63"/>
      <c r="CH118" s="63"/>
      <c r="CI118" s="63"/>
      <c r="CJ118" s="63"/>
      <c r="CK118" s="63"/>
      <c r="CL118" s="63"/>
      <c r="CM118" s="63"/>
      <c r="CN118" s="63"/>
    </row>
    <row r="119" spans="2:92" ht="30" customHeight="1" outlineLevel="1" x14ac:dyDescent="0.35">
      <c r="B119" s="69" t="s">
        <v>59</v>
      </c>
      <c r="C119" s="98" t="s">
        <v>374</v>
      </c>
      <c r="D119" s="70"/>
      <c r="F119" s="157" t="str">
        <f t="shared" si="115"/>
        <v/>
      </c>
      <c r="G119" s="158">
        <f t="shared" ca="1" si="116"/>
        <v>150</v>
      </c>
      <c r="H119" s="158">
        <f t="shared" ca="1" si="116"/>
        <v>169</v>
      </c>
      <c r="I119" s="158">
        <f t="shared" ca="1" si="116"/>
        <v>150</v>
      </c>
      <c r="J119" s="73"/>
      <c r="BD119" s="63"/>
      <c r="BE119" s="63"/>
      <c r="BF119" s="63"/>
      <c r="BG119" s="63"/>
      <c r="BH119" s="63"/>
      <c r="BI119" s="63"/>
      <c r="BJ119" s="63"/>
      <c r="BK119" s="63"/>
      <c r="BL119" s="63"/>
      <c r="BM119" s="63"/>
      <c r="BN119" s="63"/>
      <c r="BP119" s="63"/>
      <c r="BQ119" s="63"/>
      <c r="BR119" s="63"/>
    </row>
    <row r="120" spans="2:92" ht="30" customHeight="1" outlineLevel="1" x14ac:dyDescent="0.35">
      <c r="B120" s="69" t="s">
        <v>343</v>
      </c>
      <c r="C120" s="61" t="s">
        <v>51</v>
      </c>
      <c r="D120" s="131" t="str">
        <f>IF("Ska Ingå"=D119,"Ska Ingå","")</f>
        <v/>
      </c>
      <c r="F120" s="88" t="str">
        <f t="shared" si="115"/>
        <v/>
      </c>
      <c r="G120" s="89" t="str">
        <f t="shared" ca="1" si="116"/>
        <v>DELTACO</v>
      </c>
      <c r="H120" s="89" t="str">
        <f t="shared" ca="1" si="116"/>
        <v>DELTACO</v>
      </c>
      <c r="I120" s="89" t="str">
        <f t="shared" ca="1" si="116"/>
        <v>DELTACO</v>
      </c>
      <c r="J120" s="54"/>
      <c r="BD120" s="63"/>
      <c r="BE120" s="63"/>
      <c r="BF120" s="63"/>
      <c r="BG120" s="63"/>
      <c r="BH120" s="63"/>
      <c r="BI120" s="63"/>
      <c r="BJ120" s="63"/>
      <c r="BK120" s="63"/>
      <c r="BL120" s="63"/>
      <c r="BM120" s="63"/>
      <c r="BN120" s="63"/>
      <c r="BP120" s="63"/>
      <c r="BQ120" s="63"/>
      <c r="BR120" s="63"/>
    </row>
    <row r="121" spans="2:92" ht="45" customHeight="1" outlineLevel="1" x14ac:dyDescent="0.35">
      <c r="B121" s="69" t="s">
        <v>348</v>
      </c>
      <c r="C121" s="99" t="s">
        <v>52</v>
      </c>
      <c r="D121" s="132" t="str">
        <f>IF("Ska Ingå"=D119,"Ska Ingå","")</f>
        <v/>
      </c>
      <c r="F121" s="90" t="str">
        <f t="shared" si="115"/>
        <v/>
      </c>
      <c r="G121" s="91" t="str">
        <f t="shared" ca="1" si="116"/>
        <v>GBX TB-631</v>
      </c>
      <c r="H121" s="91" t="str">
        <f t="shared" ca="1" si="116"/>
        <v>TB-631</v>
      </c>
      <c r="I121" s="91" t="str">
        <f t="shared" ca="1" si="116"/>
        <v>GBX TB-631</v>
      </c>
      <c r="BD121" s="63"/>
      <c r="BE121" s="63"/>
      <c r="BF121" s="63"/>
      <c r="BG121" s="63"/>
      <c r="BH121" s="63"/>
      <c r="BI121" s="63"/>
      <c r="BJ121" s="63"/>
      <c r="BK121" s="63"/>
      <c r="BL121" s="63"/>
      <c r="BM121" s="63"/>
      <c r="BN121" s="63"/>
      <c r="BP121" s="63"/>
      <c r="BQ121" s="63"/>
      <c r="BR121" s="63"/>
    </row>
    <row r="122" spans="2:92" ht="30" customHeight="1" outlineLevel="1" x14ac:dyDescent="0.35">
      <c r="B122" s="69" t="s">
        <v>227</v>
      </c>
      <c r="C122" s="95" t="s">
        <v>375</v>
      </c>
      <c r="D122" s="70"/>
      <c r="F122" s="159" t="str">
        <f t="shared" si="115"/>
        <v/>
      </c>
      <c r="G122" s="160">
        <f t="shared" ca="1" si="116"/>
        <v>399</v>
      </c>
      <c r="H122" s="160">
        <f t="shared" ca="1" si="116"/>
        <v>595</v>
      </c>
      <c r="I122" s="160">
        <f t="shared" ca="1" si="116"/>
        <v>839</v>
      </c>
      <c r="BD122" s="63"/>
      <c r="BE122" s="63"/>
      <c r="BF122" s="63"/>
      <c r="BG122" s="63"/>
      <c r="BH122" s="63"/>
      <c r="BI122" s="63"/>
      <c r="BJ122" s="63"/>
      <c r="BK122" s="63"/>
      <c r="BL122" s="63"/>
      <c r="BM122" s="63"/>
      <c r="BN122" s="63"/>
      <c r="BP122" s="63"/>
      <c r="BQ122" s="63"/>
      <c r="BR122" s="63"/>
    </row>
    <row r="123" spans="2:92" ht="30" customHeight="1" outlineLevel="1" x14ac:dyDescent="0.35">
      <c r="B123" s="69" t="s">
        <v>344</v>
      </c>
      <c r="C123" s="96" t="s">
        <v>51</v>
      </c>
      <c r="D123" s="131" t="str">
        <f>IF("Ska Ingå"=D122,"Ska Ingå","")</f>
        <v/>
      </c>
      <c r="F123" s="84" t="str">
        <f t="shared" si="115"/>
        <v/>
      </c>
      <c r="G123" s="85" t="str">
        <f t="shared" ca="1" si="116"/>
        <v>Kecow</v>
      </c>
      <c r="H123" s="85" t="str">
        <f t="shared" ca="1" si="116"/>
        <v xml:space="preserve">ZAGG </v>
      </c>
      <c r="I123" s="85" t="str">
        <f t="shared" ca="1" si="116"/>
        <v>Apple</v>
      </c>
      <c r="BD123" s="63"/>
      <c r="BE123" s="63"/>
      <c r="BF123" s="63"/>
      <c r="BG123" s="63"/>
      <c r="BH123" s="63"/>
      <c r="BI123" s="63"/>
      <c r="BJ123" s="63"/>
      <c r="BK123" s="63"/>
      <c r="BL123" s="63"/>
      <c r="BM123" s="63"/>
      <c r="BN123" s="63"/>
      <c r="BP123" s="63"/>
      <c r="BQ123" s="63"/>
      <c r="BR123" s="63"/>
    </row>
    <row r="124" spans="2:92" ht="67.5" customHeight="1" outlineLevel="1" x14ac:dyDescent="0.35">
      <c r="B124" s="69" t="s">
        <v>349</v>
      </c>
      <c r="C124" s="116" t="s">
        <v>52</v>
      </c>
      <c r="D124" s="132" t="str">
        <f>IF("Ska Ingå"=D122,"Ska Ingå","")</f>
        <v/>
      </c>
      <c r="F124" s="117" t="str">
        <f t="shared" si="115"/>
        <v/>
      </c>
      <c r="G124" s="118" t="str">
        <f t="shared" ca="1" si="116"/>
        <v>GBXPP2PENMAGNETIC</v>
      </c>
      <c r="H124" s="118" t="str">
        <f t="shared" ca="1" si="116"/>
        <v>109912139 - Pro Stylus 2 - Aktiv penna - grå</v>
      </c>
      <c r="I124" s="118" t="str">
        <f t="shared" ca="1" si="116"/>
        <v>MK0C2ZM/A</v>
      </c>
      <c r="BD124" s="63"/>
      <c r="BE124" s="63"/>
      <c r="BF124" s="63"/>
      <c r="BG124" s="63"/>
      <c r="BH124" s="63"/>
      <c r="BI124" s="63"/>
      <c r="BJ124" s="63"/>
      <c r="BK124" s="63"/>
      <c r="BL124" s="63"/>
      <c r="BM124" s="63"/>
      <c r="BN124" s="63"/>
      <c r="BP124" s="63"/>
      <c r="BQ124" s="63"/>
      <c r="BR124" s="63"/>
    </row>
    <row r="125" spans="2:92" ht="22.5" customHeight="1" outlineLevel="1" x14ac:dyDescent="0.35">
      <c r="B125" s="69"/>
      <c r="C125" s="212" t="s">
        <v>365</v>
      </c>
      <c r="D125" s="215"/>
      <c r="E125" s="213"/>
      <c r="F125" s="213"/>
      <c r="G125" s="213"/>
      <c r="H125" s="213"/>
      <c r="I125" s="214"/>
    </row>
    <row r="126" spans="2:92" ht="22.5" customHeight="1" outlineLevel="1" x14ac:dyDescent="0.35">
      <c r="B126" s="71" t="s">
        <v>228</v>
      </c>
      <c r="C126" s="115" t="s">
        <v>367</v>
      </c>
      <c r="D126" s="70"/>
      <c r="F126" s="161" t="str">
        <f>IF(F$97="Inget antal angivet","",IFERROR(INDEX($AN$98:$BZ$124,MATCH(F$94,$AL$98:$AL$124,0),MATCH($B126,$AN$98:$BZ$98,0)),""))</f>
        <v/>
      </c>
      <c r="G126" s="162">
        <f t="shared" ref="G126:I128" ca="1" si="117">IFERROR(INDEX($AN$98:$BZ$124,MATCH(G$94,$AL$98:$AL$124,0),MATCH($B126,$AN$98:$BZ$98,0)),"")</f>
        <v>570</v>
      </c>
      <c r="H126" s="162">
        <f t="shared" ca="1" si="117"/>
        <v>781</v>
      </c>
      <c r="I126" s="162">
        <f t="shared" ca="1" si="117"/>
        <v>514</v>
      </c>
    </row>
    <row r="127" spans="2:92" ht="22.5" customHeight="1" outlineLevel="1" x14ac:dyDescent="0.35">
      <c r="B127" s="71" t="s">
        <v>229</v>
      </c>
      <c r="C127" s="61" t="s">
        <v>369</v>
      </c>
      <c r="D127" s="70"/>
      <c r="F127" s="165" t="str">
        <f>IF(F$97="Inget antal angivet","",IFERROR(INDEX($AN$98:$BZ$124,MATCH(F$94,$AL$98:$AL$124,0),MATCH($B127,$AN$98:$BZ$98,0)),""))</f>
        <v/>
      </c>
      <c r="G127" s="166">
        <f t="shared" ca="1" si="117"/>
        <v>25</v>
      </c>
      <c r="H127" s="166">
        <f t="shared" ca="1" si="117"/>
        <v>50</v>
      </c>
      <c r="I127" s="166">
        <f t="shared" ca="1" si="117"/>
        <v>25</v>
      </c>
    </row>
    <row r="128" spans="2:92" ht="22.5" customHeight="1" outlineLevel="1" x14ac:dyDescent="0.35">
      <c r="B128" s="71" t="s">
        <v>230</v>
      </c>
      <c r="C128" s="96" t="s">
        <v>370</v>
      </c>
      <c r="D128" s="70"/>
      <c r="F128" s="163" t="str">
        <f>IF(F$97="Inget antal angivet","",IFERROR(INDEX($AN$98:$BZ$124,MATCH(F$94,$AL$98:$AL$124,0),MATCH($B128,$AN$98:$BZ$98,0)),""))</f>
        <v/>
      </c>
      <c r="G128" s="164">
        <f t="shared" ca="1" si="117"/>
        <v>25</v>
      </c>
      <c r="H128" s="164">
        <f t="shared" ca="1" si="117"/>
        <v>50</v>
      </c>
      <c r="I128" s="164">
        <f t="shared" ca="1" si="117"/>
        <v>25</v>
      </c>
    </row>
    <row r="129" spans="2:92" ht="22.5" customHeight="1" outlineLevel="1" x14ac:dyDescent="0.35"/>
    <row r="130" spans="2:92" ht="22.5" customHeight="1" x14ac:dyDescent="0.35"/>
    <row r="131" spans="2:92" ht="22.5" customHeight="1" x14ac:dyDescent="0.35">
      <c r="D131" s="72" t="s">
        <v>233</v>
      </c>
      <c r="F131" s="221" t="s">
        <v>252</v>
      </c>
      <c r="G131" s="221"/>
      <c r="H131" s="221"/>
      <c r="I131" s="222"/>
    </row>
    <row r="132" spans="2:92" ht="22.5" customHeight="1" x14ac:dyDescent="0.35">
      <c r="D132" s="74"/>
      <c r="F132" s="202" t="str">
        <f ca="1">IFERROR(INDEX($Z$99:$Z$122,MATCH(F94,$AA$99:$AA$122,0))*D132,"")</f>
        <v/>
      </c>
      <c r="G132" s="202">
        <f ca="1">IFERROR(P99 *D132,"")</f>
        <v>0</v>
      </c>
      <c r="H132" s="202">
        <f ca="1">IFERROR(P100 *D132,"")</f>
        <v>0</v>
      </c>
      <c r="I132" s="202">
        <f ca="1">IFERROR(P101 * D132,"")</f>
        <v>0</v>
      </c>
    </row>
    <row r="134" spans="2:92" ht="15" thickBot="1" x14ac:dyDescent="0.4">
      <c r="C134" s="174"/>
      <c r="D134" s="174"/>
      <c r="E134" s="174"/>
      <c r="F134" s="174"/>
      <c r="G134" s="174"/>
      <c r="H134" s="174"/>
      <c r="I134" s="174"/>
    </row>
    <row r="135" spans="2:92" ht="15" thickTop="1" x14ac:dyDescent="0.35"/>
    <row r="137" spans="2:92" ht="71.25" customHeight="1" collapsed="1" x14ac:dyDescent="0.35">
      <c r="C137" s="53"/>
      <c r="D137" s="53"/>
      <c r="F137" s="50" t="e">
        <f ca="1">N141</f>
        <v>#N/A</v>
      </c>
      <c r="G137" s="50" t="str">
        <f ca="1">INDEX(AA142:AA167,MATCH(P142,Z142:Z167,0))</f>
        <v>Offererad produktnr. 07Qlosr Göteborg AB</v>
      </c>
      <c r="H137" s="50" t="str">
        <f ca="1">INDEX(AA141:AA166,MATCH(P143,Z141:Z166,0))</f>
        <v>Offererad produktnr. 07Advania Sverige AB</v>
      </c>
      <c r="I137" s="50" t="str">
        <f ca="1">INDEX(AA141:AA166,MATCH(P144,Z141:Z166,0))</f>
        <v>Offererad produktnr. 08Qlosr Göteborg AB</v>
      </c>
      <c r="AN137" s="12" t="s">
        <v>124</v>
      </c>
      <c r="AO137" s="12" t="s">
        <v>124</v>
      </c>
      <c r="AP137" s="12" t="s">
        <v>124</v>
      </c>
      <c r="AQ137" s="12" t="s">
        <v>124</v>
      </c>
      <c r="AR137" s="12" t="s">
        <v>124</v>
      </c>
      <c r="AS137" s="12" t="s">
        <v>124</v>
      </c>
      <c r="AT137" s="12" t="s">
        <v>124</v>
      </c>
      <c r="AU137" s="12" t="s">
        <v>124</v>
      </c>
      <c r="AV137" s="12" t="s">
        <v>124</v>
      </c>
      <c r="AW137" s="12" t="s">
        <v>124</v>
      </c>
      <c r="AX137" s="12" t="s">
        <v>124</v>
      </c>
      <c r="AY137" s="12" t="s">
        <v>124</v>
      </c>
      <c r="AZ137" s="12" t="s">
        <v>124</v>
      </c>
      <c r="BA137" s="12" t="s">
        <v>124</v>
      </c>
      <c r="BB137" s="12" t="s">
        <v>124</v>
      </c>
      <c r="BC137" s="12" t="s">
        <v>124</v>
      </c>
      <c r="BD137" s="12" t="s">
        <v>124</v>
      </c>
      <c r="BE137" s="12" t="s">
        <v>124</v>
      </c>
      <c r="BF137" s="12" t="s">
        <v>124</v>
      </c>
      <c r="BG137" s="12" t="s">
        <v>124</v>
      </c>
      <c r="BH137" s="12" t="s">
        <v>124</v>
      </c>
      <c r="BI137" s="12" t="s">
        <v>124</v>
      </c>
      <c r="BJ137" s="12" t="s">
        <v>124</v>
      </c>
      <c r="BK137" s="12" t="s">
        <v>124</v>
      </c>
      <c r="BL137" s="12" t="s">
        <v>124</v>
      </c>
      <c r="BM137" s="12" t="s">
        <v>124</v>
      </c>
      <c r="BN137" s="12" t="s">
        <v>124</v>
      </c>
      <c r="BO137" s="12" t="s">
        <v>124</v>
      </c>
      <c r="BP137" s="12" t="s">
        <v>124</v>
      </c>
      <c r="BQ137" s="12" t="s">
        <v>124</v>
      </c>
      <c r="BR137" s="12" t="s">
        <v>124</v>
      </c>
      <c r="BS137" s="12" t="s">
        <v>124</v>
      </c>
      <c r="BT137" s="12" t="s">
        <v>124</v>
      </c>
      <c r="BU137" s="12" t="s">
        <v>124</v>
      </c>
      <c r="BV137" s="12" t="s">
        <v>124</v>
      </c>
      <c r="BW137" s="12"/>
      <c r="BX137" s="12"/>
      <c r="BY137" s="12" t="s">
        <v>124</v>
      </c>
      <c r="BZ137" s="12" t="s">
        <v>124</v>
      </c>
      <c r="CA137" s="12"/>
      <c r="CB137" s="12"/>
      <c r="CC137" s="12"/>
      <c r="CD137" s="12"/>
      <c r="CE137" s="12"/>
      <c r="CF137" s="12"/>
      <c r="CG137" s="12"/>
      <c r="CH137" s="12"/>
      <c r="CI137" s="12"/>
      <c r="CJ137" s="12"/>
      <c r="CK137" s="12"/>
      <c r="CL137" s="12"/>
      <c r="CM137" s="12"/>
      <c r="CN137" s="12"/>
    </row>
    <row r="138" spans="2:92" ht="25.5" customHeight="1" thickBot="1" x14ac:dyDescent="0.4">
      <c r="C138" s="53"/>
      <c r="D138" s="53"/>
      <c r="F138" s="140" t="s">
        <v>446</v>
      </c>
      <c r="G138" s="205" t="s">
        <v>447</v>
      </c>
      <c r="H138" s="205"/>
      <c r="I138" s="205"/>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row>
    <row r="139" spans="2:92" ht="22.5" customHeight="1" thickBot="1" x14ac:dyDescent="0.4">
      <c r="B139" t="str">
        <f ca="1" xml:space="preserve"> "Produkt "  &amp; B140</f>
        <v>Produkt 4</v>
      </c>
      <c r="C139" s="206" t="str">
        <f>IF(F140="Ingen produkt motsvarar","Felmeddelande",IF(COUNTIF($P$1:$P$6,TRUE)&gt;0,"","Felmeddelande"))</f>
        <v/>
      </c>
      <c r="D139" s="207"/>
      <c r="F139" s="218" t="s">
        <v>271</v>
      </c>
      <c r="G139" s="218"/>
      <c r="H139" s="218"/>
      <c r="I139" s="219"/>
      <c r="O139">
        <v>1</v>
      </c>
      <c r="AN139" s="13" t="str">
        <f t="shared" ref="AN139:AX139" si="118">AN141</f>
        <v>Operativsystem</v>
      </c>
      <c r="AO139" s="13" t="str">
        <f t="shared" si="118"/>
        <v>Skärmstorlek (tum)</v>
      </c>
      <c r="AP139" s="13" t="str">
        <f t="shared" si="118"/>
        <v>Upplösning</v>
      </c>
      <c r="AQ139" s="13" t="str">
        <f t="shared" si="118"/>
        <v>Lagringsutrymme</v>
      </c>
      <c r="AR139" s="13" t="str">
        <f t="shared" si="118"/>
        <v>Kommunikation Bluetooth</v>
      </c>
      <c r="AS139" s="13" t="str">
        <f t="shared" si="118"/>
        <v>Kommunikation WLAN</v>
      </c>
      <c r="AT139" s="13" t="str">
        <f t="shared" si="118"/>
        <v>Batteritid (tim)</v>
      </c>
      <c r="AU139" s="13" t="str">
        <f t="shared" si="118"/>
        <v>Miljömärkning</v>
      </c>
      <c r="AV139" s="13" t="str">
        <f t="shared" si="118"/>
        <v>Kommunikation WLAN</v>
      </c>
      <c r="AW139" s="13" t="str">
        <f t="shared" si="118"/>
        <v>Kommunikation Bluetooth</v>
      </c>
      <c r="AX139" s="13" t="str">
        <f t="shared" si="118"/>
        <v>Batteritid (tim)</v>
      </c>
      <c r="AY139" s="13" t="s">
        <v>52</v>
      </c>
      <c r="AZ139" s="13" t="str">
        <f>AZ141</f>
        <v>Låsskydd</v>
      </c>
      <c r="BA139" s="13" t="str">
        <f>BA141</f>
        <v>Operativsystem</v>
      </c>
      <c r="BB139" s="13" t="str">
        <f>BB141</f>
        <v>Pris</v>
      </c>
      <c r="BC139" t="s">
        <v>224</v>
      </c>
      <c r="BD139" s="100" t="s">
        <v>340</v>
      </c>
      <c r="BE139" s="100" t="s">
        <v>341</v>
      </c>
      <c r="BF139" s="100" t="s">
        <v>342</v>
      </c>
      <c r="BG139" s="100" t="s">
        <v>343</v>
      </c>
      <c r="BH139" s="100" t="s">
        <v>344</v>
      </c>
      <c r="BI139" s="100" t="s">
        <v>345</v>
      </c>
      <c r="BJ139" s="100" t="s">
        <v>346</v>
      </c>
      <c r="BK139" s="100" t="s">
        <v>347</v>
      </c>
      <c r="BL139" s="100" t="s">
        <v>348</v>
      </c>
      <c r="BM139" s="100" t="s">
        <v>349</v>
      </c>
      <c r="BN139" s="56" t="s">
        <v>53</v>
      </c>
      <c r="BO139" s="56" t="s">
        <v>54</v>
      </c>
      <c r="BP139" s="56" t="s">
        <v>55</v>
      </c>
      <c r="BQ139" s="56" t="s">
        <v>59</v>
      </c>
      <c r="BR139" s="56" t="s">
        <v>227</v>
      </c>
      <c r="BS139" s="57" t="s">
        <v>228</v>
      </c>
      <c r="BT139" s="57" t="s">
        <v>229</v>
      </c>
      <c r="BU139" s="57" t="s">
        <v>230</v>
      </c>
      <c r="BV139" s="57" t="s">
        <v>231</v>
      </c>
      <c r="BW139" s="57"/>
      <c r="BX139" s="57"/>
      <c r="BY139" s="57" t="s">
        <v>6</v>
      </c>
      <c r="BZ139" s="4" t="s">
        <v>51</v>
      </c>
      <c r="CA139" s="13"/>
      <c r="CB139" s="13"/>
      <c r="CC139" s="13"/>
      <c r="CD139" s="13"/>
      <c r="CE139" s="13"/>
      <c r="CF139" s="13"/>
      <c r="CG139" s="13"/>
      <c r="CH139" s="13"/>
      <c r="CI139" s="13"/>
      <c r="CJ139" s="13"/>
      <c r="CK139" s="13"/>
      <c r="CL139" s="13"/>
      <c r="CM139" s="13"/>
      <c r="CN139" s="13"/>
    </row>
    <row r="140" spans="2:92" ht="22.5" customHeight="1" x14ac:dyDescent="0.35">
      <c r="B140">
        <f ca="1">COUNTIF($F$7:F143,"Produkt I varukorg*")</f>
        <v>4</v>
      </c>
      <c r="F140" s="51" t="str">
        <f>IF(D175&lt;1,"Inget antal angivet",IFERROR(INDEX($Z$142:$Z$165,MATCH(F137,$AA$142:$AA$165,0)),"Ingen produkt motsvarar"))</f>
        <v>Inget antal angivet</v>
      </c>
      <c r="G140" s="52">
        <f ca="1">IFERROR(P142,"Ingen produkt motsvarar")</f>
        <v>1700</v>
      </c>
      <c r="H140" s="52">
        <f ca="1">IFERROR(P143,"")</f>
        <v>2084</v>
      </c>
      <c r="I140" s="52">
        <f ca="1">IFERROR(P144,"")</f>
        <v>3205</v>
      </c>
      <c r="AA140" t="str">
        <f>IF(COUNTIF(AB140:AI140,FALSE)&gt;0,AL140,"")</f>
        <v/>
      </c>
      <c r="AB140" t="b">
        <f>IF($D$145="",TRUE,IF(AN140=$D$145,TRUE,FALSE))</f>
        <v>1</v>
      </c>
      <c r="AC140" t="b">
        <f>IF(D142="",TRUE,IF(AO140=$D$146,TRUE,FALSE))</f>
        <v>1</v>
      </c>
      <c r="AD140" t="b">
        <f>IF(D145="",TRUE,IF(AP140=D145,TRUE,FALSE))</f>
        <v>1</v>
      </c>
      <c r="AE140" t="b">
        <f>IF(D146="",TRUE,IF(AQ140=D146,TRUE,FALSE))</f>
        <v>1</v>
      </c>
      <c r="AF140" t="b">
        <f>IF(D147="",TRUE,IF(AR140=D147,TRUE,FALSE))</f>
        <v>1</v>
      </c>
      <c r="AG140" t="b">
        <f>IF(D148="",TRUE,IF(AS140=D148,TRUE,FALSE))</f>
        <v>1</v>
      </c>
      <c r="AH140" t="b">
        <f>IF(D144="",TRUE,IF(AT140=D144,TRUE,FALSE))</f>
        <v>1</v>
      </c>
      <c r="AI140" t="b">
        <f>IF(D143="",TRUE,IF(AV140=D143,TRUE,FALSE))</f>
        <v>1</v>
      </c>
      <c r="AL140" t="s">
        <v>126</v>
      </c>
      <c r="AN140" s="58" t="str">
        <f t="shared" ref="AN140:BL140" ca="1" si="119">IFERROR(INDEX(INDIRECT(AN$137&amp;"!$A$10:CC100000"),MATCH($AL140,INDIRECT(AN$137&amp;"!BH$10:BH100000"),0),MATCH(AN$139,INDIRECT(AN$137&amp;"!a10:CC10"),0)),"False")</f>
        <v>False</v>
      </c>
      <c r="AO140" s="58" t="str">
        <f t="shared" ca="1" si="119"/>
        <v>False</v>
      </c>
      <c r="AP140" s="58" t="str">
        <f t="shared" ca="1" si="119"/>
        <v>False</v>
      </c>
      <c r="AQ140" s="58" t="str">
        <f t="shared" ca="1" si="119"/>
        <v>False</v>
      </c>
      <c r="AR140" s="58" t="str">
        <f t="shared" ca="1" si="119"/>
        <v>False</v>
      </c>
      <c r="AS140" s="58" t="str">
        <f t="shared" ca="1" si="119"/>
        <v>False</v>
      </c>
      <c r="AT140" s="58" t="str">
        <f t="shared" ca="1" si="119"/>
        <v>False</v>
      </c>
      <c r="AU140" s="58" t="str">
        <f t="shared" ca="1" si="119"/>
        <v>False</v>
      </c>
      <c r="AV140" s="58" t="str">
        <f t="shared" ca="1" si="119"/>
        <v>False</v>
      </c>
      <c r="AW140" s="58" t="str">
        <f t="shared" ca="1" si="119"/>
        <v>False</v>
      </c>
      <c r="AX140" s="58" t="str">
        <f t="shared" ca="1" si="119"/>
        <v>False</v>
      </c>
      <c r="AY140" s="58" t="str">
        <f t="shared" ca="1" si="119"/>
        <v>False</v>
      </c>
      <c r="AZ140" s="58" t="str">
        <f t="shared" ca="1" si="119"/>
        <v>False</v>
      </c>
      <c r="BA140" s="58" t="str">
        <f t="shared" ca="1" si="119"/>
        <v>False</v>
      </c>
      <c r="BB140" s="58" t="str">
        <f t="shared" ca="1" si="119"/>
        <v>False</v>
      </c>
      <c r="BC140" s="58" t="str">
        <f t="shared" ca="1" si="119"/>
        <v>False</v>
      </c>
      <c r="BD140" s="58" t="str">
        <f t="shared" ca="1" si="119"/>
        <v>False</v>
      </c>
      <c r="BE140" s="58" t="str">
        <f t="shared" ca="1" si="119"/>
        <v>False</v>
      </c>
      <c r="BF140" s="58" t="str">
        <f t="shared" ca="1" si="119"/>
        <v>False</v>
      </c>
      <c r="BG140" s="58" t="str">
        <f t="shared" ca="1" si="119"/>
        <v>False</v>
      </c>
      <c r="BH140" s="58" t="str">
        <f t="shared" ca="1" si="119"/>
        <v>False</v>
      </c>
      <c r="BI140" s="58" t="str">
        <f t="shared" ca="1" si="119"/>
        <v>False</v>
      </c>
      <c r="BJ140" s="58" t="str">
        <f t="shared" ca="1" si="119"/>
        <v>False</v>
      </c>
      <c r="BK140" s="58" t="str">
        <f t="shared" ca="1" si="119"/>
        <v>False</v>
      </c>
      <c r="BL140" s="58" t="str">
        <f t="shared" ca="1" si="119"/>
        <v>False</v>
      </c>
      <c r="BM140" s="58"/>
      <c r="BN140" s="58" t="str">
        <f t="shared" ref="BN140:BV140" ca="1" si="120">IFERROR(INDEX(INDIRECT(BN$137&amp;"!$A$10:CC100000"),MATCH($AL140,INDIRECT(BN$137&amp;"!BH$10:BH100000"),0),MATCH(BN$139,INDIRECT(BN$137&amp;"!a10:CC10"),0)),"False")</f>
        <v>False</v>
      </c>
      <c r="BO140" s="58" t="str">
        <f t="shared" ca="1" si="120"/>
        <v>False</v>
      </c>
      <c r="BP140" s="58" t="str">
        <f t="shared" ca="1" si="120"/>
        <v>False</v>
      </c>
      <c r="BQ140" s="58" t="str">
        <f t="shared" ca="1" si="120"/>
        <v>False</v>
      </c>
      <c r="BR140" s="58" t="str">
        <f t="shared" ca="1" si="120"/>
        <v>False</v>
      </c>
      <c r="BS140" s="58" t="str">
        <f t="shared" ca="1" si="120"/>
        <v>False</v>
      </c>
      <c r="BT140" s="58" t="str">
        <f t="shared" ca="1" si="120"/>
        <v>False</v>
      </c>
      <c r="BU140" s="58" t="str">
        <f t="shared" ca="1" si="120"/>
        <v>False</v>
      </c>
      <c r="BV140" s="58" t="str">
        <f t="shared" ca="1" si="120"/>
        <v>False</v>
      </c>
      <c r="BW140" s="58"/>
      <c r="BX140" s="58"/>
      <c r="BY140" s="58" t="str">
        <f ca="1">IFERROR(INDEX(INDIRECT(BY$137&amp;"!$A$10:CC100000"),MATCH($AL140,INDIRECT(BY$137&amp;"!BH$10:BH100000"),0),MATCH(BY$139,INDIRECT(BY$137&amp;"!a10:CC10"),0)),"False")</f>
        <v>False</v>
      </c>
      <c r="BZ140" s="58" t="str">
        <f ca="1">IFERROR(INDEX(INDIRECT(BZ$137&amp;"!$A$10:CC100000"),MATCH($AL140,INDIRECT(BZ$137&amp;"!BH$10:BH100000"),0),MATCH(BZ$139,INDIRECT(BZ$137&amp;"!a10:CC10"),0)),"False")</f>
        <v>False</v>
      </c>
      <c r="CA140" s="58"/>
      <c r="CB140" s="58"/>
      <c r="CC140" s="58"/>
      <c r="CD140" s="58"/>
      <c r="CE140" s="58"/>
      <c r="CF140" s="58"/>
      <c r="CG140" s="58"/>
      <c r="CH140" s="58"/>
      <c r="CI140" s="58"/>
      <c r="CJ140" s="58"/>
      <c r="CK140" s="58"/>
      <c r="CL140" s="58"/>
      <c r="CM140" s="58"/>
      <c r="CN140" s="58"/>
    </row>
    <row r="141" spans="2:92" ht="22.5" customHeight="1" x14ac:dyDescent="0.35">
      <c r="C141" s="210" t="str">
        <f ca="1" xml:space="preserve"> "Surfplatta "  &amp; RIGHT("00" &amp; B140,2)</f>
        <v>Surfplatta 04</v>
      </c>
      <c r="D141" s="211"/>
      <c r="F141" s="92" t="str">
        <f>IF(F140="Inget antal angivet","",IFERROR(INDEX($AN$141:$BZ$167,MATCH(F$137,$AL$141:$AL$167,0),MATCH("Modellbenämning",$AN$141:$BZ$141,0)),""))</f>
        <v/>
      </c>
      <c r="G141" s="92" t="str">
        <f ca="1">IFERROR(INDEX($AN$141:$BZ$167,MATCH(G$137,$AL$141:$AL$167,0),MATCH("Modellbenämning",$AN$141:$BZ$141,0)),"")</f>
        <v>M10 FHD G2</v>
      </c>
      <c r="H141" s="92" t="str">
        <f ca="1">IFERROR(INDEX($AN$141:$BZ$167,MATCH(H$137,$AL$141:$AL$167,0),MATCH("Modellbenämning",$AN$141:$BZ$141,0)),"")</f>
        <v>Tab M10 (3rd Gen)</v>
      </c>
      <c r="I141" s="92" t="str">
        <f ca="1">IFERROR(INDEX($AN$141:$BZ$167,MATCH(I$137,$AL$141:$AL$167,0),MATCH("Modellbenämning",$AN$141:$BZ$141,0)),"")</f>
        <v>iPad 9th gen (2021)</v>
      </c>
      <c r="J141" s="93"/>
      <c r="K141" s="92"/>
      <c r="L141" s="92"/>
      <c r="M141" s="92"/>
      <c r="N141" s="92" t="e">
        <f ca="1">INDEX($N$142:$N$147,MATCH(Överblick!$L$2,$M$142:$M$147,0))</f>
        <v>#N/A</v>
      </c>
      <c r="O141" s="92"/>
      <c r="P141" s="92"/>
      <c r="Q141" s="92"/>
      <c r="R141" s="92">
        <v>1</v>
      </c>
      <c r="S141" s="92">
        <v>2</v>
      </c>
      <c r="T141" s="92">
        <v>3</v>
      </c>
      <c r="U141" s="92">
        <v>5</v>
      </c>
      <c r="V141" s="92">
        <v>6</v>
      </c>
      <c r="W141" s="92">
        <v>7</v>
      </c>
      <c r="X141" s="92">
        <v>8</v>
      </c>
      <c r="Y141" s="92">
        <v>9</v>
      </c>
      <c r="Z141" s="92"/>
      <c r="AA141" s="92" t="s">
        <v>122</v>
      </c>
      <c r="AB141" s="92" t="s">
        <v>3</v>
      </c>
      <c r="AC141" s="92" t="s">
        <v>7</v>
      </c>
      <c r="AD141" s="92" t="s">
        <v>2</v>
      </c>
      <c r="AE141" s="92" t="s">
        <v>17</v>
      </c>
      <c r="AF141" s="92" t="s">
        <v>75</v>
      </c>
      <c r="AG141" s="92" t="s">
        <v>103</v>
      </c>
      <c r="AH141" s="92" t="s">
        <v>120</v>
      </c>
      <c r="AI141" s="92" t="s">
        <v>39</v>
      </c>
      <c r="AJ141" s="92"/>
      <c r="AK141" s="92"/>
      <c r="AL141" s="92" t="s">
        <v>222</v>
      </c>
      <c r="AM141" s="92">
        <v>1</v>
      </c>
      <c r="AN141" s="92" t="s">
        <v>3</v>
      </c>
      <c r="AO141" s="92" t="s">
        <v>7</v>
      </c>
      <c r="AP141" s="92" t="s">
        <v>2</v>
      </c>
      <c r="AQ141" s="92" t="s">
        <v>17</v>
      </c>
      <c r="AR141" s="92" t="s">
        <v>75</v>
      </c>
      <c r="AS141" s="92" t="s">
        <v>103</v>
      </c>
      <c r="AT141" s="92" t="s">
        <v>120</v>
      </c>
      <c r="AU141" s="92" t="s">
        <v>39</v>
      </c>
      <c r="AV141" s="92" t="s">
        <v>103</v>
      </c>
      <c r="AW141" s="92" t="s">
        <v>75</v>
      </c>
      <c r="AX141" s="92" t="s">
        <v>120</v>
      </c>
      <c r="AY141" s="92" t="s">
        <v>52</v>
      </c>
      <c r="AZ141" s="92" t="s">
        <v>37</v>
      </c>
      <c r="BA141" s="92" t="s">
        <v>3</v>
      </c>
      <c r="BB141" s="92" t="s">
        <v>25</v>
      </c>
      <c r="BC141" s="92" t="s">
        <v>25</v>
      </c>
      <c r="BD141" s="92" t="s">
        <v>340</v>
      </c>
      <c r="BE141" s="92" t="s">
        <v>341</v>
      </c>
      <c r="BF141" s="92" t="s">
        <v>342</v>
      </c>
      <c r="BG141" s="92" t="s">
        <v>343</v>
      </c>
      <c r="BH141" s="92" t="s">
        <v>344</v>
      </c>
      <c r="BI141" s="92" t="s">
        <v>345</v>
      </c>
      <c r="BJ141" s="92" t="s">
        <v>346</v>
      </c>
      <c r="BK141" s="92" t="s">
        <v>347</v>
      </c>
      <c r="BL141" s="92" t="s">
        <v>348</v>
      </c>
      <c r="BM141" s="92" t="s">
        <v>349</v>
      </c>
      <c r="BN141" s="92" t="s">
        <v>53</v>
      </c>
      <c r="BO141" s="92" t="s">
        <v>54</v>
      </c>
      <c r="BP141" s="92" t="s">
        <v>55</v>
      </c>
      <c r="BQ141" s="92" t="s">
        <v>59</v>
      </c>
      <c r="BR141" s="92" t="s">
        <v>227</v>
      </c>
      <c r="BS141" s="92" t="s">
        <v>228</v>
      </c>
      <c r="BT141" s="92" t="s">
        <v>229</v>
      </c>
      <c r="BU141" s="92" t="s">
        <v>230</v>
      </c>
      <c r="BV141" s="92" t="s">
        <v>231</v>
      </c>
      <c r="BW141" s="92"/>
      <c r="BX141" s="92"/>
      <c r="BY141" s="92" t="s">
        <v>6</v>
      </c>
      <c r="BZ141" s="92" t="s">
        <v>51</v>
      </c>
      <c r="CA141" s="92" t="s">
        <v>2</v>
      </c>
      <c r="CB141" s="92" t="s">
        <v>17</v>
      </c>
      <c r="CC141" s="92" t="s">
        <v>75</v>
      </c>
      <c r="CD141" s="92" t="s">
        <v>103</v>
      </c>
      <c r="CE141" s="92" t="s">
        <v>7</v>
      </c>
      <c r="CF141" s="92" t="s">
        <v>120</v>
      </c>
      <c r="CG141" s="92" t="s">
        <v>3</v>
      </c>
      <c r="CH141" s="92" t="s">
        <v>39</v>
      </c>
      <c r="CI141" s="92" t="s">
        <v>103</v>
      </c>
      <c r="CJ141" s="92" t="s">
        <v>75</v>
      </c>
      <c r="CK141" s="92" t="s">
        <v>120</v>
      </c>
      <c r="CL141" s="92" t="s">
        <v>38</v>
      </c>
      <c r="CM141" s="92" t="s">
        <v>37</v>
      </c>
      <c r="CN141" s="92" t="s">
        <v>3</v>
      </c>
    </row>
    <row r="142" spans="2:92" ht="22.5" customHeight="1" outlineLevel="1" x14ac:dyDescent="0.35">
      <c r="C142" s="210" t="s">
        <v>261</v>
      </c>
      <c r="D142" s="211"/>
      <c r="F142" s="76" t="str">
        <f>IF(F140="Inget antal angivet","",IFERROR(INDEX($AN$141:$BZ$167,MATCH(F$137,$AL$141:$AL$167,0),MATCH("Varumärke",$AN$141:$BZ$141,0)),""))</f>
        <v/>
      </c>
      <c r="G142" s="77" t="str">
        <f ca="1">IFERROR(INDEX($AN$141:$BZ$167,MATCH(G$137,$AL$141:$AL$167,0),MATCH("Varumärke",$AN$141:$BZ$141,0)),"")</f>
        <v>Lenovo</v>
      </c>
      <c r="H142" s="77" t="str">
        <f ca="1">IFERROR(INDEX($AN$141:$BZ$167,MATCH(H$137,$AL$141:$AL$167,0),MATCH("Varumärke",$AN$141:$BZ$141,0)),"")</f>
        <v>Lenovo</v>
      </c>
      <c r="I142" s="119" t="str">
        <f ca="1">IFERROR(INDEX($AN$141:$BZ$167,MATCH(I$137,$AL$141:$AL$167,0),MATCH("Varumärke",$AN$141:$BZ$141,0)),"")</f>
        <v>Apple</v>
      </c>
      <c r="K142" s="185">
        <f t="shared" ref="K142:K147" ca="1" si="121">O142*$D$175</f>
        <v>0</v>
      </c>
      <c r="L142" s="185" t="b">
        <f t="shared" ref="L142:L147" si="122">IF($D$175=0,TRUE,IF(K142=0,FALSE,TRUE))</f>
        <v>1</v>
      </c>
      <c r="M142" s="185" t="s">
        <v>162</v>
      </c>
      <c r="N142" s="185" t="str">
        <f t="shared" ref="N142:N147" ca="1" si="123">IFERROR(INDEX($AA$142:$AA$167,MATCH(O142,$Z$142:$Z$167,0)),"")</f>
        <v>Offererad produktnr. 07Advania Sverige AB</v>
      </c>
      <c r="O142" s="185" cm="1">
        <f t="array" aca="1" ref="O142" ca="1">MIN(IF(($BY$142:$BY$165=M142)*($AM$142:$AM$165=$O$139),$Z$142:$Z$165))</f>
        <v>2084</v>
      </c>
      <c r="P142" s="197">
        <f ca="1">SMALL($Z$142:$Z$167,1)</f>
        <v>1700</v>
      </c>
      <c r="Q142" s="185">
        <f t="shared" ref="Q142:Q161" si="124">SUM(R142:Y142)</f>
        <v>0</v>
      </c>
      <c r="R142" s="185">
        <f t="shared" ref="R142:R161" si="125">IF($D$153="",0,BN142)</f>
        <v>0</v>
      </c>
      <c r="S142" s="185">
        <f t="shared" ref="S142:S161" si="126">IF($D$156="",0,BO142)</f>
        <v>0</v>
      </c>
      <c r="T142" s="185">
        <f t="shared" ref="T142:T161" si="127">IF($D$159="",0,BP142)</f>
        <v>0</v>
      </c>
      <c r="U142" s="185">
        <f t="shared" ref="U142:U161" si="128">IF($D$162="",0,BQ142)</f>
        <v>0</v>
      </c>
      <c r="V142" s="185">
        <f t="shared" ref="V142:V161" si="129">IF($D$165="",0,BR142)</f>
        <v>0</v>
      </c>
      <c r="W142" s="185">
        <f t="shared" ref="W142:W161" si="130">IF($D$169="",0,BS142)</f>
        <v>0</v>
      </c>
      <c r="X142" s="185">
        <f t="shared" ref="X142:X161" si="131">IF($D$170="",0,BT142)</f>
        <v>0</v>
      </c>
      <c r="Y142" s="185">
        <f t="shared" ref="Y142:Y161" si="132">IF($D$171="",0,BU142)</f>
        <v>0</v>
      </c>
      <c r="Z142" s="196">
        <f t="shared" ref="Z142:Z161" ca="1" si="133">IF(AA142="","",SUM(BC142,R142:Y142))</f>
        <v>2084</v>
      </c>
      <c r="AA142" s="185" t="str">
        <f t="shared" ref="AA142:AA161" si="134">IF(COUNTIF(AB142:AK142,FALSE)&gt;0,"",AL142)</f>
        <v>Offererad produktnr. 07Advania Sverige AB</v>
      </c>
      <c r="AB142" s="185" t="b">
        <f>IF(D143="",TRUE,IF(COUNTIF(Processor!$M$2:$M$3,D143)=0,IF(AN142=D143,TRUE,FALSE),IF(COUNTIF(AN142,INDEX(Processor!$N$2:$N$3,MATCH(Surfplattor!D143,Processor!$M$2:$M$3,0)))&gt;0,TRUE,FALSE)))</f>
        <v>1</v>
      </c>
      <c r="AC142" s="185" t="b">
        <f>IF($D$144="",TRUE,IF(COUNTIF(Processor!$I$2:$I$9,$D$144)&gt;0,AND(AO142&gt;INDEX(Processor!$J$2:$J$9,MATCH($D$144,Processor!$I$2:$I$9,0)),AO142&lt;INDEX(Processor!$K$2:$K$9,MATCH($D$144,Processor!$I$2:$I$9,0))),IF(AO142=$D$144,TRUE,FALSE)))</f>
        <v>1</v>
      </c>
      <c r="AD142" s="185" t="b">
        <f t="shared" ref="AD142:AD161" si="135">IFERROR(IF($D$145="",TRUE,IF(AND(IF(LEFT($D$145,4)*1&lt;=1*LEFT(AP142,4),TRUE,FALSE),IF(RIGHT(AP142,4)*1&gt;=1*RIGHT($D$145,4),TRUE,FALSE)),TRUE,FALSE)),0)</f>
        <v>1</v>
      </c>
      <c r="AE142" s="185" t="b">
        <f t="shared" ref="AE142:AE161" si="136">IF($D$146="",TRUE,IF(AQ142&gt;=$D$146,TRUE,FALSE))</f>
        <v>1</v>
      </c>
      <c r="AF142" s="185" t="b">
        <f t="shared" ref="AF142:AF161" si="137">IF($D$147="",TRUE,IF(AR142&gt;=$D$147,TRUE,FALSE))</f>
        <v>1</v>
      </c>
      <c r="AG142" s="185" t="b">
        <f t="shared" ref="AG142:AG161" si="138">IF($D$148="",TRUE,IF($D$148="802.11a/b/g/n/ac",TRUE,IF(AS142&gt;=$D$148,TRUE,FALSE)))</f>
        <v>1</v>
      </c>
      <c r="AH142" s="185" t="b">
        <f>IF($D$149="",TRUE,IF(INDEX(Processor!$C$14:$C$20,MATCH(LEFT(AT142,10)&amp;"",Processor!$A$14:$A$20,0))&gt;=INDEX(Processor!$C$14:$C$20,MATCH(LEFT($D$149,10)&amp;"",Processor!$A$14:$A$20,0)),TRUE,FALSE))</f>
        <v>1</v>
      </c>
      <c r="AI142" s="185" t="b">
        <f t="shared" ref="AI142:AI161" si="139">IF($D$150="",TRUE,IF($D$150="Miljömärkt",IF(AU142="Ej miljömärkt",FALSE,TRUE),IF(AU142=$D$150,TRUE,FALSE)))</f>
        <v>1</v>
      </c>
      <c r="AJ142" s="185"/>
      <c r="AK142" s="185"/>
      <c r="AL142" s="185" t="s">
        <v>204</v>
      </c>
      <c r="AM142" s="185">
        <v>1</v>
      </c>
      <c r="AN142" s="185" t="str">
        <f t="shared" ref="AN142:AW151" ca="1" si="140">IFERROR(INDEX(INDIRECT(AN$137&amp;"!$A$10:CC100000"),MATCH($AL142,INDIRECT(AN$137&amp;"!BH$10:BH100000"),0),MATCH(AN$139,INDIRECT(AN$137&amp;"!a10:CC10"),0)),"False")</f>
        <v>Android 11</v>
      </c>
      <c r="AO142" s="185">
        <f t="shared" ca="1" si="140"/>
        <v>10.1</v>
      </c>
      <c r="AP142" s="185" t="str">
        <f t="shared" ca="1" si="140"/>
        <v>1920x1200</v>
      </c>
      <c r="AQ142" s="185">
        <f t="shared" ca="1" si="140"/>
        <v>64</v>
      </c>
      <c r="AR142" s="185">
        <f t="shared" ca="1" si="140"/>
        <v>5</v>
      </c>
      <c r="AS142" s="185" t="str">
        <f t="shared" ca="1" si="140"/>
        <v>802.11a/b/g/n/ac</v>
      </c>
      <c r="AT142" s="185">
        <f t="shared" ca="1" si="140"/>
        <v>9</v>
      </c>
      <c r="AU142" s="185" t="str">
        <f t="shared" ca="1" si="140"/>
        <v>Ej miljömärkt</v>
      </c>
      <c r="AV142" s="185" t="str">
        <f t="shared" ca="1" si="140"/>
        <v>802.11a/b/g/n/ac</v>
      </c>
      <c r="AW142" s="185">
        <f t="shared" ca="1" si="140"/>
        <v>5</v>
      </c>
      <c r="AX142" s="185">
        <f t="shared" ref="AX142:BG151" ca="1" si="141">IFERROR(INDEX(INDIRECT(AX$137&amp;"!$A$10:CC100000"),MATCH($AL142,INDIRECT(AX$137&amp;"!BH$10:BH100000"),0),MATCH(AX$139,INDIRECT(AX$137&amp;"!a10:CC10"),0)),"False")</f>
        <v>9</v>
      </c>
      <c r="AY142" s="185" t="str">
        <f t="shared" ca="1" si="141"/>
        <v>Tab M10 (3rd Gen)</v>
      </c>
      <c r="AZ142" s="185">
        <f t="shared" ca="1" si="141"/>
        <v>0</v>
      </c>
      <c r="BA142" s="185" t="str">
        <f t="shared" ca="1" si="141"/>
        <v>Android 11</v>
      </c>
      <c r="BB142" s="185">
        <f t="shared" ca="1" si="141"/>
        <v>2084</v>
      </c>
      <c r="BC142" s="185">
        <f t="shared" ca="1" si="141"/>
        <v>2084</v>
      </c>
      <c r="BD142" s="192" t="str">
        <f t="shared" ca="1" si="141"/>
        <v>eSTUFF</v>
      </c>
      <c r="BE142" s="192" t="str">
        <f t="shared" ca="1" si="141"/>
        <v>eSTUFF</v>
      </c>
      <c r="BF142" s="192" t="str">
        <f t="shared" ca="1" si="141"/>
        <v>CoreParts</v>
      </c>
      <c r="BG142" s="192" t="str">
        <f t="shared" ca="1" si="141"/>
        <v>DELTACO</v>
      </c>
      <c r="BH142" s="192" t="str">
        <f t="shared" ref="BH142:BV151" ca="1" si="142">IFERROR(INDEX(INDIRECT(BH$137&amp;"!$A$10:CC100000"),MATCH($AL142,INDIRECT(BH$137&amp;"!BH$10:BH100000"),0),MATCH(BH$139,INDIRECT(BH$137&amp;"!a10:CC10"),0)),"False")</f>
        <v xml:space="preserve">ZAGG </v>
      </c>
      <c r="BI142" s="192" t="str">
        <f t="shared" ca="1" si="142"/>
        <v>ES685307-BULK - Vikbart fodral för surfplatta - polyuretan, polykarbonat, konstläder, mikrofiber - svart - för Lenovo Tab M10 (3rd Gen)</v>
      </c>
      <c r="BJ142" s="192" t="str">
        <f t="shared" ca="1" si="142"/>
        <v>ES517003 - Skärmskydd för surfplatta - glas - klar - för Lenovo Tab M10 (3rd Gen)</v>
      </c>
      <c r="BK142" s="192" t="str">
        <f t="shared" ca="1" si="142"/>
        <v>MBXUSB-AC0011 - Strömadapter - 12 Watt - 2.4 A (USB) - på kabel: USB-C - vit - med USB-C cable (2m)</v>
      </c>
      <c r="BL142" s="192" t="str">
        <f t="shared" ca="1" si="142"/>
        <v>TB-631</v>
      </c>
      <c r="BM142" s="192" t="str">
        <f t="shared" ca="1" si="142"/>
        <v>109912139 - Pro Stylus 2 - Aktiv penna - grå</v>
      </c>
      <c r="BN142" s="192">
        <f t="shared" ca="1" si="142"/>
        <v>251</v>
      </c>
      <c r="BO142" s="192">
        <f t="shared" ca="1" si="142"/>
        <v>251</v>
      </c>
      <c r="BP142" s="192">
        <f t="shared" ca="1" si="142"/>
        <v>108</v>
      </c>
      <c r="BQ142" s="192">
        <f t="shared" ca="1" si="142"/>
        <v>169</v>
      </c>
      <c r="BR142" s="192">
        <f t="shared" ca="1" si="142"/>
        <v>595</v>
      </c>
      <c r="BS142" s="192">
        <f t="shared" ca="1" si="142"/>
        <v>781</v>
      </c>
      <c r="BT142" s="192">
        <f t="shared" ca="1" si="142"/>
        <v>50</v>
      </c>
      <c r="BU142" s="192">
        <f t="shared" ca="1" si="142"/>
        <v>50</v>
      </c>
      <c r="BV142" s="192">
        <f t="shared" ca="1" si="142"/>
        <v>0</v>
      </c>
      <c r="BW142" s="192"/>
      <c r="BX142" s="192"/>
      <c r="BY142" s="192" t="str">
        <f t="shared" ref="BY142:BZ161" ca="1" si="143">IFERROR(INDEX(INDIRECT(BY$137&amp;"!$A$10:CC100000"),MATCH($AL142,INDIRECT(BY$137&amp;"!BH$10:BH100000"),0),MATCH(BY$139,INDIRECT(BY$137&amp;"!a10:CC10"),0)),"False")</f>
        <v>Advania Sverige AB</v>
      </c>
      <c r="BZ142" s="192" t="str">
        <f t="shared" ca="1" si="143"/>
        <v>Lenovo</v>
      </c>
      <c r="CA142" s="199" t="s">
        <v>163</v>
      </c>
      <c r="CB142" s="192">
        <v>64</v>
      </c>
      <c r="CC142" s="185">
        <v>4</v>
      </c>
      <c r="CD142" s="192" t="s">
        <v>79</v>
      </c>
      <c r="CE142" s="185" t="s">
        <v>356</v>
      </c>
      <c r="CF142" s="185" t="s">
        <v>148</v>
      </c>
      <c r="CG142" s="185" t="s">
        <v>469</v>
      </c>
      <c r="CH142" s="192" t="s">
        <v>273</v>
      </c>
      <c r="CI142" s="192" t="s">
        <v>79</v>
      </c>
      <c r="CJ142" s="185">
        <v>4</v>
      </c>
      <c r="CK142" s="185" t="s">
        <v>148</v>
      </c>
      <c r="CL142" s="192">
        <v>0</v>
      </c>
      <c r="CM142" s="192">
        <v>0</v>
      </c>
      <c r="CN142" s="185" t="s">
        <v>165</v>
      </c>
    </row>
    <row r="143" spans="2:92" ht="22.5" customHeight="1" outlineLevel="1" x14ac:dyDescent="0.35">
      <c r="C143" s="61" t="s">
        <v>3</v>
      </c>
      <c r="D143" s="64"/>
      <c r="F143" s="78" t="str">
        <f t="shared" ref="F143:F150" si="144">IF(F$140="Inget antal angivet","",IFERROR(INDEX($AN$141:$BZ$167,MATCH(F$137,$AL$141:$AL$167,0),MATCH($C143,$AN$141:$BZ$141,0)),""))</f>
        <v/>
      </c>
      <c r="G143" s="79" t="str">
        <f t="shared" ref="G143:I150" ca="1" si="145">IFERROR(INDEX($AN$141:$BZ$167,MATCH(G$137,$AL$141:$AL$167,0),MATCH($C143,$AN$141:$BZ$141,0)),"")</f>
        <v>Android 9</v>
      </c>
      <c r="H143" s="79" t="str">
        <f t="shared" ca="1" si="145"/>
        <v>Android 11</v>
      </c>
      <c r="I143" s="120" t="str">
        <f t="shared" ca="1" si="145"/>
        <v>iPadOS 15</v>
      </c>
      <c r="J143" s="62"/>
      <c r="K143" s="185">
        <f t="shared" ca="1" si="121"/>
        <v>0</v>
      </c>
      <c r="L143" s="185" t="b">
        <f t="shared" si="122"/>
        <v>1</v>
      </c>
      <c r="M143" s="185" t="s">
        <v>150</v>
      </c>
      <c r="N143" s="185" t="str">
        <f t="shared" ca="1" si="123"/>
        <v>Offererad produktnr. 08Atea Sverige AB</v>
      </c>
      <c r="O143" s="185" cm="1">
        <f t="array" aca="1" ref="O143" ca="1">MIN(IF(($BY$142:$BY$165=M143)*($AM$142:$AM$165=$O$139),$Z$142:$Z$165))</f>
        <v>5254</v>
      </c>
      <c r="P143" s="197">
        <f ca="1">SMALL($Z$142:$Z$167,2)</f>
        <v>2084</v>
      </c>
      <c r="Q143" s="185">
        <f t="shared" si="124"/>
        <v>0</v>
      </c>
      <c r="R143" s="185">
        <f t="shared" si="125"/>
        <v>0</v>
      </c>
      <c r="S143" s="185">
        <f t="shared" si="126"/>
        <v>0</v>
      </c>
      <c r="T143" s="185">
        <f t="shared" si="127"/>
        <v>0</v>
      </c>
      <c r="U143" s="185">
        <f t="shared" si="128"/>
        <v>0</v>
      </c>
      <c r="V143" s="185">
        <f t="shared" si="129"/>
        <v>0</v>
      </c>
      <c r="W143" s="185">
        <f t="shared" si="130"/>
        <v>0</v>
      </c>
      <c r="X143" s="185">
        <f t="shared" si="131"/>
        <v>0</v>
      </c>
      <c r="Y143" s="185">
        <f t="shared" si="132"/>
        <v>0</v>
      </c>
      <c r="Z143" s="196">
        <f t="shared" ca="1" si="133"/>
        <v>4238</v>
      </c>
      <c r="AA143" s="185" t="str">
        <f t="shared" si="134"/>
        <v>Offererad produktnr. 08Advania Sverige AB</v>
      </c>
      <c r="AB143" s="185" t="b">
        <f>IF(D143="",TRUE,IF(COUNTIF(Processor!$M$2:$M$3,D143)=0,IF(AN143=D143,TRUE,FALSE),IF(COUNTIF(AN143,INDEX(Processor!$N$2:$N$3,MATCH(Surfplattor!D143,Processor!$M$2:$M$3,0)))&gt;0,TRUE,FALSE)))</f>
        <v>1</v>
      </c>
      <c r="AC143" s="185" t="b">
        <f>IF($D$144="",TRUE,IF(COUNTIF(Processor!$I$2:$I$9,$D$144)&gt;0,AND(AO143&gt;INDEX(Processor!$J$2:$J$9,MATCH($D$144,Processor!$I$2:$I$9,0)),AO143&lt;INDEX(Processor!$K$2:$K$9,MATCH($D$144,Processor!$I$2:$I$9,0))),IF(AO143=$D$144,TRUE,FALSE)))</f>
        <v>1</v>
      </c>
      <c r="AD143" s="185" t="b">
        <f t="shared" si="135"/>
        <v>1</v>
      </c>
      <c r="AE143" s="185" t="b">
        <f t="shared" si="136"/>
        <v>1</v>
      </c>
      <c r="AF143" s="185" t="b">
        <f t="shared" si="137"/>
        <v>1</v>
      </c>
      <c r="AG143" s="185" t="b">
        <f t="shared" si="138"/>
        <v>1</v>
      </c>
      <c r="AH143" s="185" t="b">
        <f>IF($D$149="",TRUE,IF(INDEX(Processor!$C$14:$C$20,MATCH(LEFT(AT143,10)&amp;"",Processor!$A$14:$A$20,0))&gt;=INDEX(Processor!$C$14:$C$20,MATCH(LEFT($D$149,10)&amp;"",Processor!$A$14:$A$20,0)),TRUE,FALSE))</f>
        <v>1</v>
      </c>
      <c r="AI143" s="185" t="b">
        <f t="shared" si="139"/>
        <v>1</v>
      </c>
      <c r="AJ143" s="185"/>
      <c r="AK143" s="185"/>
      <c r="AL143" s="185" t="s">
        <v>205</v>
      </c>
      <c r="AM143" s="185">
        <v>1</v>
      </c>
      <c r="AN143" s="185" t="str">
        <f t="shared" ca="1" si="140"/>
        <v>iPadOS 14</v>
      </c>
      <c r="AO143" s="185">
        <f t="shared" ca="1" si="140"/>
        <v>10.199999999999999</v>
      </c>
      <c r="AP143" s="185" t="str">
        <f t="shared" ca="1" si="140"/>
        <v>2160x1620</v>
      </c>
      <c r="AQ143" s="185">
        <f t="shared" ca="1" si="140"/>
        <v>64</v>
      </c>
      <c r="AR143" s="185">
        <f t="shared" ca="1" si="140"/>
        <v>4.2</v>
      </c>
      <c r="AS143" s="185" t="str">
        <f t="shared" ca="1" si="140"/>
        <v>802.11a/b/g/n/ac</v>
      </c>
      <c r="AT143" s="185">
        <f t="shared" ca="1" si="140"/>
        <v>10</v>
      </c>
      <c r="AU143" s="185" t="str">
        <f t="shared" ca="1" si="140"/>
        <v>EPEAT Gold</v>
      </c>
      <c r="AV143" s="185" t="str">
        <f t="shared" ca="1" si="140"/>
        <v>802.11a/b/g/n/ac</v>
      </c>
      <c r="AW143" s="185">
        <f t="shared" ca="1" si="140"/>
        <v>4.2</v>
      </c>
      <c r="AX143" s="185">
        <f t="shared" ca="1" si="141"/>
        <v>10</v>
      </c>
      <c r="AY143" s="185" t="str">
        <f t="shared" ca="1" si="141"/>
        <v>10.2-inch iPad Wi-Fi 64GB</v>
      </c>
      <c r="AZ143" s="185">
        <f t="shared" ca="1" si="141"/>
        <v>0</v>
      </c>
      <c r="BA143" s="185" t="str">
        <f t="shared" ca="1" si="141"/>
        <v>iPadOS 14</v>
      </c>
      <c r="BB143" s="185">
        <f t="shared" ca="1" si="141"/>
        <v>4238</v>
      </c>
      <c r="BC143" s="185">
        <f t="shared" ca="1" si="141"/>
        <v>4238</v>
      </c>
      <c r="BD143" s="192" t="str">
        <f t="shared" ca="1" si="141"/>
        <v>eSTUFF</v>
      </c>
      <c r="BE143" s="192" t="str">
        <f t="shared" ca="1" si="141"/>
        <v>eSTUFF</v>
      </c>
      <c r="BF143" s="192" t="str">
        <f t="shared" ca="1" si="141"/>
        <v>DELTACO</v>
      </c>
      <c r="BG143" s="192" t="str">
        <f t="shared" ca="1" si="141"/>
        <v>DELTACO</v>
      </c>
      <c r="BH143" s="192" t="str">
        <f t="shared" ca="1" si="142"/>
        <v xml:space="preserve">ZAGG </v>
      </c>
      <c r="BI143" s="192" t="str">
        <f t="shared" ca="1" si="142"/>
        <v>ES682335-BULK - Baksidesskydd för surfplatta</v>
      </c>
      <c r="BJ143" s="192" t="str">
        <f t="shared" ca="1" si="142"/>
        <v>ES503200 - Titan Shield - skärmskydd för mobiltelefon</v>
      </c>
      <c r="BK143" s="192" t="str">
        <f t="shared" ca="1" si="142"/>
        <v xml:space="preserve">USBC-AC141 </v>
      </c>
      <c r="BL143" s="192" t="str">
        <f t="shared" ca="1" si="142"/>
        <v>TB-631</v>
      </c>
      <c r="BM143" s="192" t="str">
        <f t="shared" ca="1" si="142"/>
        <v>109912139 - Pro Stylus 2 - Aktiv penna - grå</v>
      </c>
      <c r="BN143" s="192">
        <f t="shared" ca="1" si="142"/>
        <v>181</v>
      </c>
      <c r="BO143" s="192">
        <f t="shared" ca="1" si="142"/>
        <v>219</v>
      </c>
      <c r="BP143" s="192">
        <f t="shared" ca="1" si="142"/>
        <v>144</v>
      </c>
      <c r="BQ143" s="192">
        <f t="shared" ca="1" si="142"/>
        <v>169</v>
      </c>
      <c r="BR143" s="192">
        <f t="shared" ca="1" si="142"/>
        <v>595</v>
      </c>
      <c r="BS143" s="192">
        <f t="shared" ca="1" si="142"/>
        <v>781</v>
      </c>
      <c r="BT143" s="192">
        <f t="shared" ca="1" si="142"/>
        <v>50</v>
      </c>
      <c r="BU143" s="192">
        <f t="shared" ca="1" si="142"/>
        <v>50</v>
      </c>
      <c r="BV143" s="192">
        <f t="shared" ca="1" si="142"/>
        <v>0</v>
      </c>
      <c r="BW143" s="192"/>
      <c r="BX143" s="192"/>
      <c r="BY143" s="192" t="str">
        <f t="shared" ca="1" si="143"/>
        <v>Advania Sverige AB</v>
      </c>
      <c r="BZ143" s="192" t="str">
        <f t="shared" ca="1" si="143"/>
        <v>Apple</v>
      </c>
      <c r="CA143" s="200" t="s">
        <v>141</v>
      </c>
      <c r="CB143" s="185">
        <v>128</v>
      </c>
      <c r="CC143" s="185">
        <v>4.2</v>
      </c>
      <c r="CD143" s="185" t="s">
        <v>86</v>
      </c>
      <c r="CE143" s="185" t="s">
        <v>353</v>
      </c>
      <c r="CF143" s="185" t="s">
        <v>164</v>
      </c>
      <c r="CG143" s="185" t="s">
        <v>470</v>
      </c>
      <c r="CH143" s="192" t="s">
        <v>142</v>
      </c>
      <c r="CI143" s="185" t="s">
        <v>86</v>
      </c>
      <c r="CJ143" s="185">
        <v>4.2</v>
      </c>
      <c r="CK143" s="185" t="s">
        <v>164</v>
      </c>
      <c r="CL143" s="185" t="s">
        <v>352</v>
      </c>
      <c r="CM143" s="185" t="s">
        <v>69</v>
      </c>
      <c r="CN143" s="185" t="s">
        <v>83</v>
      </c>
    </row>
    <row r="144" spans="2:92" ht="22.5" customHeight="1" outlineLevel="1" x14ac:dyDescent="0.35">
      <c r="C144" s="61" t="s">
        <v>7</v>
      </c>
      <c r="D144" s="64"/>
      <c r="F144" s="78" t="str">
        <f t="shared" si="144"/>
        <v/>
      </c>
      <c r="G144" s="79">
        <f t="shared" ca="1" si="145"/>
        <v>10.3</v>
      </c>
      <c r="H144" s="79">
        <f t="shared" ca="1" si="145"/>
        <v>10.1</v>
      </c>
      <c r="I144" s="120">
        <f t="shared" ca="1" si="145"/>
        <v>10.199999999999999</v>
      </c>
      <c r="J144" s="62"/>
      <c r="K144" s="185">
        <f t="shared" ca="1" si="121"/>
        <v>0</v>
      </c>
      <c r="L144" s="185" t="b">
        <f t="shared" si="122"/>
        <v>1</v>
      </c>
      <c r="M144" s="185" t="s">
        <v>128</v>
      </c>
      <c r="N144" s="185" t="str">
        <f t="shared" ca="1" si="123"/>
        <v>Offererad produktnr. 07Dustin Sverige AB</v>
      </c>
      <c r="O144" s="185" cm="1">
        <f t="array" aca="1" ref="O144" ca="1">MIN(IF(($BY$142:$BY$165=M144)*($AM$142:$AM$165=$O$139),$Z$142:$Z$165))</f>
        <v>3261</v>
      </c>
      <c r="P144" s="197">
        <f ca="1">SMALL($Z$142:$Z$167,3)</f>
        <v>3205</v>
      </c>
      <c r="Q144" s="185">
        <f t="shared" si="124"/>
        <v>0</v>
      </c>
      <c r="R144" s="185">
        <f t="shared" si="125"/>
        <v>0</v>
      </c>
      <c r="S144" s="185">
        <f t="shared" si="126"/>
        <v>0</v>
      </c>
      <c r="T144" s="185">
        <f t="shared" si="127"/>
        <v>0</v>
      </c>
      <c r="U144" s="185">
        <f t="shared" si="128"/>
        <v>0</v>
      </c>
      <c r="V144" s="185">
        <f t="shared" si="129"/>
        <v>0</v>
      </c>
      <c r="W144" s="185">
        <f t="shared" si="130"/>
        <v>0</v>
      </c>
      <c r="X144" s="185">
        <f t="shared" si="131"/>
        <v>0</v>
      </c>
      <c r="Y144" s="185">
        <f t="shared" si="132"/>
        <v>0</v>
      </c>
      <c r="Z144" s="196">
        <f t="shared" ca="1" si="133"/>
        <v>8671</v>
      </c>
      <c r="AA144" s="185" t="str">
        <f t="shared" si="134"/>
        <v>Offererad produktnr. 09Advania Sverige AB</v>
      </c>
      <c r="AB144" s="185" t="b">
        <f>IF(D143="",TRUE,IF(COUNTIF(Processor!$M$2:$M$3,D143)=0,IF(AN144=D143,TRUE,FALSE),IF(COUNTIF(AN144,INDEX(Processor!$N$2:$N$3,MATCH(Surfplattor!D143,Processor!$M$2:$M$3,0)))&gt;0,TRUE,FALSE)))</f>
        <v>1</v>
      </c>
      <c r="AC144" s="185" t="b">
        <f>IF($D$144="",TRUE,IF(COUNTIF(Processor!$I$2:$I$9,$D$144)&gt;0,AND(AO144&gt;INDEX(Processor!$J$2:$J$9,MATCH($D$144,Processor!$I$2:$I$9,0)),AO144&lt;INDEX(Processor!$K$2:$K$9,MATCH($D$144,Processor!$I$2:$I$9,0))),IF(AO144=$D$144,TRUE,FALSE)))</f>
        <v>1</v>
      </c>
      <c r="AD144" s="185" t="b">
        <f t="shared" si="135"/>
        <v>1</v>
      </c>
      <c r="AE144" s="185" t="b">
        <f t="shared" si="136"/>
        <v>1</v>
      </c>
      <c r="AF144" s="185" t="b">
        <f t="shared" si="137"/>
        <v>1</v>
      </c>
      <c r="AG144" s="185" t="b">
        <f t="shared" si="138"/>
        <v>1</v>
      </c>
      <c r="AH144" s="185" t="b">
        <f>IF($D$149="",TRUE,IF(INDEX(Processor!$C$14:$C$20,MATCH(LEFT(AT144,10)&amp;"",Processor!$A$14:$A$20,0))&gt;=INDEX(Processor!$C$14:$C$20,MATCH(LEFT($D$149,10)&amp;"",Processor!$A$14:$A$20,0)),TRUE,FALSE))</f>
        <v>1</v>
      </c>
      <c r="AI144" s="185" t="b">
        <f t="shared" si="139"/>
        <v>1</v>
      </c>
      <c r="AJ144" s="185"/>
      <c r="AK144" s="185"/>
      <c r="AL144" s="185" t="s">
        <v>206</v>
      </c>
      <c r="AM144" s="185">
        <v>1</v>
      </c>
      <c r="AN144" s="185" t="str">
        <f t="shared" ca="1" si="140"/>
        <v>Android 11</v>
      </c>
      <c r="AO144" s="185">
        <f t="shared" ca="1" si="140"/>
        <v>11</v>
      </c>
      <c r="AP144" s="185" t="str">
        <f t="shared" ca="1" si="140"/>
        <v>2560x1600</v>
      </c>
      <c r="AQ144" s="185">
        <f t="shared" ca="1" si="140"/>
        <v>128</v>
      </c>
      <c r="AR144" s="185">
        <f t="shared" ca="1" si="140"/>
        <v>5.3</v>
      </c>
      <c r="AS144" s="185" t="str">
        <f t="shared" ca="1" si="140"/>
        <v>802.11a/b/g/n/ac/ax</v>
      </c>
      <c r="AT144" s="185">
        <f t="shared" ca="1" si="140"/>
        <v>13</v>
      </c>
      <c r="AU144" s="185" t="str">
        <f t="shared" ca="1" si="140"/>
        <v>Ej miljömärkt</v>
      </c>
      <c r="AV144" s="185" t="str">
        <f t="shared" ca="1" si="140"/>
        <v>802.11a/b/g/n/ac/ax</v>
      </c>
      <c r="AW144" s="185">
        <f t="shared" ca="1" si="140"/>
        <v>5.3</v>
      </c>
      <c r="AX144" s="185">
        <f t="shared" ca="1" si="141"/>
        <v>13</v>
      </c>
      <c r="AY144" s="185" t="str">
        <f t="shared" ca="1" si="141"/>
        <v>Samsung Galaxy Tab S9</v>
      </c>
      <c r="AZ144" s="185">
        <f t="shared" ca="1" si="141"/>
        <v>0</v>
      </c>
      <c r="BA144" s="185" t="str">
        <f t="shared" ca="1" si="141"/>
        <v>Android 11</v>
      </c>
      <c r="BB144" s="185">
        <f t="shared" ca="1" si="141"/>
        <v>8671</v>
      </c>
      <c r="BC144" s="185">
        <f t="shared" ca="1" si="141"/>
        <v>8671</v>
      </c>
      <c r="BD144" s="192" t="str">
        <f t="shared" ca="1" si="141"/>
        <v>Insmat</v>
      </c>
      <c r="BE144" s="192" t="str">
        <f t="shared" ca="1" si="141"/>
        <v>Samsung</v>
      </c>
      <c r="BF144" s="192" t="str">
        <f t="shared" ca="1" si="141"/>
        <v>CoreParts</v>
      </c>
      <c r="BG144" s="192" t="str">
        <f t="shared" ca="1" si="141"/>
        <v>DELTACO</v>
      </c>
      <c r="BH144" s="192" t="str">
        <f t="shared" ca="1" si="142"/>
        <v>Samsung</v>
      </c>
      <c r="BI144" s="192" t="str">
        <f t="shared" ca="1" si="142"/>
        <v xml:space="preserve">652-1287 - Baksidesskydd för surfplatta - robust - rugged armor </v>
      </c>
      <c r="BJ144" s="192" t="str">
        <f t="shared" ca="1" si="142"/>
        <v>EF-UX710CTEGWW - EF-UX710 - Skärmskydd för surfplatta</v>
      </c>
      <c r="BK144" s="192" t="str">
        <f t="shared" ca="1" si="142"/>
        <v>MBXUSB-AC0011 - Strömadapter - 12 Watt - 2.4 A (USB) - på kabel: USB-C - vit - med USB-C cable (2m)</v>
      </c>
      <c r="BL144" s="192" t="str">
        <f t="shared" ca="1" si="142"/>
        <v>TB-631</v>
      </c>
      <c r="BM144" s="192" t="str">
        <f t="shared" ca="1" si="142"/>
        <v>EJ-PX710BBEGEU - S Pen - Aktiv penna - Bluetooth</v>
      </c>
      <c r="BN144" s="192">
        <f t="shared" ca="1" si="142"/>
        <v>174</v>
      </c>
      <c r="BO144" s="192">
        <f t="shared" ca="1" si="142"/>
        <v>219</v>
      </c>
      <c r="BP144" s="192">
        <f t="shared" ca="1" si="142"/>
        <v>108</v>
      </c>
      <c r="BQ144" s="192">
        <f t="shared" ca="1" si="142"/>
        <v>169</v>
      </c>
      <c r="BR144" s="192">
        <f t="shared" ca="1" si="142"/>
        <v>295</v>
      </c>
      <c r="BS144" s="192">
        <f t="shared" ca="1" si="142"/>
        <v>269</v>
      </c>
      <c r="BT144" s="192">
        <f t="shared" ca="1" si="142"/>
        <v>50</v>
      </c>
      <c r="BU144" s="192">
        <f t="shared" ca="1" si="142"/>
        <v>50</v>
      </c>
      <c r="BV144" s="192">
        <f t="shared" ca="1" si="142"/>
        <v>0</v>
      </c>
      <c r="BW144" s="192"/>
      <c r="BX144" s="192"/>
      <c r="BY144" s="192" t="str">
        <f t="shared" ca="1" si="143"/>
        <v>Advania Sverige AB</v>
      </c>
      <c r="BZ144" s="192" t="str">
        <f t="shared" ca="1" si="143"/>
        <v>Samsung</v>
      </c>
      <c r="CA144" s="199" t="s">
        <v>90</v>
      </c>
      <c r="CB144" s="185">
        <v>0</v>
      </c>
      <c r="CC144" s="186">
        <v>5</v>
      </c>
      <c r="CD144" s="185"/>
      <c r="CE144" s="185">
        <v>10.199999999999999</v>
      </c>
      <c r="CF144" s="185" t="s">
        <v>144</v>
      </c>
      <c r="CG144" s="185" t="s">
        <v>96</v>
      </c>
      <c r="CH144" s="185" t="s">
        <v>94</v>
      </c>
      <c r="CI144" s="185"/>
      <c r="CJ144" s="186">
        <v>5</v>
      </c>
      <c r="CK144" s="185" t="s">
        <v>144</v>
      </c>
      <c r="CL144" s="185"/>
      <c r="CM144" s="185"/>
      <c r="CN144" s="185" t="s">
        <v>91</v>
      </c>
    </row>
    <row r="145" spans="2:94" ht="22.5" customHeight="1" outlineLevel="1" x14ac:dyDescent="0.35">
      <c r="C145" s="61" t="s">
        <v>2</v>
      </c>
      <c r="D145" s="64"/>
      <c r="F145" s="78" t="str">
        <f t="shared" si="144"/>
        <v/>
      </c>
      <c r="G145" s="79" t="str">
        <f t="shared" ca="1" si="145"/>
        <v>1920x1200</v>
      </c>
      <c r="H145" s="79" t="str">
        <f t="shared" ca="1" si="145"/>
        <v>1920x1200</v>
      </c>
      <c r="I145" s="120" t="str">
        <f t="shared" ca="1" si="145"/>
        <v>2160x1620</v>
      </c>
      <c r="J145" s="62"/>
      <c r="K145" s="185">
        <f t="shared" ca="1" si="121"/>
        <v>0</v>
      </c>
      <c r="L145" s="185" t="b">
        <f t="shared" si="122"/>
        <v>1</v>
      </c>
      <c r="M145" s="185" t="s">
        <v>169</v>
      </c>
      <c r="N145" s="185" t="str">
        <f t="shared" ca="1" si="123"/>
        <v>Offererad produktnr. 08Foxway Education AB</v>
      </c>
      <c r="O145" s="185" cm="1">
        <f t="array" aca="1" ref="O145" ca="1">MIN(IF(($BY$142:$BY$165=M145)*($AM$142:$AM$165=$O$139),$Z$142:$Z$165))</f>
        <v>3894</v>
      </c>
      <c r="P145" s="197"/>
      <c r="Q145" s="185">
        <f t="shared" si="124"/>
        <v>0</v>
      </c>
      <c r="R145" s="185">
        <f t="shared" si="125"/>
        <v>0</v>
      </c>
      <c r="S145" s="185">
        <f t="shared" si="126"/>
        <v>0</v>
      </c>
      <c r="T145" s="185">
        <f t="shared" si="127"/>
        <v>0</v>
      </c>
      <c r="U145" s="185">
        <f t="shared" si="128"/>
        <v>0</v>
      </c>
      <c r="V145" s="185">
        <f t="shared" si="129"/>
        <v>0</v>
      </c>
      <c r="W145" s="185">
        <f t="shared" si="130"/>
        <v>0</v>
      </c>
      <c r="X145" s="185">
        <f t="shared" si="131"/>
        <v>0</v>
      </c>
      <c r="Y145" s="185">
        <f t="shared" si="132"/>
        <v>0</v>
      </c>
      <c r="Z145" s="196">
        <f t="shared" ca="1" si="133"/>
        <v>6116</v>
      </c>
      <c r="AA145" s="185" t="str">
        <f t="shared" si="134"/>
        <v>Offererad produktnr. 10Advania Sverige AB</v>
      </c>
      <c r="AB145" s="185" t="b">
        <f>IF(D143="",TRUE,IF(COUNTIF(Processor!$M$2:$M$3,D143)=0,IF(AN145=D143,TRUE,FALSE),IF(COUNTIF(AN145,INDEX(Processor!$N$2:$N$3,MATCH(Surfplattor!D143,Processor!$M$2:$M$3,0)))&gt;0,TRUE,FALSE)))</f>
        <v>1</v>
      </c>
      <c r="AC145" s="185" t="b">
        <f>IF($D$144="",TRUE,IF(COUNTIF(Processor!$I$2:$I$9,$D$144)&gt;0,AND(AO145&gt;INDEX(Processor!$J$2:$J$9,MATCH($D$144,Processor!$I$2:$I$9,0)),AO145&lt;INDEX(Processor!$K$2:$K$9,MATCH($D$144,Processor!$I$2:$I$9,0))),IF(AO145=$D$144,TRUE,FALSE)))</f>
        <v>1</v>
      </c>
      <c r="AD145" s="185" t="b">
        <f t="shared" si="135"/>
        <v>1</v>
      </c>
      <c r="AE145" s="185" t="b">
        <f t="shared" si="136"/>
        <v>1</v>
      </c>
      <c r="AF145" s="185" t="b">
        <f t="shared" si="137"/>
        <v>1</v>
      </c>
      <c r="AG145" s="185" t="b">
        <f t="shared" si="138"/>
        <v>1</v>
      </c>
      <c r="AH145" s="185" t="b">
        <f>IF($D$149="",TRUE,IF(INDEX(Processor!$C$14:$C$20,MATCH(LEFT(AT145,10)&amp;"",Processor!$A$14:$A$20,0))&gt;=INDEX(Processor!$C$14:$C$20,MATCH(LEFT($D$149,10)&amp;"",Processor!$A$14:$A$20,0)),TRUE,FALSE))</f>
        <v>1</v>
      </c>
      <c r="AI145" s="185" t="b">
        <f t="shared" si="139"/>
        <v>1</v>
      </c>
      <c r="AJ145" s="185"/>
      <c r="AK145" s="185"/>
      <c r="AL145" s="185" t="s">
        <v>207</v>
      </c>
      <c r="AM145" s="185">
        <v>1</v>
      </c>
      <c r="AN145" s="185" t="str">
        <f t="shared" ca="1" si="140"/>
        <v>Android 11</v>
      </c>
      <c r="AO145" s="185">
        <f t="shared" ca="1" si="140"/>
        <v>11</v>
      </c>
      <c r="AP145" s="185" t="str">
        <f t="shared" ca="1" si="140"/>
        <v>2560x1600</v>
      </c>
      <c r="AQ145" s="185">
        <f t="shared" ca="1" si="140"/>
        <v>128</v>
      </c>
      <c r="AR145" s="185">
        <f t="shared" ca="1" si="140"/>
        <v>5.2</v>
      </c>
      <c r="AS145" s="185" t="str">
        <f t="shared" ca="1" si="140"/>
        <v>802.11a/b/g/n/ac/ax</v>
      </c>
      <c r="AT145" s="185">
        <f t="shared" ca="1" si="140"/>
        <v>13</v>
      </c>
      <c r="AU145" s="185" t="str">
        <f t="shared" ca="1" si="140"/>
        <v>Ej miljömärkt</v>
      </c>
      <c r="AV145" s="185" t="str">
        <f t="shared" ca="1" si="140"/>
        <v>802.11a/b/g/n/ac/ax</v>
      </c>
      <c r="AW145" s="185">
        <f t="shared" ca="1" si="140"/>
        <v>5.2</v>
      </c>
      <c r="AX145" s="185">
        <f t="shared" ca="1" si="141"/>
        <v>13</v>
      </c>
      <c r="AY145" s="185" t="str">
        <f t="shared" ca="1" si="141"/>
        <v>Samsung Galaxy Tab S8</v>
      </c>
      <c r="AZ145" s="185">
        <f t="shared" ca="1" si="141"/>
        <v>0</v>
      </c>
      <c r="BA145" s="185" t="str">
        <f t="shared" ca="1" si="141"/>
        <v>Android 11</v>
      </c>
      <c r="BB145" s="185">
        <f t="shared" ca="1" si="141"/>
        <v>6116</v>
      </c>
      <c r="BC145" s="185">
        <f t="shared" ca="1" si="141"/>
        <v>6116</v>
      </c>
      <c r="BD145" s="192" t="str">
        <f t="shared" ca="1" si="141"/>
        <v>Insmat</v>
      </c>
      <c r="BE145" s="192" t="str">
        <f t="shared" ca="1" si="141"/>
        <v>Tolerate</v>
      </c>
      <c r="BF145" s="192" t="str">
        <f t="shared" ca="1" si="141"/>
        <v>CoreParts</v>
      </c>
      <c r="BG145" s="192" t="str">
        <f t="shared" ca="1" si="141"/>
        <v>DELTACO</v>
      </c>
      <c r="BH145" s="192" t="str">
        <f t="shared" ca="1" si="142"/>
        <v xml:space="preserve">ZAGG </v>
      </c>
      <c r="BI145" s="192" t="str">
        <f t="shared" ca="1" si="142"/>
        <v xml:space="preserve">652-1287 - Baksidesskydd för surfplatta - robust - rugged armor </v>
      </c>
      <c r="BJ145" s="192" t="str">
        <f t="shared" ca="1" si="142"/>
        <v>ED600189 - Skärmskydd för surfplatta</v>
      </c>
      <c r="BK145" s="192" t="str">
        <f t="shared" ca="1" si="142"/>
        <v>MBXUSB-AC0011 - Strömadapter - 12 Watt - 2.4 A (USB) - på kabel: USB-C - vit - med USB-C cable (2m)</v>
      </c>
      <c r="BL145" s="192" t="str">
        <f t="shared" ca="1" si="142"/>
        <v>TB-631</v>
      </c>
      <c r="BM145" s="192" t="str">
        <f t="shared" ca="1" si="142"/>
        <v>109912139 - Pro Stylus 2 - Aktiv penna - grå</v>
      </c>
      <c r="BN145" s="192">
        <f t="shared" ca="1" si="142"/>
        <v>181</v>
      </c>
      <c r="BO145" s="192">
        <f t="shared" ca="1" si="142"/>
        <v>228</v>
      </c>
      <c r="BP145" s="192">
        <f t="shared" ca="1" si="142"/>
        <v>108</v>
      </c>
      <c r="BQ145" s="192">
        <f t="shared" ca="1" si="142"/>
        <v>169</v>
      </c>
      <c r="BR145" s="192">
        <f t="shared" ca="1" si="142"/>
        <v>595</v>
      </c>
      <c r="BS145" s="192">
        <f t="shared" ca="1" si="142"/>
        <v>781</v>
      </c>
      <c r="BT145" s="192">
        <f t="shared" ca="1" si="142"/>
        <v>50</v>
      </c>
      <c r="BU145" s="192">
        <f t="shared" ca="1" si="142"/>
        <v>50</v>
      </c>
      <c r="BV145" s="192">
        <f t="shared" ca="1" si="142"/>
        <v>0</v>
      </c>
      <c r="BW145" s="192"/>
      <c r="BX145" s="192"/>
      <c r="BY145" s="192" t="str">
        <f t="shared" ca="1" si="143"/>
        <v>Advania Sverige AB</v>
      </c>
      <c r="BZ145" s="192" t="str">
        <f t="shared" ca="1" si="143"/>
        <v>Samsung</v>
      </c>
      <c r="CA145" s="199" t="s">
        <v>95</v>
      </c>
      <c r="CB145" s="185"/>
      <c r="CC145" s="185"/>
      <c r="CD145" s="185"/>
      <c r="CE145" s="185">
        <v>10.3</v>
      </c>
      <c r="CF145" s="185" t="s">
        <v>130</v>
      </c>
      <c r="CG145" s="185" t="s">
        <v>530</v>
      </c>
      <c r="CH145" s="185" t="s">
        <v>171</v>
      </c>
      <c r="CI145" s="185"/>
      <c r="CJ145" s="185">
        <v>5.2</v>
      </c>
      <c r="CK145" s="185" t="s">
        <v>130</v>
      </c>
      <c r="CL145" s="185"/>
      <c r="CM145" s="185"/>
      <c r="CN145" s="185" t="s">
        <v>96</v>
      </c>
    </row>
    <row r="146" spans="2:94" ht="22.5" customHeight="1" outlineLevel="1" x14ac:dyDescent="0.35">
      <c r="C146" s="61" t="s">
        <v>17</v>
      </c>
      <c r="D146" s="64"/>
      <c r="F146" s="78" t="str">
        <f t="shared" si="144"/>
        <v/>
      </c>
      <c r="G146" s="79">
        <f t="shared" ca="1" si="145"/>
        <v>64</v>
      </c>
      <c r="H146" s="79">
        <f t="shared" ca="1" si="145"/>
        <v>64</v>
      </c>
      <c r="I146" s="120">
        <f t="shared" ca="1" si="145"/>
        <v>64</v>
      </c>
      <c r="J146" s="62"/>
      <c r="K146" s="185">
        <f t="shared" ca="1" si="121"/>
        <v>0</v>
      </c>
      <c r="L146" s="185" t="b">
        <f t="shared" si="122"/>
        <v>1</v>
      </c>
      <c r="M146" s="185" t="s">
        <v>167</v>
      </c>
      <c r="N146" s="185" t="str">
        <f t="shared" ca="1" si="123"/>
        <v/>
      </c>
      <c r="O146" s="185" cm="1">
        <f t="array" aca="1" ref="O146" ca="1">MIN(IF(($BY$142:$BY$165=M146)*($AM$142:$AM$165=$O$139),$Z$142:$Z$165))</f>
        <v>0</v>
      </c>
      <c r="P146" s="197"/>
      <c r="Q146" s="185">
        <f t="shared" si="124"/>
        <v>0</v>
      </c>
      <c r="R146" s="185">
        <f t="shared" si="125"/>
        <v>0</v>
      </c>
      <c r="S146" s="185">
        <f t="shared" si="126"/>
        <v>0</v>
      </c>
      <c r="T146" s="185">
        <f t="shared" si="127"/>
        <v>0</v>
      </c>
      <c r="U146" s="185">
        <f t="shared" si="128"/>
        <v>0</v>
      </c>
      <c r="V146" s="185">
        <f t="shared" si="129"/>
        <v>0</v>
      </c>
      <c r="W146" s="185">
        <f t="shared" si="130"/>
        <v>0</v>
      </c>
      <c r="X146" s="185">
        <f t="shared" si="131"/>
        <v>0</v>
      </c>
      <c r="Y146" s="185">
        <f t="shared" si="132"/>
        <v>0</v>
      </c>
      <c r="Z146" s="196">
        <f t="shared" ca="1" si="133"/>
        <v>9140</v>
      </c>
      <c r="AA146" s="185" t="str">
        <f t="shared" si="134"/>
        <v>Offererad produktnr. 07Atea Sverige AB</v>
      </c>
      <c r="AB146" s="185" t="b">
        <f>IF(D143="",TRUE,IF(COUNTIF(Processor!$M$2:$M$3,D143)=0,IF(AN146=D143,TRUE,FALSE),IF(COUNTIF(AN146,INDEX(Processor!$N$2:$N$3,MATCH(Surfplattor!D143,Processor!$M$2:$M$3,0)))&gt;0,TRUE,FALSE)))</f>
        <v>1</v>
      </c>
      <c r="AC146" s="185" t="b">
        <f>IF($D$144="",TRUE,IF(COUNTIF(Processor!$I$2:$I$9,$D$144)&gt;0,AND(AO146&gt;INDEX(Processor!$J$2:$J$9,MATCH($D$144,Processor!$I$2:$I$9,0)),AO146&lt;INDEX(Processor!$K$2:$K$9,MATCH($D$144,Processor!$I$2:$I$9,0))),IF(AO146=$D$144,TRUE,FALSE)))</f>
        <v>1</v>
      </c>
      <c r="AD146" s="185" t="b">
        <f t="shared" si="135"/>
        <v>1</v>
      </c>
      <c r="AE146" s="185" t="b">
        <f t="shared" si="136"/>
        <v>1</v>
      </c>
      <c r="AF146" s="185" t="b">
        <f t="shared" si="137"/>
        <v>1</v>
      </c>
      <c r="AG146" s="185" t="b">
        <f t="shared" si="138"/>
        <v>1</v>
      </c>
      <c r="AH146" s="185" t="b">
        <f>IF($D$149="",TRUE,IF(INDEX(Processor!$C$14:$C$20,MATCH(LEFT(AT146,10)&amp;"",Processor!$A$14:$A$20,0))&gt;=INDEX(Processor!$C$14:$C$20,MATCH(LEFT($D$149,10)&amp;"",Processor!$A$14:$A$20,0)),TRUE,FALSE))</f>
        <v>1</v>
      </c>
      <c r="AI146" s="185" t="b">
        <f t="shared" si="139"/>
        <v>1</v>
      </c>
      <c r="AJ146" s="185"/>
      <c r="AK146" s="185"/>
      <c r="AL146" s="185" t="s">
        <v>192</v>
      </c>
      <c r="AM146" s="185">
        <v>1</v>
      </c>
      <c r="AN146" s="185" t="str">
        <f t="shared" ca="1" si="140"/>
        <v>iPadOS 15</v>
      </c>
      <c r="AO146" s="185">
        <f t="shared" ca="1" si="140"/>
        <v>10.9</v>
      </c>
      <c r="AP146" s="185" t="str">
        <f t="shared" ca="1" si="140"/>
        <v>2360x1640</v>
      </c>
      <c r="AQ146" s="185">
        <f t="shared" ca="1" si="140"/>
        <v>64</v>
      </c>
      <c r="AR146" s="185">
        <f t="shared" ca="1" si="140"/>
        <v>5</v>
      </c>
      <c r="AS146" s="185" t="str">
        <f t="shared" ca="1" si="140"/>
        <v>802.11a/b/g/n/ac/ax</v>
      </c>
      <c r="AT146" s="185">
        <f t="shared" ca="1" si="140"/>
        <v>10</v>
      </c>
      <c r="AU146" s="185" t="str">
        <f t="shared" ca="1" si="140"/>
        <v>EPEAT Gold</v>
      </c>
      <c r="AV146" s="185" t="str">
        <f t="shared" ca="1" si="140"/>
        <v>802.11a/b/g/n/ac/ax</v>
      </c>
      <c r="AW146" s="185">
        <f t="shared" ca="1" si="140"/>
        <v>5</v>
      </c>
      <c r="AX146" s="185">
        <f t="shared" ca="1" si="141"/>
        <v>10</v>
      </c>
      <c r="AY146" s="185" t="str">
        <f t="shared" ca="1" si="141"/>
        <v>10.9-inch iPad Air Wi-Fi 5th Gen</v>
      </c>
      <c r="AZ146" s="185">
        <f t="shared" ca="1" si="141"/>
        <v>0</v>
      </c>
      <c r="BA146" s="185" t="str">
        <f t="shared" ca="1" si="141"/>
        <v>iPadOS 15</v>
      </c>
      <c r="BB146" s="185">
        <f t="shared" ca="1" si="141"/>
        <v>9140</v>
      </c>
      <c r="BC146" s="185">
        <f t="shared" ca="1" si="141"/>
        <v>9140</v>
      </c>
      <c r="BD146" s="192" t="str">
        <f t="shared" ca="1" si="141"/>
        <v>ZAGG</v>
      </c>
      <c r="BE146" s="192" t="str">
        <f t="shared" ca="1" si="141"/>
        <v>ZAGG</v>
      </c>
      <c r="BF146" s="192" t="str">
        <f t="shared" ca="1" si="141"/>
        <v xml:space="preserve">Mophie </v>
      </c>
      <c r="BG146" s="192" t="str">
        <f t="shared" ca="1" si="141"/>
        <v>Tolerate</v>
      </c>
      <c r="BH146" s="192" t="str">
        <f t="shared" ca="1" si="142"/>
        <v>Apple</v>
      </c>
      <c r="BI146" s="192" t="str">
        <f t="shared" ca="1" si="142"/>
        <v>GEAR4 Case Brompton + Folio Apple iPad Air 10.9" (4th Gen)/ iPad Pro 11" (1st &amp; 2nd Gen) - smoke</v>
      </c>
      <c r="BJ146" s="192" t="str">
        <f t="shared" ca="1" si="142"/>
        <v>InvisibleShield Glass Elite+ iPad Air 4/11P (2021) Case friendly Screen</v>
      </c>
      <c r="BK146" s="192" t="str">
        <f t="shared" ca="1" si="142"/>
        <v>Mophie USB typ C-kabel/MOPHIE WALL ADAPTER USB-C 20W</v>
      </c>
      <c r="BL146" s="192" t="str">
        <f t="shared" ca="1" si="142"/>
        <v>TOLERATE KEYBOARD FOLIO IPAD AIR 10,9 BLACK</v>
      </c>
      <c r="BM146" s="192" t="str">
        <f t="shared" ca="1" si="142"/>
        <v>Apple Pencil 2nd Generation - Penna för surfplatta - för 10.9-inch iPad Air (4th generation); 11-inch iPad Pro (1st generation, 2nd generation, 3rd generation); 12.9-inch iPad Pro (3rd generation, 4th generation, 5th generation)</v>
      </c>
      <c r="BN146" s="192">
        <f t="shared" ca="1" si="142"/>
        <v>344</v>
      </c>
      <c r="BO146" s="192">
        <f t="shared" ca="1" si="142"/>
        <v>302</v>
      </c>
      <c r="BP146" s="192">
        <f t="shared" ca="1" si="142"/>
        <v>289</v>
      </c>
      <c r="BQ146" s="192">
        <f t="shared" ca="1" si="142"/>
        <v>756</v>
      </c>
      <c r="BR146" s="192">
        <f t="shared" ca="1" si="142"/>
        <v>1742</v>
      </c>
      <c r="BS146" s="192">
        <f t="shared" ca="1" si="142"/>
        <v>672</v>
      </c>
      <c r="BT146" s="192">
        <f t="shared" ca="1" si="142"/>
        <v>85</v>
      </c>
      <c r="BU146" s="192">
        <f t="shared" ca="1" si="142"/>
        <v>100</v>
      </c>
      <c r="BV146" s="192">
        <f t="shared" ca="1" si="142"/>
        <v>0</v>
      </c>
      <c r="BW146" s="192"/>
      <c r="BX146" s="192"/>
      <c r="BY146" s="192" t="str">
        <f t="shared" ca="1" si="143"/>
        <v>Atea Sverige AB</v>
      </c>
      <c r="BZ146" s="192" t="str">
        <f t="shared" ca="1" si="143"/>
        <v>Apple</v>
      </c>
      <c r="CA146" s="199" t="s">
        <v>435</v>
      </c>
      <c r="CB146" s="185"/>
      <c r="CC146" s="185"/>
      <c r="CD146" s="185"/>
      <c r="CE146" s="185">
        <v>10.4</v>
      </c>
      <c r="CF146" s="185" t="s">
        <v>225</v>
      </c>
      <c r="CG146" s="185" t="s">
        <v>165</v>
      </c>
      <c r="CH146" s="185"/>
      <c r="CI146" s="185"/>
      <c r="CJ146" s="185"/>
      <c r="CK146" s="185" t="s">
        <v>225</v>
      </c>
      <c r="CL146" s="185"/>
      <c r="CM146" s="185"/>
      <c r="CN146" s="185"/>
    </row>
    <row r="147" spans="2:94" ht="28.5" customHeight="1" outlineLevel="1" x14ac:dyDescent="0.35">
      <c r="C147" s="61" t="s">
        <v>75</v>
      </c>
      <c r="D147" s="110"/>
      <c r="F147" s="78" t="str">
        <f t="shared" si="144"/>
        <v/>
      </c>
      <c r="G147" s="79">
        <f t="shared" ca="1" si="145"/>
        <v>5</v>
      </c>
      <c r="H147" s="79">
        <f t="shared" ca="1" si="145"/>
        <v>5</v>
      </c>
      <c r="I147" s="120">
        <f t="shared" ca="1" si="145"/>
        <v>4.2</v>
      </c>
      <c r="J147" s="62"/>
      <c r="K147" s="185">
        <f t="shared" ca="1" si="121"/>
        <v>0</v>
      </c>
      <c r="L147" s="185" t="b">
        <f t="shared" si="122"/>
        <v>1</v>
      </c>
      <c r="M147" s="185" t="s">
        <v>546</v>
      </c>
      <c r="N147" s="185" t="str">
        <f t="shared" ca="1" si="123"/>
        <v>Offererad produktnr. 07Qlosr Göteborg AB</v>
      </c>
      <c r="O147" s="185" cm="1">
        <f t="array" aca="1" ref="O147" ca="1">MIN(IF(($BY$142:$BY$165=M147)*($AM$142:$AM$165=$O$139),$Z$142:$Z$165))</f>
        <v>1700</v>
      </c>
      <c r="P147" s="197"/>
      <c r="Q147" s="185">
        <f t="shared" si="124"/>
        <v>0</v>
      </c>
      <c r="R147" s="185">
        <f t="shared" si="125"/>
        <v>0</v>
      </c>
      <c r="S147" s="185">
        <f t="shared" si="126"/>
        <v>0</v>
      </c>
      <c r="T147" s="185">
        <f t="shared" si="127"/>
        <v>0</v>
      </c>
      <c r="U147" s="185">
        <f t="shared" si="128"/>
        <v>0</v>
      </c>
      <c r="V147" s="185">
        <f t="shared" si="129"/>
        <v>0</v>
      </c>
      <c r="W147" s="185">
        <f t="shared" si="130"/>
        <v>0</v>
      </c>
      <c r="X147" s="185">
        <f t="shared" si="131"/>
        <v>0</v>
      </c>
      <c r="Y147" s="185">
        <f t="shared" si="132"/>
        <v>0</v>
      </c>
      <c r="Z147" s="196">
        <f t="shared" ca="1" si="133"/>
        <v>5254</v>
      </c>
      <c r="AA147" s="185" t="str">
        <f t="shared" si="134"/>
        <v>Offererad produktnr. 08Atea Sverige AB</v>
      </c>
      <c r="AB147" s="185" t="b">
        <f>IF(D143="",TRUE,IF(COUNTIF(Processor!$M$2:$M$3,D143)=0,IF(AN147=D143,TRUE,FALSE),IF(COUNTIF(AN147,INDEX(Processor!$N$2:$N$3,MATCH(Surfplattor!D143,Processor!$M$2:$M$3,0)))&gt;0,TRUE,FALSE)))</f>
        <v>1</v>
      </c>
      <c r="AC147" s="185" t="b">
        <f>IF($D$144="",TRUE,IF(COUNTIF(Processor!$I$2:$I$9,$D$144)&gt;0,AND(AO147&gt;INDEX(Processor!$J$2:$J$9,MATCH($D$144,Processor!$I$2:$I$9,0)),AO147&lt;INDEX(Processor!$K$2:$K$9,MATCH($D$144,Processor!$I$2:$I$9,0))),IF(AO147=$D$144,TRUE,FALSE)))</f>
        <v>1</v>
      </c>
      <c r="AD147" s="185" t="b">
        <f t="shared" si="135"/>
        <v>1</v>
      </c>
      <c r="AE147" s="185" t="b">
        <f t="shared" si="136"/>
        <v>1</v>
      </c>
      <c r="AF147" s="185" t="b">
        <f t="shared" si="137"/>
        <v>1</v>
      </c>
      <c r="AG147" s="185" t="b">
        <f t="shared" si="138"/>
        <v>1</v>
      </c>
      <c r="AH147" s="185" t="b">
        <f>IF($D$149="",TRUE,IF(INDEX(Processor!$C$14:$C$20,MATCH(LEFT(AT147,10)&amp;"",Processor!$A$14:$A$20,0))&gt;=INDEX(Processor!$C$14:$C$20,MATCH(LEFT($D$149,10)&amp;"",Processor!$A$14:$A$20,0)),TRUE,FALSE))</f>
        <v>1</v>
      </c>
      <c r="AI147" s="185" t="b">
        <f t="shared" si="139"/>
        <v>1</v>
      </c>
      <c r="AJ147" s="185"/>
      <c r="AK147" s="185"/>
      <c r="AL147" s="185" t="s">
        <v>193</v>
      </c>
      <c r="AM147" s="185">
        <v>1</v>
      </c>
      <c r="AN147" s="185" t="str">
        <f t="shared" ca="1" si="140"/>
        <v>iPadOS 14</v>
      </c>
      <c r="AO147" s="185">
        <f t="shared" ca="1" si="140"/>
        <v>10.199999999999999</v>
      </c>
      <c r="AP147" s="185" t="str">
        <f t="shared" ca="1" si="140"/>
        <v>2160x1620</v>
      </c>
      <c r="AQ147" s="185">
        <f t="shared" ca="1" si="140"/>
        <v>64</v>
      </c>
      <c r="AR147" s="185">
        <f t="shared" ca="1" si="140"/>
        <v>4.2</v>
      </c>
      <c r="AS147" s="185" t="str">
        <f t="shared" ca="1" si="140"/>
        <v>802.11a/b/g/n/ac</v>
      </c>
      <c r="AT147" s="185">
        <f t="shared" ca="1" si="140"/>
        <v>10</v>
      </c>
      <c r="AU147" s="185" t="str">
        <f t="shared" ca="1" si="140"/>
        <v>EPEAT Gold</v>
      </c>
      <c r="AV147" s="185" t="str">
        <f t="shared" ca="1" si="140"/>
        <v>802.11a/b/g/n/ac</v>
      </c>
      <c r="AW147" s="185">
        <f t="shared" ca="1" si="140"/>
        <v>4.2</v>
      </c>
      <c r="AX147" s="185">
        <f t="shared" ca="1" si="141"/>
        <v>10</v>
      </c>
      <c r="AY147" s="185" t="str">
        <f t="shared" ca="1" si="141"/>
        <v>iPad Wi-Fi 9:e Generationen</v>
      </c>
      <c r="AZ147" s="185">
        <f t="shared" ca="1" si="141"/>
        <v>0</v>
      </c>
      <c r="BA147" s="185" t="str">
        <f t="shared" ca="1" si="141"/>
        <v>iPadOS 14</v>
      </c>
      <c r="BB147" s="185">
        <f t="shared" ca="1" si="141"/>
        <v>5254</v>
      </c>
      <c r="BC147" s="185">
        <f t="shared" ca="1" si="141"/>
        <v>5254</v>
      </c>
      <c r="BD147" s="192" t="str">
        <f t="shared" ca="1" si="141"/>
        <v>ZAGG</v>
      </c>
      <c r="BE147" s="192" t="str">
        <f t="shared" ca="1" si="141"/>
        <v>ZAGG</v>
      </c>
      <c r="BF147" s="192" t="str">
        <f t="shared" ca="1" si="141"/>
        <v>Mophie</v>
      </c>
      <c r="BG147" s="192" t="str">
        <f t="shared" ca="1" si="141"/>
        <v>Tolerate</v>
      </c>
      <c r="BH147" s="192" t="str">
        <f t="shared" ca="1" si="142"/>
        <v>Apple</v>
      </c>
      <c r="BI147" s="192" t="str">
        <f t="shared" ca="1" si="142"/>
        <v>ZAGG Rugged Messenger Case - Skyddsfodral för surfplatta - robust - 10.2" - för Apple 10.2-inch iPad</v>
      </c>
      <c r="BJ147" s="192" t="str">
        <f t="shared" ca="1" si="142"/>
        <v>InvisibleShield Glass Elite+ Apple iPad 10.2" Screen</v>
      </c>
      <c r="BK147" s="192" t="str">
        <f t="shared" ca="1" si="142"/>
        <v>Wall Adapter-USB-C-20W-White-EU/mophie Charge and Sync Cable- USB-C to Lightning Cable 1.8M – White</v>
      </c>
      <c r="BL147" s="192" t="str">
        <f t="shared" ca="1" si="142"/>
        <v>Tolerate KEYBOARD FOLIO - Tangentbord och foliefodral - Bluetooth - svensk - svart - för Apple 10.2-inch iPad</v>
      </c>
      <c r="BM147" s="192" t="str">
        <f t="shared" ca="1" si="142"/>
        <v>Apple Pencil - Penna för surfplatta - för 10.2-inch iPad (7th generation, 8th generation); 10.5-inch iPad Air (3rd generation); 10.5-inch iPad Pro; 12.9-inch iPad Pro (1st generation, 2nd generation); 9.7-inch iPad (6th generation); 9.7-inch iPad Pro; iPad mini 5</v>
      </c>
      <c r="BN147" s="192">
        <f t="shared" ca="1" si="142"/>
        <v>430</v>
      </c>
      <c r="BO147" s="192">
        <f t="shared" ca="1" si="142"/>
        <v>302</v>
      </c>
      <c r="BP147" s="192">
        <f t="shared" ca="1" si="142"/>
        <v>226</v>
      </c>
      <c r="BQ147" s="192">
        <f t="shared" ca="1" si="142"/>
        <v>756</v>
      </c>
      <c r="BR147" s="192">
        <f t="shared" ca="1" si="142"/>
        <v>1284</v>
      </c>
      <c r="BS147" s="192">
        <f t="shared" ca="1" si="142"/>
        <v>672</v>
      </c>
      <c r="BT147" s="192">
        <f t="shared" ca="1" si="142"/>
        <v>85</v>
      </c>
      <c r="BU147" s="192">
        <f t="shared" ca="1" si="142"/>
        <v>100</v>
      </c>
      <c r="BV147" s="192">
        <f t="shared" ca="1" si="142"/>
        <v>0</v>
      </c>
      <c r="BW147" s="192"/>
      <c r="BX147" s="192"/>
      <c r="BY147" s="192" t="str">
        <f t="shared" ca="1" si="143"/>
        <v>Atea Sverige AB</v>
      </c>
      <c r="BZ147" s="192" t="str">
        <f t="shared" ca="1" si="143"/>
        <v>Apple</v>
      </c>
      <c r="CA147" s="199" t="s">
        <v>93</v>
      </c>
      <c r="CB147" s="185"/>
      <c r="CC147" s="185"/>
      <c r="CD147" s="185"/>
      <c r="CE147" s="185">
        <v>10.9</v>
      </c>
      <c r="CF147" s="185" t="s">
        <v>146</v>
      </c>
      <c r="CG147" s="185" t="s">
        <v>91</v>
      </c>
      <c r="CH147" s="185"/>
      <c r="CI147" s="185"/>
      <c r="CJ147" s="185"/>
      <c r="CK147" s="185" t="s">
        <v>146</v>
      </c>
      <c r="CL147" s="185"/>
      <c r="CM147" s="185"/>
      <c r="CN147" s="185"/>
    </row>
    <row r="148" spans="2:94" ht="29.25" customHeight="1" outlineLevel="1" x14ac:dyDescent="0.35">
      <c r="C148" s="61" t="s">
        <v>103</v>
      </c>
      <c r="D148" s="64"/>
      <c r="F148" s="78" t="str">
        <f t="shared" si="144"/>
        <v/>
      </c>
      <c r="G148" s="79" t="str">
        <f t="shared" ca="1" si="145"/>
        <v>802.11a/b/g/n/ac</v>
      </c>
      <c r="H148" s="79" t="str">
        <f t="shared" ca="1" si="145"/>
        <v>802.11a/b/g/n/ac</v>
      </c>
      <c r="I148" s="120" t="str">
        <f t="shared" ca="1" si="145"/>
        <v>802.11a/b/g/n/ac</v>
      </c>
      <c r="J148" s="62"/>
      <c r="Q148" s="185">
        <f t="shared" si="124"/>
        <v>0</v>
      </c>
      <c r="R148" s="185">
        <f t="shared" si="125"/>
        <v>0</v>
      </c>
      <c r="S148" s="185">
        <f t="shared" si="126"/>
        <v>0</v>
      </c>
      <c r="T148" s="185">
        <f t="shared" si="127"/>
        <v>0</v>
      </c>
      <c r="U148" s="185">
        <f t="shared" si="128"/>
        <v>0</v>
      </c>
      <c r="V148" s="185">
        <f t="shared" si="129"/>
        <v>0</v>
      </c>
      <c r="W148" s="185">
        <f t="shared" si="130"/>
        <v>0</v>
      </c>
      <c r="X148" s="185">
        <f t="shared" si="131"/>
        <v>0</v>
      </c>
      <c r="Y148" s="185">
        <f t="shared" si="132"/>
        <v>0</v>
      </c>
      <c r="Z148" s="196">
        <f t="shared" ca="1" si="133"/>
        <v>10177</v>
      </c>
      <c r="AA148" s="185" t="str">
        <f t="shared" si="134"/>
        <v>Offererad produktnr. 09Atea Sverige AB</v>
      </c>
      <c r="AB148" s="185" t="b">
        <f>IF(D143="",TRUE,IF(COUNTIF(Processor!$M$2:$M$3,D143)=0,IF(AN148=D143,TRUE,FALSE),IF(COUNTIF(AN148,INDEX(Processor!$N$2:$N$3,MATCH(Surfplattor!D143,Processor!$M$2:$M$3,0)))&gt;0,TRUE,FALSE)))</f>
        <v>1</v>
      </c>
      <c r="AC148" s="185" t="b">
        <f>IF($D$144="",TRUE,IF(COUNTIF(Processor!$I$2:$I$9,$D$144)&gt;0,AND(AO148&gt;INDEX(Processor!$J$2:$J$9,MATCH($D$144,Processor!$I$2:$I$9,0)),AO148&lt;INDEX(Processor!$K$2:$K$9,MATCH($D$144,Processor!$I$2:$I$9,0))),IF(AO148=$D$144,TRUE,FALSE)))</f>
        <v>1</v>
      </c>
      <c r="AD148" s="185" t="b">
        <f t="shared" si="135"/>
        <v>1</v>
      </c>
      <c r="AE148" s="185" t="b">
        <f t="shared" si="136"/>
        <v>1</v>
      </c>
      <c r="AF148" s="185" t="b">
        <f t="shared" si="137"/>
        <v>1</v>
      </c>
      <c r="AG148" s="185" t="b">
        <f t="shared" si="138"/>
        <v>1</v>
      </c>
      <c r="AH148" s="185" t="b">
        <f>IF($D$149="",TRUE,IF(INDEX(Processor!$C$14:$C$20,MATCH(LEFT(AT148,10)&amp;"",Processor!$A$14:$A$20,0))&gt;=INDEX(Processor!$C$14:$C$20,MATCH(LEFT($D$149,10)&amp;"",Processor!$A$14:$A$20,0)),TRUE,FALSE))</f>
        <v>1</v>
      </c>
      <c r="AI148" s="185" t="b">
        <f t="shared" si="139"/>
        <v>1</v>
      </c>
      <c r="AJ148" s="185"/>
      <c r="AK148" s="185"/>
      <c r="AL148" s="185" t="s">
        <v>194</v>
      </c>
      <c r="AM148" s="185">
        <v>1</v>
      </c>
      <c r="AN148" s="185" t="str">
        <f t="shared" ca="1" si="140"/>
        <v>Android 13</v>
      </c>
      <c r="AO148" s="185">
        <f t="shared" ca="1" si="140"/>
        <v>11</v>
      </c>
      <c r="AP148" s="185" t="str">
        <f t="shared" ca="1" si="140"/>
        <v>2560x1600</v>
      </c>
      <c r="AQ148" s="185">
        <f t="shared" ca="1" si="140"/>
        <v>128</v>
      </c>
      <c r="AR148" s="185">
        <f t="shared" ca="1" si="140"/>
        <v>5.3</v>
      </c>
      <c r="AS148" s="185" t="str">
        <f t="shared" ca="1" si="140"/>
        <v>802.11a/b/g/n/ac/ax</v>
      </c>
      <c r="AT148" s="185">
        <f t="shared" ca="1" si="140"/>
        <v>13</v>
      </c>
      <c r="AU148" s="185" t="str">
        <f t="shared" ca="1" si="140"/>
        <v>Ej miljömärkt</v>
      </c>
      <c r="AV148" s="185" t="str">
        <f t="shared" ca="1" si="140"/>
        <v>802.11a/b/g/n/ac/ax</v>
      </c>
      <c r="AW148" s="185">
        <f t="shared" ca="1" si="140"/>
        <v>5.3</v>
      </c>
      <c r="AX148" s="185">
        <f t="shared" ca="1" si="141"/>
        <v>13</v>
      </c>
      <c r="AY148" s="185" t="str">
        <f t="shared" ca="1" si="141"/>
        <v>Galaxy Tab S9 Wifi (128GB)</v>
      </c>
      <c r="AZ148" s="185">
        <f t="shared" ca="1" si="141"/>
        <v>0</v>
      </c>
      <c r="BA148" s="185" t="str">
        <f t="shared" ca="1" si="141"/>
        <v>Android 13</v>
      </c>
      <c r="BB148" s="185">
        <f t="shared" ca="1" si="141"/>
        <v>10177</v>
      </c>
      <c r="BC148" s="185">
        <f t="shared" ca="1" si="141"/>
        <v>10177</v>
      </c>
      <c r="BD148" s="192" t="str">
        <f t="shared" ca="1" si="141"/>
        <v>Tolerate</v>
      </c>
      <c r="BE148" s="192" t="str">
        <f t="shared" ca="1" si="141"/>
        <v>Tolerate</v>
      </c>
      <c r="BF148" s="192" t="str">
        <f t="shared" ca="1" si="141"/>
        <v>Samsung</v>
      </c>
      <c r="BG148" s="192" t="str">
        <f t="shared" ca="1" si="141"/>
        <v>Tolerate</v>
      </c>
      <c r="BH148" s="192" t="str">
        <f t="shared" ca="1" si="142"/>
        <v>Samsung</v>
      </c>
      <c r="BI148" s="192" t="str">
        <f t="shared" ca="1" si="142"/>
        <v>TOLERATE ARMOUR FOLIO TAB S9 BULK</v>
      </c>
      <c r="BJ148" s="192" t="str">
        <f t="shared" ca="1" si="142"/>
        <v>TOLERATE GLASS SCREEN PROTECTOR SAMSUNG TAB S9 BULK</v>
      </c>
      <c r="BK148" s="192" t="str">
        <f t="shared" ca="1" si="142"/>
        <v>Samsung Travel Adapter/USB-C till USB-A-kabel - 1.5 m</v>
      </c>
      <c r="BL148" s="192" t="str">
        <f t="shared" ca="1" si="142"/>
        <v xml:space="preserve">TOLERATE KEYBOARD FOLIO SAMSUNG TAB S8 </v>
      </c>
      <c r="BM148" s="192" t="str">
        <f t="shared" ca="1" si="142"/>
        <v>Samsung S-Pen</v>
      </c>
      <c r="BN148" s="192">
        <f t="shared" ca="1" si="142"/>
        <v>461</v>
      </c>
      <c r="BO148" s="192">
        <f t="shared" ca="1" si="142"/>
        <v>281</v>
      </c>
      <c r="BP148" s="192">
        <f t="shared" ca="1" si="142"/>
        <v>386</v>
      </c>
      <c r="BQ148" s="192">
        <f t="shared" ca="1" si="142"/>
        <v>756</v>
      </c>
      <c r="BR148" s="192">
        <f t="shared" ca="1" si="142"/>
        <v>504</v>
      </c>
      <c r="BS148" s="192">
        <f t="shared" ca="1" si="142"/>
        <v>1</v>
      </c>
      <c r="BT148" s="192">
        <f t="shared" ca="1" si="142"/>
        <v>85</v>
      </c>
      <c r="BU148" s="192">
        <f t="shared" ca="1" si="142"/>
        <v>100</v>
      </c>
      <c r="BV148" s="192">
        <f t="shared" ca="1" si="142"/>
        <v>0</v>
      </c>
      <c r="BW148" s="192"/>
      <c r="BX148" s="192"/>
      <c r="BY148" s="192" t="str">
        <f t="shared" ca="1" si="143"/>
        <v>Atea Sverige AB</v>
      </c>
      <c r="BZ148" s="192" t="str">
        <f t="shared" ca="1" si="143"/>
        <v>Samsung</v>
      </c>
      <c r="CA148" s="199" t="s">
        <v>147</v>
      </c>
      <c r="CB148" s="185"/>
      <c r="CC148" s="185"/>
      <c r="CD148" s="185"/>
      <c r="CE148" s="185">
        <v>11</v>
      </c>
      <c r="CF148" s="185"/>
      <c r="CG148" s="192"/>
      <c r="CH148" s="185"/>
      <c r="CI148" s="185"/>
      <c r="CJ148" s="185"/>
      <c r="CK148" s="185"/>
      <c r="CL148" s="185"/>
      <c r="CM148" s="185"/>
      <c r="CN148" s="192"/>
    </row>
    <row r="149" spans="2:94" ht="29.25" customHeight="1" outlineLevel="1" x14ac:dyDescent="0.35">
      <c r="C149" s="61" t="s">
        <v>120</v>
      </c>
      <c r="D149" s="64"/>
      <c r="F149" s="80" t="str">
        <f t="shared" si="144"/>
        <v/>
      </c>
      <c r="G149" s="81">
        <f t="shared" ca="1" si="145"/>
        <v>9</v>
      </c>
      <c r="H149" s="81">
        <f t="shared" ca="1" si="145"/>
        <v>9</v>
      </c>
      <c r="I149" s="121">
        <f t="shared" ca="1" si="145"/>
        <v>10</v>
      </c>
      <c r="J149" s="62"/>
      <c r="Q149" s="185">
        <f t="shared" si="124"/>
        <v>0</v>
      </c>
      <c r="R149" s="185">
        <f t="shared" si="125"/>
        <v>0</v>
      </c>
      <c r="S149" s="185">
        <f t="shared" si="126"/>
        <v>0</v>
      </c>
      <c r="T149" s="185">
        <f t="shared" si="127"/>
        <v>0</v>
      </c>
      <c r="U149" s="185">
        <f t="shared" si="128"/>
        <v>0</v>
      </c>
      <c r="V149" s="185">
        <f t="shared" si="129"/>
        <v>0</v>
      </c>
      <c r="W149" s="185">
        <f t="shared" si="130"/>
        <v>0</v>
      </c>
      <c r="X149" s="185">
        <f t="shared" si="131"/>
        <v>0</v>
      </c>
      <c r="Y149" s="185">
        <f t="shared" si="132"/>
        <v>0</v>
      </c>
      <c r="Z149" s="196">
        <f t="shared" ca="1" si="133"/>
        <v>8276</v>
      </c>
      <c r="AA149" s="185" t="str">
        <f t="shared" si="134"/>
        <v>Offererad produktnr. 10Atea Sverige AB</v>
      </c>
      <c r="AB149" s="185" t="b">
        <f>IF(D143="",TRUE,IF(COUNTIF(Processor!$M$2:$M$3,D143)=0,IF(AN149=D143,TRUE,FALSE),IF(COUNTIF(AN149,INDEX(Processor!$N$2:$N$3,MATCH(Surfplattor!D143,Processor!$M$2:$M$3,0)))&gt;0,TRUE,FALSE)))</f>
        <v>1</v>
      </c>
      <c r="AC149" s="185" t="b">
        <f>IF($D$144="",TRUE,IF(COUNTIF(Processor!$I$2:$I$9,$D$144)&gt;0,AND(AO149&gt;INDEX(Processor!$J$2:$J$9,MATCH($D$144,Processor!$I$2:$I$9,0)),AO149&lt;INDEX(Processor!$K$2:$K$9,MATCH($D$144,Processor!$I$2:$I$9,0))),IF(AO149=$D$144,TRUE,FALSE)))</f>
        <v>1</v>
      </c>
      <c r="AD149" s="185" t="b">
        <f t="shared" si="135"/>
        <v>1</v>
      </c>
      <c r="AE149" s="185" t="b">
        <f t="shared" si="136"/>
        <v>1</v>
      </c>
      <c r="AF149" s="185" t="b">
        <f t="shared" si="137"/>
        <v>1</v>
      </c>
      <c r="AG149" s="185" t="b">
        <f t="shared" si="138"/>
        <v>1</v>
      </c>
      <c r="AH149" s="185" t="b">
        <f>IF($D$149="",TRUE,IF(INDEX(Processor!$C$14:$C$20,MATCH(LEFT(AT149,10)&amp;"",Processor!$A$14:$A$20,0))&gt;=INDEX(Processor!$C$14:$C$20,MATCH(LEFT($D$149,10)&amp;"",Processor!$A$14:$A$20,0)),TRUE,FALSE))</f>
        <v>1</v>
      </c>
      <c r="AI149" s="185" t="b">
        <f t="shared" si="139"/>
        <v>1</v>
      </c>
      <c r="AJ149" s="185"/>
      <c r="AK149" s="185"/>
      <c r="AL149" s="185" t="s">
        <v>195</v>
      </c>
      <c r="AM149" s="185">
        <v>1</v>
      </c>
      <c r="AN149" s="185" t="str">
        <f t="shared" ca="1" si="140"/>
        <v>Android 10</v>
      </c>
      <c r="AO149" s="185">
        <f t="shared" ca="1" si="140"/>
        <v>11.5</v>
      </c>
      <c r="AP149" s="185" t="str">
        <f t="shared" ca="1" si="140"/>
        <v>2560x1600</v>
      </c>
      <c r="AQ149" s="185">
        <f t="shared" ca="1" si="140"/>
        <v>128</v>
      </c>
      <c r="AR149" s="185">
        <f t="shared" ca="1" si="140"/>
        <v>5</v>
      </c>
      <c r="AS149" s="185" t="str">
        <f t="shared" ca="1" si="140"/>
        <v>802.11a/b/g/n/ac</v>
      </c>
      <c r="AT149" s="185">
        <f t="shared" ca="1" si="140"/>
        <v>8</v>
      </c>
      <c r="AU149" s="185" t="str">
        <f t="shared" ca="1" si="140"/>
        <v>Ej miljömärkt</v>
      </c>
      <c r="AV149" s="185" t="str">
        <f t="shared" ca="1" si="140"/>
        <v>802.11a/b/g/n/ac</v>
      </c>
      <c r="AW149" s="185">
        <f t="shared" ca="1" si="140"/>
        <v>5</v>
      </c>
      <c r="AX149" s="185">
        <f t="shared" ca="1" si="141"/>
        <v>8</v>
      </c>
      <c r="AY149" s="185" t="str">
        <f t="shared" ca="1" si="141"/>
        <v>Lenovo Tab P11 Pro</v>
      </c>
      <c r="AZ149" s="185">
        <f t="shared" ca="1" si="141"/>
        <v>0</v>
      </c>
      <c r="BA149" s="185" t="str">
        <f t="shared" ca="1" si="141"/>
        <v>Android 10</v>
      </c>
      <c r="BB149" s="185">
        <f t="shared" ca="1" si="141"/>
        <v>8276</v>
      </c>
      <c r="BC149" s="185">
        <f t="shared" ca="1" si="141"/>
        <v>8276</v>
      </c>
      <c r="BD149" s="192" t="str">
        <f t="shared" ca="1" si="141"/>
        <v>Tolerate</v>
      </c>
      <c r="BE149" s="192" t="str">
        <f t="shared" ca="1" si="141"/>
        <v>Zagg</v>
      </c>
      <c r="BF149" s="192" t="str">
        <f t="shared" ca="1" si="141"/>
        <v>Lenovo</v>
      </c>
      <c r="BG149" s="192" t="str">
        <f t="shared" ca="1" si="141"/>
        <v>Lenovo</v>
      </c>
      <c r="BH149" s="192" t="str">
        <f t="shared" ca="1" si="142"/>
        <v>Lenovo</v>
      </c>
      <c r="BI149" s="192" t="str">
        <f t="shared" ca="1" si="142"/>
        <v>TOLERATE ARMOR FOLIO LENOVO TAB 11 PRO</v>
      </c>
      <c r="BJ149" s="192" t="str">
        <f t="shared" ca="1" si="142"/>
        <v>InvisibleShield Glass Elite+</v>
      </c>
      <c r="BK149" s="192" t="str">
        <f t="shared" ca="1" si="142"/>
        <v xml:space="preserve">Lenovo Smart Charge station </v>
      </c>
      <c r="BL149" s="192" t="str">
        <f t="shared" ca="1" si="142"/>
        <v>Lenovo P11 Pro Keyboard</v>
      </c>
      <c r="BM149" s="192" t="str">
        <f t="shared" ca="1" si="142"/>
        <v>Lenovo Precision Pen 2</v>
      </c>
      <c r="BN149" s="192">
        <f t="shared" ca="1" si="142"/>
        <v>502</v>
      </c>
      <c r="BO149" s="192">
        <f t="shared" ca="1" si="142"/>
        <v>293</v>
      </c>
      <c r="BP149" s="192">
        <f t="shared" ca="1" si="142"/>
        <v>324</v>
      </c>
      <c r="BQ149" s="192">
        <f t="shared" ca="1" si="142"/>
        <v>1138</v>
      </c>
      <c r="BR149" s="192">
        <f t="shared" ca="1" si="142"/>
        <v>718</v>
      </c>
      <c r="BS149" s="192">
        <f t="shared" ca="1" si="142"/>
        <v>1</v>
      </c>
      <c r="BT149" s="192">
        <f t="shared" ca="1" si="142"/>
        <v>85</v>
      </c>
      <c r="BU149" s="192">
        <f t="shared" ca="1" si="142"/>
        <v>100</v>
      </c>
      <c r="BV149" s="192">
        <f t="shared" ca="1" si="142"/>
        <v>0</v>
      </c>
      <c r="BW149" s="192"/>
      <c r="BX149" s="192"/>
      <c r="BY149" s="192" t="str">
        <f t="shared" ca="1" si="143"/>
        <v>Atea Sverige AB</v>
      </c>
      <c r="BZ149" s="192" t="str">
        <f t="shared" ca="1" si="143"/>
        <v>Lenovo</v>
      </c>
      <c r="CA149" s="199"/>
      <c r="CB149" s="185"/>
      <c r="CC149" s="185"/>
      <c r="CD149" s="185"/>
      <c r="CE149" s="185">
        <v>11.5</v>
      </c>
      <c r="CF149" s="185"/>
      <c r="CG149" s="185"/>
      <c r="CH149" s="185"/>
      <c r="CI149" s="185"/>
      <c r="CJ149" s="185"/>
      <c r="CK149" s="192"/>
      <c r="CL149" s="185"/>
      <c r="CM149" s="185"/>
      <c r="CN149" s="185"/>
    </row>
    <row r="150" spans="2:94" ht="29.25" customHeight="1" outlineLevel="1" x14ac:dyDescent="0.35">
      <c r="C150" s="61" t="s">
        <v>39</v>
      </c>
      <c r="D150" s="64"/>
      <c r="F150" s="78" t="str">
        <f t="shared" si="144"/>
        <v/>
      </c>
      <c r="G150" s="79" t="str">
        <f t="shared" ca="1" si="145"/>
        <v>Ej miljömärkt</v>
      </c>
      <c r="H150" s="79" t="str">
        <f t="shared" ca="1" si="145"/>
        <v>Ej miljömärkt</v>
      </c>
      <c r="I150" s="120" t="str">
        <f t="shared" ca="1" si="145"/>
        <v>Ej miljömärkt</v>
      </c>
      <c r="J150" s="62"/>
      <c r="Q150" s="185">
        <f t="shared" si="124"/>
        <v>0</v>
      </c>
      <c r="R150" s="185">
        <f t="shared" si="125"/>
        <v>0</v>
      </c>
      <c r="S150" s="185">
        <f t="shared" si="126"/>
        <v>0</v>
      </c>
      <c r="T150" s="185">
        <f t="shared" si="127"/>
        <v>0</v>
      </c>
      <c r="U150" s="185">
        <f t="shared" si="128"/>
        <v>0</v>
      </c>
      <c r="V150" s="185">
        <f t="shared" si="129"/>
        <v>0</v>
      </c>
      <c r="W150" s="185">
        <f t="shared" si="130"/>
        <v>0</v>
      </c>
      <c r="X150" s="185">
        <f t="shared" si="131"/>
        <v>0</v>
      </c>
      <c r="Y150" s="185">
        <f t="shared" si="132"/>
        <v>0</v>
      </c>
      <c r="Z150" s="196">
        <f t="shared" ca="1" si="133"/>
        <v>3261</v>
      </c>
      <c r="AA150" s="185" t="str">
        <f t="shared" si="134"/>
        <v>Offererad produktnr. 07Dustin Sverige AB</v>
      </c>
      <c r="AB150" s="185" t="b">
        <f>IF(D143="",TRUE,IF(COUNTIF(Processor!$M$2:$M$3,D143)=0,IF(AN150=D143,TRUE,FALSE),IF(COUNTIF(AN150,INDEX(Processor!$N$2:$N$3,MATCH(Surfplattor!D143,Processor!$M$2:$M$3,0)))&gt;0,TRUE,FALSE)))</f>
        <v>1</v>
      </c>
      <c r="AC150" s="185" t="b">
        <f>IF($D$144="",TRUE,IF(COUNTIF(Processor!$I$2:$I$9,$D$144)&gt;0,AND(AO150&gt;INDEX(Processor!$J$2:$J$9,MATCH($D$144,Processor!$I$2:$I$9,0)),AO150&lt;INDEX(Processor!$K$2:$K$9,MATCH($D$144,Processor!$I$2:$I$9,0))),IF(AO150=$D$144,TRUE,FALSE)))</f>
        <v>1</v>
      </c>
      <c r="AD150" s="185" t="b">
        <f t="shared" si="135"/>
        <v>1</v>
      </c>
      <c r="AE150" s="185" t="b">
        <f t="shared" si="136"/>
        <v>1</v>
      </c>
      <c r="AF150" s="185" t="b">
        <f t="shared" si="137"/>
        <v>1</v>
      </c>
      <c r="AG150" s="185" t="b">
        <f t="shared" si="138"/>
        <v>1</v>
      </c>
      <c r="AH150" s="185" t="b">
        <f>IF($D$149="",TRUE,IF(INDEX(Processor!$C$14:$C$20,MATCH(LEFT(AT150,10)&amp;"",Processor!$A$14:$A$20,0))&gt;=INDEX(Processor!$C$14:$C$20,MATCH(LEFT($D$149,10)&amp;"",Processor!$A$14:$A$20,0)),TRUE,FALSE))</f>
        <v>1</v>
      </c>
      <c r="AI150" s="185" t="b">
        <f t="shared" si="139"/>
        <v>1</v>
      </c>
      <c r="AJ150" s="185"/>
      <c r="AK150" s="185"/>
      <c r="AL150" s="185" t="s">
        <v>180</v>
      </c>
      <c r="AM150" s="185">
        <v>1</v>
      </c>
      <c r="AN150" s="185" t="str">
        <f t="shared" ca="1" si="140"/>
        <v>Android 11</v>
      </c>
      <c r="AO150" s="185">
        <f t="shared" ca="1" si="140"/>
        <v>10.4</v>
      </c>
      <c r="AP150" s="185" t="str">
        <f t="shared" ca="1" si="140"/>
        <v>2000x1200</v>
      </c>
      <c r="AQ150" s="185">
        <f t="shared" ca="1" si="140"/>
        <v>64</v>
      </c>
      <c r="AR150" s="185">
        <f t="shared" ca="1" si="140"/>
        <v>5</v>
      </c>
      <c r="AS150" s="185" t="str">
        <f t="shared" ca="1" si="140"/>
        <v>802.11a/b/g/n/ac</v>
      </c>
      <c r="AT150" s="185">
        <f t="shared" ca="1" si="140"/>
        <v>12</v>
      </c>
      <c r="AU150" s="185" t="str">
        <f t="shared" ca="1" si="140"/>
        <v>EPEAT Bronze (Canada)</v>
      </c>
      <c r="AV150" s="185" t="str">
        <f t="shared" ca="1" si="140"/>
        <v>802.11a/b/g/n/ac</v>
      </c>
      <c r="AW150" s="185">
        <f t="shared" ca="1" si="140"/>
        <v>5</v>
      </c>
      <c r="AX150" s="185">
        <f t="shared" ca="1" si="141"/>
        <v>12</v>
      </c>
      <c r="AY150" s="185" t="str">
        <f t="shared" ca="1" si="141"/>
        <v>Galaxy Tab S6 Lite WiFi (64GB)</v>
      </c>
      <c r="AZ150" s="185">
        <f t="shared" ca="1" si="141"/>
        <v>0</v>
      </c>
      <c r="BA150" s="185" t="str">
        <f t="shared" ca="1" si="141"/>
        <v>Android 11</v>
      </c>
      <c r="BB150" s="185">
        <f t="shared" ca="1" si="141"/>
        <v>3261</v>
      </c>
      <c r="BC150" s="185">
        <f t="shared" ca="1" si="141"/>
        <v>3261</v>
      </c>
      <c r="BD150" s="192" t="str">
        <f t="shared" ca="1" si="141"/>
        <v>Samsung</v>
      </c>
      <c r="BE150" s="192" t="str">
        <f t="shared" ca="1" si="141"/>
        <v>Hama</v>
      </c>
      <c r="BF150" s="192" t="str">
        <f t="shared" ca="1" si="141"/>
        <v>Samsung</v>
      </c>
      <c r="BG150" s="192" t="str">
        <f t="shared" ca="1" si="141"/>
        <v>Voxicon</v>
      </c>
      <c r="BH150" s="192" t="str">
        <f t="shared" ca="1" si="142"/>
        <v>Samsung</v>
      </c>
      <c r="BI150" s="192" t="str">
        <f t="shared" ca="1" si="142"/>
        <v>GH96-13408A</v>
      </c>
      <c r="BJ150" s="192" t="str">
        <f t="shared" ca="1" si="142"/>
        <v>KAP12483</v>
      </c>
      <c r="BK150" s="192" t="str">
        <f t="shared" ca="1" si="142"/>
        <v>EP-T1510NBEGEU / EP-TA20EWECGWW</v>
      </c>
      <c r="BL150" s="192" t="str">
        <f t="shared" ca="1" si="142"/>
        <v>DK-199B-G</v>
      </c>
      <c r="BM150" s="192" t="str">
        <f t="shared" ca="1" si="142"/>
        <v>EJ-PP610BJEGEU / EJ-PP610BLEGEU</v>
      </c>
      <c r="BN150" s="192">
        <f t="shared" ca="1" si="142"/>
        <v>518</v>
      </c>
      <c r="BO150" s="192">
        <f t="shared" ca="1" si="142"/>
        <v>219</v>
      </c>
      <c r="BP150" s="192">
        <f t="shared" ca="1" si="142"/>
        <v>111</v>
      </c>
      <c r="BQ150" s="192">
        <f t="shared" ca="1" si="142"/>
        <v>936</v>
      </c>
      <c r="BR150" s="192">
        <f t="shared" ca="1" si="142"/>
        <v>305</v>
      </c>
      <c r="BS150" s="192">
        <f t="shared" ca="1" si="142"/>
        <v>532</v>
      </c>
      <c r="BT150" s="192">
        <f t="shared" ca="1" si="142"/>
        <v>20</v>
      </c>
      <c r="BU150" s="192">
        <f t="shared" ca="1" si="142"/>
        <v>20</v>
      </c>
      <c r="BV150" s="192">
        <f t="shared" ca="1" si="142"/>
        <v>0</v>
      </c>
      <c r="BW150" s="192"/>
      <c r="BX150" s="192"/>
      <c r="BY150" s="192" t="str">
        <f t="shared" ca="1" si="143"/>
        <v>Dustin Sverige AB</v>
      </c>
      <c r="BZ150" s="192" t="str">
        <f t="shared" ca="1" si="143"/>
        <v>Samsung</v>
      </c>
      <c r="CA150" s="199"/>
      <c r="CB150" s="185"/>
      <c r="CC150" s="185"/>
      <c r="CD150" s="185"/>
      <c r="CE150" s="186">
        <v>12.4</v>
      </c>
      <c r="CF150" s="185"/>
      <c r="CG150" s="185"/>
      <c r="CH150" s="185"/>
      <c r="CI150" s="185"/>
      <c r="CJ150" s="185"/>
      <c r="CK150" s="185"/>
      <c r="CL150" s="185"/>
      <c r="CM150" s="185"/>
      <c r="CN150" s="185"/>
    </row>
    <row r="151" spans="2:94" ht="22.5" customHeight="1" outlineLevel="1" x14ac:dyDescent="0.35">
      <c r="C151" s="66"/>
      <c r="D151" s="67"/>
      <c r="G151" s="62"/>
      <c r="H151" s="62"/>
      <c r="I151" s="62"/>
      <c r="J151" s="62"/>
      <c r="Q151" s="185">
        <f t="shared" si="124"/>
        <v>0</v>
      </c>
      <c r="R151" s="185">
        <f t="shared" si="125"/>
        <v>0</v>
      </c>
      <c r="S151" s="185">
        <f t="shared" si="126"/>
        <v>0</v>
      </c>
      <c r="T151" s="185">
        <f t="shared" si="127"/>
        <v>0</v>
      </c>
      <c r="U151" s="185">
        <f t="shared" si="128"/>
        <v>0</v>
      </c>
      <c r="V151" s="185">
        <f t="shared" si="129"/>
        <v>0</v>
      </c>
      <c r="W151" s="185">
        <f t="shared" si="130"/>
        <v>0</v>
      </c>
      <c r="X151" s="185">
        <f t="shared" si="131"/>
        <v>0</v>
      </c>
      <c r="Y151" s="185">
        <f t="shared" si="132"/>
        <v>0</v>
      </c>
      <c r="Z151" s="196">
        <f t="shared" ca="1" si="133"/>
        <v>3751</v>
      </c>
      <c r="AA151" s="185" t="str">
        <f t="shared" si="134"/>
        <v>Offererad produktnr. 08Dustin Sverige AB</v>
      </c>
      <c r="AB151" s="185" t="b">
        <f>IF(D143="",TRUE,IF(COUNTIF(Processor!$M$2:$M$3,D143)=0,IF(AN151=D143,TRUE,FALSE),IF(COUNTIF(AN151,INDEX(Processor!$N$2:$N$3,MATCH(Surfplattor!D143,Processor!$M$2:$M$3,0)))&gt;0,TRUE,FALSE)))</f>
        <v>1</v>
      </c>
      <c r="AC151" s="185" t="b">
        <f>IF($D$144="",TRUE,IF(COUNTIF(Processor!$I$2:$I$9,$D$144)&gt;0,AND(AO151&gt;INDEX(Processor!$J$2:$J$9,MATCH($D$144,Processor!$I$2:$I$9,0)),AO151&lt;INDEX(Processor!$K$2:$K$9,MATCH($D$144,Processor!$I$2:$I$9,0))),IF(AO151=$D$144,TRUE,FALSE)))</f>
        <v>1</v>
      </c>
      <c r="AD151" s="185" t="b">
        <f t="shared" si="135"/>
        <v>1</v>
      </c>
      <c r="AE151" s="185" t="b">
        <f t="shared" si="136"/>
        <v>1</v>
      </c>
      <c r="AF151" s="185" t="b">
        <f t="shared" si="137"/>
        <v>1</v>
      </c>
      <c r="AG151" s="185" t="b">
        <f t="shared" si="138"/>
        <v>1</v>
      </c>
      <c r="AH151" s="185" t="b">
        <f>IF($D$149="",TRUE,IF(INDEX(Processor!$C$14:$C$20,MATCH(LEFT(AT151,10)&amp;"",Processor!$A$14:$A$20,0))&gt;=INDEX(Processor!$C$14:$C$20,MATCH(LEFT($D$149,10)&amp;"",Processor!$A$14:$A$20,0)),TRUE,FALSE))</f>
        <v>1</v>
      </c>
      <c r="AI151" s="185" t="b">
        <f t="shared" si="139"/>
        <v>1</v>
      </c>
      <c r="AJ151" s="185"/>
      <c r="AK151" s="185"/>
      <c r="AL151" s="185" t="s">
        <v>181</v>
      </c>
      <c r="AM151" s="185">
        <v>1</v>
      </c>
      <c r="AN151" s="185" t="str">
        <f t="shared" ca="1" si="140"/>
        <v>iPadOS 14</v>
      </c>
      <c r="AO151" s="185">
        <f t="shared" ca="1" si="140"/>
        <v>10.199999999999999</v>
      </c>
      <c r="AP151" s="185" t="str">
        <f t="shared" ca="1" si="140"/>
        <v>2160x1620</v>
      </c>
      <c r="AQ151" s="185">
        <f t="shared" ca="1" si="140"/>
        <v>64</v>
      </c>
      <c r="AR151" s="185">
        <f t="shared" ca="1" si="140"/>
        <v>4.2</v>
      </c>
      <c r="AS151" s="185" t="str">
        <f t="shared" ca="1" si="140"/>
        <v>802.11a/b/g/n/ac</v>
      </c>
      <c r="AT151" s="185">
        <f t="shared" ca="1" si="140"/>
        <v>10</v>
      </c>
      <c r="AU151" s="185" t="str">
        <f t="shared" ca="1" si="140"/>
        <v>EPEAT Gold</v>
      </c>
      <c r="AV151" s="185" t="str">
        <f t="shared" ca="1" si="140"/>
        <v>802.11a/b/g/n/ac</v>
      </c>
      <c r="AW151" s="185">
        <f t="shared" ca="1" si="140"/>
        <v>4.2</v>
      </c>
      <c r="AX151" s="185">
        <f t="shared" ca="1" si="141"/>
        <v>10</v>
      </c>
      <c r="AY151" s="185" t="str">
        <f t="shared" ca="1" si="141"/>
        <v>iPad 9th gen</v>
      </c>
      <c r="AZ151" s="185">
        <f t="shared" ca="1" si="141"/>
        <v>0</v>
      </c>
      <c r="BA151" s="185" t="str">
        <f t="shared" ca="1" si="141"/>
        <v>iPadOS 14</v>
      </c>
      <c r="BB151" s="185">
        <f t="shared" ca="1" si="141"/>
        <v>3751</v>
      </c>
      <c r="BC151" s="185">
        <f t="shared" ca="1" si="141"/>
        <v>3751</v>
      </c>
      <c r="BD151" s="192" t="str">
        <f t="shared" ca="1" si="141"/>
        <v>Cirafon</v>
      </c>
      <c r="BE151" s="192" t="str">
        <f t="shared" ca="1" si="141"/>
        <v>Cirafon</v>
      </c>
      <c r="BF151" s="192" t="str">
        <f t="shared" ca="1" si="141"/>
        <v>Cirafon</v>
      </c>
      <c r="BG151" s="192" t="str">
        <f t="shared" ca="1" si="141"/>
        <v>Voxicon</v>
      </c>
      <c r="BH151" s="192" t="str">
        <f t="shared" ca="1" si="142"/>
        <v>Zagg</v>
      </c>
      <c r="BI151" s="192" t="str">
        <f t="shared" ca="1" si="142"/>
        <v>APD9-HBSFO-BLCK</v>
      </c>
      <c r="BJ151" s="192" t="str">
        <f t="shared" ca="1" si="142"/>
        <v>CG-TG-APL-IDP102</v>
      </c>
      <c r="BK151" s="192" t="str">
        <f t="shared" ca="1" si="142"/>
        <v>PD20E-1TGA-W/DMA-038#KIT</v>
      </c>
      <c r="BL151" s="192" t="str">
        <f t="shared" ca="1" si="142"/>
        <v>DK-400B-WHT</v>
      </c>
      <c r="BM151" s="192">
        <f t="shared" ca="1" si="142"/>
        <v>109907068</v>
      </c>
      <c r="BN151" s="192">
        <f t="shared" ca="1" si="142"/>
        <v>347</v>
      </c>
      <c r="BO151" s="192">
        <f t="shared" ca="1" si="142"/>
        <v>234</v>
      </c>
      <c r="BP151" s="192">
        <f t="shared" ca="1" si="142"/>
        <v>309</v>
      </c>
      <c r="BQ151" s="192">
        <f t="shared" ca="1" si="142"/>
        <v>407</v>
      </c>
      <c r="BR151" s="192">
        <f t="shared" ca="1" si="142"/>
        <v>373</v>
      </c>
      <c r="BS151" s="192">
        <f t="shared" ca="1" si="142"/>
        <v>532</v>
      </c>
      <c r="BT151" s="192">
        <f t="shared" ca="1" si="142"/>
        <v>20</v>
      </c>
      <c r="BU151" s="192">
        <f t="shared" ca="1" si="142"/>
        <v>20</v>
      </c>
      <c r="BV151" s="192">
        <f t="shared" ca="1" si="142"/>
        <v>0</v>
      </c>
      <c r="BW151" s="192"/>
      <c r="BX151" s="192"/>
      <c r="BY151" s="192" t="str">
        <f t="shared" ca="1" si="143"/>
        <v>Dustin Sverige AB</v>
      </c>
      <c r="BZ151" s="192" t="str">
        <f t="shared" ca="1" si="143"/>
        <v>Apple</v>
      </c>
      <c r="CA151" s="199"/>
      <c r="CB151" s="185"/>
      <c r="CC151" s="185"/>
      <c r="CD151" s="185"/>
      <c r="CE151" s="185"/>
      <c r="CF151" s="185"/>
      <c r="CG151" s="185"/>
      <c r="CH151" s="185"/>
      <c r="CI151" s="185"/>
      <c r="CJ151" s="185"/>
      <c r="CK151" s="185"/>
      <c r="CL151" s="185"/>
      <c r="CM151" s="185"/>
      <c r="CN151" s="185"/>
    </row>
    <row r="152" spans="2:94" ht="22.5" customHeight="1" outlineLevel="1" x14ac:dyDescent="0.35">
      <c r="C152" s="212" t="s">
        <v>366</v>
      </c>
      <c r="D152" s="213"/>
      <c r="E152" s="213"/>
      <c r="F152" s="213"/>
      <c r="G152" s="213"/>
      <c r="H152" s="213"/>
      <c r="I152" s="214"/>
      <c r="J152" s="94"/>
      <c r="Q152" s="185">
        <f t="shared" si="124"/>
        <v>0</v>
      </c>
      <c r="R152" s="185">
        <f t="shared" si="125"/>
        <v>0</v>
      </c>
      <c r="S152" s="185">
        <f t="shared" si="126"/>
        <v>0</v>
      </c>
      <c r="T152" s="185">
        <f t="shared" si="127"/>
        <v>0</v>
      </c>
      <c r="U152" s="185">
        <f t="shared" si="128"/>
        <v>0</v>
      </c>
      <c r="V152" s="185">
        <f t="shared" si="129"/>
        <v>0</v>
      </c>
      <c r="W152" s="185">
        <f t="shared" si="130"/>
        <v>0</v>
      </c>
      <c r="X152" s="185">
        <f t="shared" si="131"/>
        <v>0</v>
      </c>
      <c r="Y152" s="185">
        <f t="shared" si="132"/>
        <v>0</v>
      </c>
      <c r="Z152" s="196">
        <f t="shared" ca="1" si="133"/>
        <v>5710</v>
      </c>
      <c r="AA152" s="185" t="str">
        <f t="shared" si="134"/>
        <v>Offererad produktnr. 09Dustin Sverige AB</v>
      </c>
      <c r="AB152" s="185" t="b">
        <f>IF(D143="",TRUE,IF(COUNTIF(Processor!$M$2:$M$3,D143)=0,IF(AN152=D143,TRUE,FALSE),IF(COUNTIF(AN152,INDEX(Processor!$N$2:$N$3,MATCH(Surfplattor!D143,Processor!$M$2:$M$3,0)))&gt;0,TRUE,FALSE)))</f>
        <v>1</v>
      </c>
      <c r="AC152" s="185" t="b">
        <f>IF($D$144="",TRUE,IF(COUNTIF(Processor!$I$2:$I$9,$D$144)&gt;0,AND(AO152&gt;INDEX(Processor!$J$2:$J$9,MATCH($D$144,Processor!$I$2:$I$9,0)),AO152&lt;INDEX(Processor!$K$2:$K$9,MATCH($D$144,Processor!$I$2:$I$9,0))),IF(AO152=$D$144,TRUE,FALSE)))</f>
        <v>1</v>
      </c>
      <c r="AD152" s="185" t="b">
        <f t="shared" si="135"/>
        <v>1</v>
      </c>
      <c r="AE152" s="185" t="b">
        <f t="shared" si="136"/>
        <v>1</v>
      </c>
      <c r="AF152" s="185" t="b">
        <f t="shared" si="137"/>
        <v>1</v>
      </c>
      <c r="AG152" s="185" t="b">
        <f t="shared" si="138"/>
        <v>1</v>
      </c>
      <c r="AH152" s="185" t="b">
        <f>IF($D$149="",TRUE,IF(INDEX(Processor!$C$14:$C$20,MATCH(LEFT(AT152,10)&amp;"",Processor!$A$14:$A$20,0))&gt;=INDEX(Processor!$C$14:$C$20,MATCH(LEFT($D$149,10)&amp;"",Processor!$A$14:$A$20,0)),TRUE,FALSE))</f>
        <v>1</v>
      </c>
      <c r="AI152" s="185" t="b">
        <f t="shared" si="139"/>
        <v>1</v>
      </c>
      <c r="AJ152" s="185"/>
      <c r="AK152" s="185"/>
      <c r="AL152" s="185" t="s">
        <v>182</v>
      </c>
      <c r="AM152" s="185">
        <v>1</v>
      </c>
      <c r="AN152" s="185" t="str">
        <f t="shared" ref="AN152:AW161" ca="1" si="146">IFERROR(INDEX(INDIRECT(AN$137&amp;"!$A$10:CC100000"),MATCH($AL152,INDIRECT(AN$137&amp;"!BH$10:BH100000"),0),MATCH(AN$139,INDIRECT(AN$137&amp;"!a10:CC10"),0)),"False")</f>
        <v>Android 13</v>
      </c>
      <c r="AO152" s="185">
        <f t="shared" ca="1" si="146"/>
        <v>11</v>
      </c>
      <c r="AP152" s="185" t="str">
        <f t="shared" ca="1" si="146"/>
        <v>2560x1600</v>
      </c>
      <c r="AQ152" s="185">
        <f t="shared" ca="1" si="146"/>
        <v>128</v>
      </c>
      <c r="AR152" s="185">
        <f t="shared" ca="1" si="146"/>
        <v>5.3</v>
      </c>
      <c r="AS152" s="185" t="str">
        <f t="shared" ca="1" si="146"/>
        <v>802.11a/b/g/n/ac/ax</v>
      </c>
      <c r="AT152" s="185">
        <f t="shared" ca="1" si="146"/>
        <v>13</v>
      </c>
      <c r="AU152" s="185" t="str">
        <f t="shared" ca="1" si="146"/>
        <v>EPEAT Bronze (Canada)</v>
      </c>
      <c r="AV152" s="185" t="str">
        <f t="shared" ca="1" si="146"/>
        <v>802.11a/b/g/n/ac/ax</v>
      </c>
      <c r="AW152" s="185">
        <f t="shared" ca="1" si="146"/>
        <v>5.3</v>
      </c>
      <c r="AX152" s="185">
        <f t="shared" ref="AX152:BG161" ca="1" si="147">IFERROR(INDEX(INDIRECT(AX$137&amp;"!$A$10:CC100000"),MATCH($AL152,INDIRECT(AX$137&amp;"!BH$10:BH100000"),0),MATCH(AX$139,INDIRECT(AX$137&amp;"!a10:CC10"),0)),"False")</f>
        <v>13</v>
      </c>
      <c r="AY152" s="185" t="str">
        <f t="shared" ca="1" si="147"/>
        <v>Galaxy Tab S9</v>
      </c>
      <c r="AZ152" s="185">
        <f t="shared" ca="1" si="147"/>
        <v>0</v>
      </c>
      <c r="BA152" s="185" t="str">
        <f t="shared" ca="1" si="147"/>
        <v>Android 13</v>
      </c>
      <c r="BB152" s="185">
        <f t="shared" ca="1" si="147"/>
        <v>5710</v>
      </c>
      <c r="BC152" s="185">
        <f t="shared" ca="1" si="147"/>
        <v>5710</v>
      </c>
      <c r="BD152" s="192" t="str">
        <f t="shared" ca="1" si="147"/>
        <v>UAG METROPOLIS SE</v>
      </c>
      <c r="BE152" s="192" t="str">
        <f t="shared" ca="1" si="147"/>
        <v>Panzerglass</v>
      </c>
      <c r="BF152" s="192" t="str">
        <f t="shared" ca="1" si="147"/>
        <v xml:space="preserve">Samsung </v>
      </c>
      <c r="BG152" s="192" t="str">
        <f t="shared" ca="1" si="147"/>
        <v>Voxicon</v>
      </c>
      <c r="BH152" s="192" t="str">
        <f t="shared" ref="BH152:BV161" ca="1" si="148">IFERROR(INDEX(INDIRECT(BH$137&amp;"!$A$10:CC100000"),MATCH($AL152,INDIRECT(BH$137&amp;"!BH$10:BH100000"),0),MATCH(BH$139,INDIRECT(BH$137&amp;"!a10:CC10"),0)),"False")</f>
        <v>INGÅR</v>
      </c>
      <c r="BI152" s="192">
        <f t="shared" ca="1" si="148"/>
        <v>224339114040</v>
      </c>
      <c r="BJ152" s="192">
        <f t="shared" ca="1" si="148"/>
        <v>7332</v>
      </c>
      <c r="BK152" s="192" t="str">
        <f t="shared" ca="1" si="148"/>
        <v>EP-T1510NBEGEU / EP-TA20EWECGWW</v>
      </c>
      <c r="BL152" s="192" t="str">
        <f t="shared" ca="1" si="148"/>
        <v>DK-199B-G</v>
      </c>
      <c r="BM152" s="192">
        <f t="shared" ca="1" si="148"/>
        <v>0</v>
      </c>
      <c r="BN152" s="192">
        <f t="shared" ca="1" si="148"/>
        <v>419</v>
      </c>
      <c r="BO152" s="192">
        <f t="shared" ca="1" si="148"/>
        <v>269</v>
      </c>
      <c r="BP152" s="192">
        <f t="shared" ca="1" si="148"/>
        <v>111</v>
      </c>
      <c r="BQ152" s="192">
        <f t="shared" ca="1" si="148"/>
        <v>866</v>
      </c>
      <c r="BR152" s="192">
        <f t="shared" ca="1" si="148"/>
        <v>0</v>
      </c>
      <c r="BS152" s="192">
        <f t="shared" ca="1" si="148"/>
        <v>532</v>
      </c>
      <c r="BT152" s="192">
        <f t="shared" ca="1" si="148"/>
        <v>20</v>
      </c>
      <c r="BU152" s="192">
        <f t="shared" ca="1" si="148"/>
        <v>20</v>
      </c>
      <c r="BV152" s="192">
        <f t="shared" ca="1" si="148"/>
        <v>0</v>
      </c>
      <c r="BW152" s="192"/>
      <c r="BX152" s="192"/>
      <c r="BY152" s="192" t="str">
        <f t="shared" ca="1" si="143"/>
        <v>Dustin Sverige AB</v>
      </c>
      <c r="BZ152" s="192" t="str">
        <f t="shared" ca="1" si="143"/>
        <v>Samsung</v>
      </c>
      <c r="CE152" s="101"/>
    </row>
    <row r="153" spans="2:94" ht="30" customHeight="1" outlineLevel="1" x14ac:dyDescent="0.35">
      <c r="B153" s="69" t="s">
        <v>53</v>
      </c>
      <c r="C153" s="115" t="s">
        <v>372</v>
      </c>
      <c r="D153" s="70"/>
      <c r="F153" s="161" t="str">
        <f t="shared" ref="F153:F167" si="149">IF(F$140="Inget antal angivet","",IFERROR(INDEX($AN$141:$BZ$167,MATCH(F$137,$AL$141:$AL$167,0),MATCH($B153,$AN$141:$BZ$141,0)),""))</f>
        <v/>
      </c>
      <c r="G153" s="162">
        <f t="shared" ref="G153:I167" ca="1" si="150">IFERROR(INDEX($AN$141:$BZ$167,MATCH(G$137,$AL$141:$AL$167,0),MATCH($B153,$AN$141:$BZ$141,0)),"")</f>
        <v>325</v>
      </c>
      <c r="H153" s="162">
        <f t="shared" ca="1" si="150"/>
        <v>251</v>
      </c>
      <c r="I153" s="162">
        <f t="shared" ca="1" si="150"/>
        <v>460</v>
      </c>
      <c r="J153" s="62"/>
      <c r="Q153" s="185">
        <f t="shared" si="124"/>
        <v>0</v>
      </c>
      <c r="R153" s="185">
        <f t="shared" si="125"/>
        <v>0</v>
      </c>
      <c r="S153" s="185">
        <f t="shared" si="126"/>
        <v>0</v>
      </c>
      <c r="T153" s="185">
        <f t="shared" si="127"/>
        <v>0</v>
      </c>
      <c r="U153" s="185">
        <f t="shared" si="128"/>
        <v>0</v>
      </c>
      <c r="V153" s="185">
        <f t="shared" si="129"/>
        <v>0</v>
      </c>
      <c r="W153" s="185">
        <f t="shared" si="130"/>
        <v>0</v>
      </c>
      <c r="X153" s="185">
        <f t="shared" si="131"/>
        <v>0</v>
      </c>
      <c r="Y153" s="185">
        <f t="shared" si="132"/>
        <v>0</v>
      </c>
      <c r="Z153" s="196">
        <f t="shared" ca="1" si="133"/>
        <v>10190</v>
      </c>
      <c r="AA153" s="185" t="str">
        <f t="shared" si="134"/>
        <v>Offererad produktnr. 10Dustin Sverige AB</v>
      </c>
      <c r="AB153" s="185" t="b">
        <f>IF(D143="",TRUE,IF(COUNTIF(Processor!$M$2:$M$3,D143)=0,IF(AN153=D143,TRUE,FALSE),IF(COUNTIF(AN153,INDEX(Processor!$N$2:$N$3,MATCH(Surfplattor!D143,Processor!$M$2:$M$3,0)))&gt;0,TRUE,FALSE)))</f>
        <v>1</v>
      </c>
      <c r="AC153" s="185" t="b">
        <f>IF($D$144="",TRUE,IF(COUNTIF(Processor!$I$2:$I$9,$D$144)&gt;0,AND(AO153&gt;INDEX(Processor!$J$2:$J$9,MATCH($D$144,Processor!$I$2:$I$9,0)),AO153&lt;INDEX(Processor!$K$2:$K$9,MATCH($D$144,Processor!$I$2:$I$9,0))),IF(AO153=$D$144,TRUE,FALSE)))</f>
        <v>1</v>
      </c>
      <c r="AD153" s="185" t="b">
        <f t="shared" si="135"/>
        <v>1</v>
      </c>
      <c r="AE153" s="185" t="b">
        <f t="shared" si="136"/>
        <v>1</v>
      </c>
      <c r="AF153" s="185" t="b">
        <f t="shared" si="137"/>
        <v>1</v>
      </c>
      <c r="AG153" s="185" t="b">
        <f t="shared" si="138"/>
        <v>1</v>
      </c>
      <c r="AH153" s="185" t="b">
        <f>IF($D$149="",TRUE,IF(INDEX(Processor!$C$14:$C$20,MATCH(LEFT(AT153,10)&amp;"",Processor!$A$14:$A$20,0))&gt;=INDEX(Processor!$C$14:$C$20,MATCH(LEFT($D$149,10)&amp;"",Processor!$A$14:$A$20,0)),TRUE,FALSE))</f>
        <v>1</v>
      </c>
      <c r="AI153" s="185" t="b">
        <f t="shared" si="139"/>
        <v>1</v>
      </c>
      <c r="AJ153" s="185"/>
      <c r="AK153" s="185"/>
      <c r="AL153" s="185" t="s">
        <v>183</v>
      </c>
      <c r="AM153" s="185">
        <v>1</v>
      </c>
      <c r="AN153" s="185" t="str">
        <f t="shared" ca="1" si="146"/>
        <v>Android 13</v>
      </c>
      <c r="AO153" s="185">
        <f t="shared" ca="1" si="146"/>
        <v>12.4</v>
      </c>
      <c r="AP153" s="185" t="str">
        <f t="shared" ca="1" si="146"/>
        <v>2800x1752</v>
      </c>
      <c r="AQ153" s="185">
        <f t="shared" ca="1" si="146"/>
        <v>256</v>
      </c>
      <c r="AR153" s="185">
        <f t="shared" ca="1" si="146"/>
        <v>5.3</v>
      </c>
      <c r="AS153" s="185" t="str">
        <f t="shared" ca="1" si="146"/>
        <v>802.11a/b/g/n/ac/ax</v>
      </c>
      <c r="AT153" s="185">
        <f t="shared" ca="1" si="146"/>
        <v>13</v>
      </c>
      <c r="AU153" s="185" t="str">
        <f t="shared" ca="1" si="146"/>
        <v>EPEAT Bronze (Canada)</v>
      </c>
      <c r="AV153" s="185" t="str">
        <f t="shared" ca="1" si="146"/>
        <v>802.11a/b/g/n/ac/ax</v>
      </c>
      <c r="AW153" s="185">
        <f t="shared" ca="1" si="146"/>
        <v>5.3</v>
      </c>
      <c r="AX153" s="185">
        <f t="shared" ca="1" si="147"/>
        <v>13</v>
      </c>
      <c r="AY153" s="185" t="str">
        <f t="shared" ca="1" si="147"/>
        <v>Galaxy Tab S9+</v>
      </c>
      <c r="AZ153" s="185">
        <f t="shared" ca="1" si="147"/>
        <v>0</v>
      </c>
      <c r="BA153" s="185" t="str">
        <f t="shared" ca="1" si="147"/>
        <v>Android 13</v>
      </c>
      <c r="BB153" s="185">
        <f t="shared" ca="1" si="147"/>
        <v>10190</v>
      </c>
      <c r="BC153" s="185">
        <f t="shared" ca="1" si="147"/>
        <v>10190</v>
      </c>
      <c r="BD153" s="192" t="str">
        <f t="shared" ca="1" si="147"/>
        <v>Targus</v>
      </c>
      <c r="BE153" s="192" t="str">
        <f t="shared" ca="1" si="147"/>
        <v>Panzerglass</v>
      </c>
      <c r="BF153" s="192" t="str">
        <f t="shared" ca="1" si="147"/>
        <v>Samsung</v>
      </c>
      <c r="BG153" s="192" t="str">
        <f t="shared" ca="1" si="147"/>
        <v>Voxicon</v>
      </c>
      <c r="BH153" s="192" t="str">
        <f t="shared" ca="1" si="148"/>
        <v>INGÅR</v>
      </c>
      <c r="BI153" s="192" t="str">
        <f t="shared" ca="1" si="148"/>
        <v>THZ904GL </v>
      </c>
      <c r="BJ153" s="192">
        <f t="shared" ca="1" si="148"/>
        <v>7242</v>
      </c>
      <c r="BK153" s="192" t="str">
        <f t="shared" ca="1" si="148"/>
        <v>EP-T1510NBEGEU / EP-TA20EWECGWW</v>
      </c>
      <c r="BL153" s="192" t="str">
        <f t="shared" ca="1" si="148"/>
        <v>DK-199B-G</v>
      </c>
      <c r="BM153" s="192">
        <f t="shared" ca="1" si="148"/>
        <v>0</v>
      </c>
      <c r="BN153" s="192">
        <f t="shared" ca="1" si="148"/>
        <v>279</v>
      </c>
      <c r="BO153" s="192">
        <f t="shared" ca="1" si="148"/>
        <v>206</v>
      </c>
      <c r="BP153" s="192">
        <f t="shared" ca="1" si="148"/>
        <v>111</v>
      </c>
      <c r="BQ153" s="192">
        <f t="shared" ca="1" si="148"/>
        <v>979</v>
      </c>
      <c r="BR153" s="192">
        <f t="shared" ca="1" si="148"/>
        <v>0</v>
      </c>
      <c r="BS153" s="192">
        <f t="shared" ca="1" si="148"/>
        <v>532</v>
      </c>
      <c r="BT153" s="192">
        <f t="shared" ca="1" si="148"/>
        <v>20</v>
      </c>
      <c r="BU153" s="192">
        <f t="shared" ca="1" si="148"/>
        <v>20</v>
      </c>
      <c r="BV153" s="192">
        <f t="shared" ca="1" si="148"/>
        <v>0</v>
      </c>
      <c r="BW153" s="192"/>
      <c r="BX153" s="192"/>
      <c r="BY153" s="192" t="str">
        <f t="shared" ca="1" si="143"/>
        <v>Dustin Sverige AB</v>
      </c>
      <c r="BZ153" s="192" t="str">
        <f t="shared" ca="1" si="143"/>
        <v>Samsung</v>
      </c>
      <c r="CE153" s="101"/>
    </row>
    <row r="154" spans="2:94" ht="30" customHeight="1" outlineLevel="1" x14ac:dyDescent="0.35">
      <c r="B154" s="69" t="s">
        <v>340</v>
      </c>
      <c r="C154" s="96" t="s">
        <v>51</v>
      </c>
      <c r="D154" s="131" t="str">
        <f>IF("Ska Ingå"=D153,"Ska Ingå","")</f>
        <v/>
      </c>
      <c r="F154" s="84" t="str">
        <f t="shared" si="149"/>
        <v/>
      </c>
      <c r="G154" s="85" t="str">
        <f t="shared" ca="1" si="150"/>
        <v>Phonelife</v>
      </c>
      <c r="H154" s="85" t="str">
        <f t="shared" ca="1" si="150"/>
        <v>eSTUFF</v>
      </c>
      <c r="I154" s="85" t="str">
        <f t="shared" ca="1" si="150"/>
        <v>Otterbox Defender Series</v>
      </c>
      <c r="J154" s="62"/>
      <c r="Q154" s="185">
        <f t="shared" si="124"/>
        <v>0</v>
      </c>
      <c r="R154" s="185">
        <f t="shared" si="125"/>
        <v>0</v>
      </c>
      <c r="S154" s="185">
        <f t="shared" si="126"/>
        <v>0</v>
      </c>
      <c r="T154" s="185">
        <f t="shared" si="127"/>
        <v>0</v>
      </c>
      <c r="U154" s="185">
        <f t="shared" si="128"/>
        <v>0</v>
      </c>
      <c r="V154" s="185">
        <f t="shared" si="129"/>
        <v>0</v>
      </c>
      <c r="W154" s="185">
        <f t="shared" si="130"/>
        <v>0</v>
      </c>
      <c r="X154" s="185">
        <f t="shared" si="131"/>
        <v>0</v>
      </c>
      <c r="Y154" s="185">
        <f t="shared" si="132"/>
        <v>0</v>
      </c>
      <c r="Z154" s="196">
        <f t="shared" ca="1" si="133"/>
        <v>4068</v>
      </c>
      <c r="AA154" s="185" t="str">
        <f t="shared" si="134"/>
        <v>Offererad produktnr. 07Foxway Education AB</v>
      </c>
      <c r="AB154" s="185" t="b">
        <f>IF(D143="",TRUE,IF(COUNTIF(Processor!$M$2:$M$3,D143)=0,IF(AN154=D143,TRUE,FALSE),IF(COUNTIF(AN154,INDEX(Processor!$N$2:$N$3,MATCH(Surfplattor!D143,Processor!$M$2:$M$3,0)))&gt;0,TRUE,FALSE)))</f>
        <v>1</v>
      </c>
      <c r="AC154" s="185" t="b">
        <f>IF($D$144="",TRUE,IF(COUNTIF(Processor!$I$2:$I$9,$D$144)&gt;0,AND(AO154&gt;INDEX(Processor!$J$2:$J$9,MATCH($D$144,Processor!$I$2:$I$9,0)),AO154&lt;INDEX(Processor!$K$2:$K$9,MATCH($D$144,Processor!$I$2:$I$9,0))),IF(AO154=$D$144,TRUE,FALSE)))</f>
        <v>1</v>
      </c>
      <c r="AD154" s="185" t="b">
        <f t="shared" si="135"/>
        <v>1</v>
      </c>
      <c r="AE154" s="185" t="b">
        <f t="shared" si="136"/>
        <v>1</v>
      </c>
      <c r="AF154" s="185" t="b">
        <f t="shared" si="137"/>
        <v>1</v>
      </c>
      <c r="AG154" s="185" t="b">
        <f t="shared" si="138"/>
        <v>1</v>
      </c>
      <c r="AH154" s="185" t="b">
        <f>IF($D$149="",TRUE,IF(INDEX(Processor!$C$14:$C$20,MATCH(LEFT(AT154,10)&amp;"",Processor!$A$14:$A$20,0))&gt;=INDEX(Processor!$C$14:$C$20,MATCH(LEFT($D$149,10)&amp;"",Processor!$A$14:$A$20,0)),TRUE,FALSE))</f>
        <v>1</v>
      </c>
      <c r="AI154" s="185" t="b">
        <f t="shared" si="139"/>
        <v>1</v>
      </c>
      <c r="AJ154" s="185"/>
      <c r="AK154" s="185"/>
      <c r="AL154" s="185" t="s">
        <v>216</v>
      </c>
      <c r="AM154" s="185">
        <v>1</v>
      </c>
      <c r="AN154" s="185" t="str">
        <f t="shared" ca="1" si="146"/>
        <v>iPadOS 15</v>
      </c>
      <c r="AO154" s="185">
        <f t="shared" ca="1" si="146"/>
        <v>10.199999999999999</v>
      </c>
      <c r="AP154" s="185" t="str">
        <f t="shared" ca="1" si="146"/>
        <v>2160x1620</v>
      </c>
      <c r="AQ154" s="185">
        <f t="shared" ca="1" si="146"/>
        <v>64</v>
      </c>
      <c r="AR154" s="185">
        <f t="shared" ca="1" si="146"/>
        <v>4.2</v>
      </c>
      <c r="AS154" s="185" t="str">
        <f t="shared" ca="1" si="146"/>
        <v>802.11a/b/g/n/ac</v>
      </c>
      <c r="AT154" s="185">
        <f t="shared" ca="1" si="146"/>
        <v>10</v>
      </c>
      <c r="AU154" s="185" t="str">
        <f t="shared" ca="1" si="146"/>
        <v>EPEAT Gold</v>
      </c>
      <c r="AV154" s="185" t="str">
        <f t="shared" ca="1" si="146"/>
        <v>802.11a/b/g/n/ac</v>
      </c>
      <c r="AW154" s="185">
        <f t="shared" ca="1" si="146"/>
        <v>4.2</v>
      </c>
      <c r="AX154" s="185">
        <f t="shared" ca="1" si="147"/>
        <v>10</v>
      </c>
      <c r="AY154" s="185" t="str">
        <f t="shared" ca="1" si="147"/>
        <v>10.2-inch (9th-gen) iPad Wi-Fi 64GB</v>
      </c>
      <c r="AZ154" s="185">
        <f t="shared" ca="1" si="147"/>
        <v>0</v>
      </c>
      <c r="BA154" s="185" t="str">
        <f t="shared" ca="1" si="147"/>
        <v>iPadOS 15</v>
      </c>
      <c r="BB154" s="185">
        <f t="shared" ca="1" si="147"/>
        <v>4068</v>
      </c>
      <c r="BC154" s="185">
        <f t="shared" ca="1" si="147"/>
        <v>4068</v>
      </c>
      <c r="BD154" s="192" t="str">
        <f t="shared" ca="1" si="147"/>
        <v>Targus</v>
      </c>
      <c r="BE154" s="192" t="str">
        <f t="shared" ca="1" si="147"/>
        <v>Screenor</v>
      </c>
      <c r="BF154" s="192" t="str">
        <f t="shared" ca="1" si="147"/>
        <v>Apple</v>
      </c>
      <c r="BG154" s="192" t="str">
        <f t="shared" ca="1" si="147"/>
        <v>Deltaco</v>
      </c>
      <c r="BH154" s="192" t="str">
        <f t="shared" ca="1" si="148"/>
        <v>Apple</v>
      </c>
      <c r="BI154" s="192" t="str">
        <f t="shared" ca="1" si="148"/>
        <v>Targus SafePORT Rugged</v>
      </c>
      <c r="BJ154" s="192" t="str">
        <f t="shared" ca="1" si="148"/>
        <v>SCREENOR TEMPERED IPAD 10.2</v>
      </c>
      <c r="BK154" s="192" t="str">
        <f t="shared" ca="1" si="148"/>
        <v>Laddkit iPad</v>
      </c>
      <c r="BL154" s="192" t="str">
        <f t="shared" ca="1" si="148"/>
        <v>DELTACO trådlöst minitangentbord, 78 tangenter, Bluetooth, nordisk layout, dämpade tangenter, svart</v>
      </c>
      <c r="BM154" s="192" t="str">
        <f t="shared" ca="1" si="148"/>
        <v>Apple Pencil</v>
      </c>
      <c r="BN154" s="192">
        <f t="shared" ca="1" si="148"/>
        <v>210</v>
      </c>
      <c r="BO154" s="192">
        <f t="shared" ca="1" si="148"/>
        <v>240</v>
      </c>
      <c r="BP154" s="192">
        <f t="shared" ca="1" si="148"/>
        <v>372</v>
      </c>
      <c r="BQ154" s="192">
        <f t="shared" ca="1" si="148"/>
        <v>156</v>
      </c>
      <c r="BR154" s="192">
        <f t="shared" ca="1" si="148"/>
        <v>1080</v>
      </c>
      <c r="BS154" s="192">
        <f t="shared" ca="1" si="148"/>
        <v>480</v>
      </c>
      <c r="BT154" s="192">
        <f t="shared" ca="1" si="148"/>
        <v>60</v>
      </c>
      <c r="BU154" s="192">
        <f t="shared" ca="1" si="148"/>
        <v>50</v>
      </c>
      <c r="BV154" s="192">
        <f t="shared" ca="1" si="148"/>
        <v>0</v>
      </c>
      <c r="BW154" s="192"/>
      <c r="BX154" s="192"/>
      <c r="BY154" s="192" t="str">
        <f t="shared" ca="1" si="143"/>
        <v>Foxway Education AB</v>
      </c>
      <c r="BZ154" s="192" t="str">
        <f t="shared" ca="1" si="143"/>
        <v>Apple</v>
      </c>
      <c r="CB154" s="63"/>
      <c r="CC154" s="63"/>
      <c r="CD154" s="63"/>
      <c r="CE154" s="102"/>
      <c r="CF154" s="63"/>
      <c r="CG154" s="63"/>
      <c r="CH154" s="63"/>
      <c r="CI154" s="63"/>
      <c r="CJ154" s="63"/>
      <c r="CK154" s="63"/>
      <c r="CL154" s="63"/>
      <c r="CM154" s="63"/>
      <c r="CN154" s="63"/>
      <c r="CO154" s="63"/>
      <c r="CP154" s="63"/>
    </row>
    <row r="155" spans="2:94" ht="67.5" customHeight="1" outlineLevel="1" x14ac:dyDescent="0.35">
      <c r="B155" s="69" t="s">
        <v>345</v>
      </c>
      <c r="C155" s="97" t="s">
        <v>52</v>
      </c>
      <c r="D155" s="132" t="str">
        <f>IF("Ska Ingå"=D153,"Ska Ingå","")</f>
        <v/>
      </c>
      <c r="F155" s="86" t="str">
        <f t="shared" si="149"/>
        <v/>
      </c>
      <c r="G155" s="87" t="str">
        <f t="shared" ca="1" si="150"/>
        <v>GBXRUGGEDLENTAB-V1</v>
      </c>
      <c r="H155" s="87" t="str">
        <f t="shared" ca="1" si="150"/>
        <v>ES685307-BULK - Vikbart fodral för surfplatta - polyuretan, polykarbonat, konstläder, mikrofiber - svart - för Lenovo Tab M10 (3rd Gen)</v>
      </c>
      <c r="I155" s="87" t="str">
        <f t="shared" ca="1" si="150"/>
        <v>GBX77-62032</v>
      </c>
      <c r="J155" s="62"/>
      <c r="Q155" s="185">
        <f t="shared" si="124"/>
        <v>0</v>
      </c>
      <c r="R155" s="185">
        <f t="shared" si="125"/>
        <v>0</v>
      </c>
      <c r="S155" s="185">
        <f t="shared" si="126"/>
        <v>0</v>
      </c>
      <c r="T155" s="185">
        <f t="shared" si="127"/>
        <v>0</v>
      </c>
      <c r="U155" s="185">
        <f t="shared" si="128"/>
        <v>0</v>
      </c>
      <c r="V155" s="185">
        <f t="shared" si="129"/>
        <v>0</v>
      </c>
      <c r="W155" s="185">
        <f t="shared" si="130"/>
        <v>0</v>
      </c>
      <c r="X155" s="185">
        <f t="shared" si="131"/>
        <v>0</v>
      </c>
      <c r="Y155" s="185">
        <f t="shared" si="132"/>
        <v>0</v>
      </c>
      <c r="Z155" s="196">
        <f t="shared" ca="1" si="133"/>
        <v>3894</v>
      </c>
      <c r="AA155" s="185" t="str">
        <f t="shared" si="134"/>
        <v>Offererad produktnr. 08Foxway Education AB</v>
      </c>
      <c r="AB155" s="185" t="b">
        <f>IF(D143="",TRUE,IF(COUNTIF(Processor!$M$2:$M$3,D143)=0,IF(AN155=D143,TRUE,FALSE),IF(COUNTIF(AN155,INDEX(Processor!$N$2:$N$3,MATCH(Surfplattor!D143,Processor!$M$2:$M$3,0)))&gt;0,TRUE,FALSE)))</f>
        <v>1</v>
      </c>
      <c r="AC155" s="185" t="b">
        <f>IF($D$144="",TRUE,IF(COUNTIF(Processor!$I$2:$I$9,$D$144)&gt;0,AND(AO155&gt;INDEX(Processor!$J$2:$J$9,MATCH($D$144,Processor!$I$2:$I$9,0)),AO155&lt;INDEX(Processor!$K$2:$K$9,MATCH($D$144,Processor!$I$2:$I$9,0))),IF(AO155=$D$144,TRUE,FALSE)))</f>
        <v>1</v>
      </c>
      <c r="AD155" s="185" t="b">
        <f t="shared" si="135"/>
        <v>1</v>
      </c>
      <c r="AE155" s="185" t="b">
        <f t="shared" si="136"/>
        <v>1</v>
      </c>
      <c r="AF155" s="185" t="b">
        <f t="shared" si="137"/>
        <v>1</v>
      </c>
      <c r="AG155" s="185" t="b">
        <f t="shared" si="138"/>
        <v>1</v>
      </c>
      <c r="AH155" s="185" t="b">
        <f>IF($D$149="",TRUE,IF(INDEX(Processor!$C$14:$C$20,MATCH(LEFT(AT155,10)&amp;"",Processor!$A$14:$A$20,0))&gt;=INDEX(Processor!$C$14:$C$20,MATCH(LEFT($D$149,10)&amp;"",Processor!$A$14:$A$20,0)),TRUE,FALSE))</f>
        <v>1</v>
      </c>
      <c r="AI155" s="185" t="b">
        <f t="shared" si="139"/>
        <v>1</v>
      </c>
      <c r="AJ155" s="185"/>
      <c r="AK155" s="185"/>
      <c r="AL155" s="185" t="s">
        <v>217</v>
      </c>
      <c r="AM155" s="185">
        <v>1</v>
      </c>
      <c r="AN155" s="185" t="str">
        <f t="shared" ca="1" si="146"/>
        <v>Android 11</v>
      </c>
      <c r="AO155" s="185">
        <f t="shared" ca="1" si="146"/>
        <v>10.4</v>
      </c>
      <c r="AP155" s="185" t="str">
        <f t="shared" ca="1" si="146"/>
        <v>2000x1200</v>
      </c>
      <c r="AQ155" s="185">
        <f t="shared" ca="1" si="146"/>
        <v>64</v>
      </c>
      <c r="AR155" s="185">
        <f t="shared" ca="1" si="146"/>
        <v>5</v>
      </c>
      <c r="AS155" s="185" t="str">
        <f t="shared" ca="1" si="146"/>
        <v>802.11a/b/g/n/ac</v>
      </c>
      <c r="AT155" s="185">
        <f t="shared" ca="1" si="146"/>
        <v>12</v>
      </c>
      <c r="AU155" s="185" t="str">
        <f t="shared" ca="1" si="146"/>
        <v>Epeat Bronze</v>
      </c>
      <c r="AV155" s="185" t="str">
        <f t="shared" ca="1" si="146"/>
        <v>802.11a/b/g/n/ac</v>
      </c>
      <c r="AW155" s="185">
        <f t="shared" ca="1" si="146"/>
        <v>5</v>
      </c>
      <c r="AX155" s="185">
        <f t="shared" ca="1" si="147"/>
        <v>12</v>
      </c>
      <c r="AY155" s="185" t="str">
        <f t="shared" ca="1" si="147"/>
        <v>Galaxy Tab S6 Lite WiFi (64GB)</v>
      </c>
      <c r="AZ155" s="185">
        <f t="shared" ca="1" si="147"/>
        <v>0</v>
      </c>
      <c r="BA155" s="185" t="str">
        <f t="shared" ca="1" si="147"/>
        <v>Android 11</v>
      </c>
      <c r="BB155" s="185">
        <f t="shared" ca="1" si="147"/>
        <v>3894</v>
      </c>
      <c r="BC155" s="185">
        <f t="shared" ca="1" si="147"/>
        <v>3894</v>
      </c>
      <c r="BD155" s="192" t="str">
        <f t="shared" ca="1" si="147"/>
        <v>Tolerate</v>
      </c>
      <c r="BE155" s="192" t="str">
        <f t="shared" ca="1" si="147"/>
        <v xml:space="preserve">Insmat </v>
      </c>
      <c r="BF155" s="192" t="str">
        <f t="shared" ca="1" si="147"/>
        <v>Samsung</v>
      </c>
      <c r="BG155" s="192" t="str">
        <f t="shared" ca="1" si="147"/>
        <v>Deltaco</v>
      </c>
      <c r="BH155" s="192" t="str">
        <f t="shared" ca="1" si="148"/>
        <v>Samsung</v>
      </c>
      <c r="BI155" s="192" t="str">
        <f t="shared" ca="1" si="148"/>
        <v xml:space="preserve">TOLERATE ARMOR FOLIO SAMSUNG TAB S6 LITE BLACK </v>
      </c>
      <c r="BJ155" s="192" t="str">
        <f t="shared" ca="1" si="148"/>
        <v>Insmat Brilliant</v>
      </c>
      <c r="BK155" s="192" t="str">
        <f t="shared" ca="1" si="148"/>
        <v>SAMSUNG FAST TRAVEL CHARGER USB-C BLACK</v>
      </c>
      <c r="BL155" s="192" t="str">
        <f t="shared" ca="1" si="148"/>
        <v>DELTACO trådlöst minitangentbord, 78 tangenter, Bluetooth, nordisk layout, dämpade tangenter, svart</v>
      </c>
      <c r="BM155" s="192" t="str">
        <f t="shared" ca="1" si="148"/>
        <v xml:space="preserve">SAMSUNG S-PEN GALAXY TAB S6 LITE GREY </v>
      </c>
      <c r="BN155" s="192">
        <f t="shared" ca="1" si="148"/>
        <v>350</v>
      </c>
      <c r="BO155" s="192">
        <f t="shared" ca="1" si="148"/>
        <v>165</v>
      </c>
      <c r="BP155" s="192">
        <f t="shared" ca="1" si="148"/>
        <v>114</v>
      </c>
      <c r="BQ155" s="192">
        <f t="shared" ca="1" si="148"/>
        <v>156</v>
      </c>
      <c r="BR155" s="192">
        <f t="shared" ca="1" si="148"/>
        <v>306</v>
      </c>
      <c r="BS155" s="192">
        <f t="shared" ca="1" si="148"/>
        <v>1</v>
      </c>
      <c r="BT155" s="192">
        <f t="shared" ca="1" si="148"/>
        <v>60</v>
      </c>
      <c r="BU155" s="192">
        <f t="shared" ca="1" si="148"/>
        <v>50</v>
      </c>
      <c r="BV155" s="192">
        <f t="shared" ca="1" si="148"/>
        <v>0</v>
      </c>
      <c r="BW155" s="192"/>
      <c r="BX155" s="192"/>
      <c r="BY155" s="192" t="str">
        <f t="shared" ca="1" si="143"/>
        <v>Foxway Education AB</v>
      </c>
      <c r="BZ155" s="192" t="str">
        <f t="shared" ca="1" si="143"/>
        <v>Samsung</v>
      </c>
      <c r="CA155" s="63"/>
      <c r="CB155" s="63"/>
      <c r="CC155" s="63"/>
      <c r="CD155" s="63"/>
      <c r="CE155" s="63"/>
      <c r="CF155" s="63"/>
      <c r="CG155" s="63"/>
      <c r="CH155" s="63"/>
      <c r="CI155" s="63"/>
      <c r="CJ155" s="63"/>
      <c r="CK155" s="63"/>
      <c r="CL155" s="63"/>
      <c r="CM155" s="63"/>
      <c r="CN155" s="63"/>
    </row>
    <row r="156" spans="2:94" ht="30" customHeight="1" outlineLevel="1" x14ac:dyDescent="0.35">
      <c r="B156" s="69" t="s">
        <v>54</v>
      </c>
      <c r="C156" s="98" t="s">
        <v>373</v>
      </c>
      <c r="D156" s="70"/>
      <c r="F156" s="157" t="str">
        <f t="shared" si="149"/>
        <v/>
      </c>
      <c r="G156" s="158">
        <f t="shared" ca="1" si="150"/>
        <v>180</v>
      </c>
      <c r="H156" s="158">
        <f t="shared" ca="1" si="150"/>
        <v>251</v>
      </c>
      <c r="I156" s="158">
        <f t="shared" ca="1" si="150"/>
        <v>189</v>
      </c>
      <c r="J156" s="62"/>
      <c r="Q156" s="185">
        <f t="shared" si="124"/>
        <v>0</v>
      </c>
      <c r="R156" s="185">
        <f t="shared" si="125"/>
        <v>0</v>
      </c>
      <c r="S156" s="185">
        <f t="shared" si="126"/>
        <v>0</v>
      </c>
      <c r="T156" s="185">
        <f t="shared" si="127"/>
        <v>0</v>
      </c>
      <c r="U156" s="185">
        <f t="shared" si="128"/>
        <v>0</v>
      </c>
      <c r="V156" s="185">
        <f t="shared" si="129"/>
        <v>0</v>
      </c>
      <c r="W156" s="185">
        <f t="shared" si="130"/>
        <v>0</v>
      </c>
      <c r="X156" s="185">
        <f t="shared" si="131"/>
        <v>0</v>
      </c>
      <c r="Y156" s="185">
        <f t="shared" si="132"/>
        <v>0</v>
      </c>
      <c r="Z156" s="196">
        <f t="shared" ca="1" si="133"/>
        <v>7350</v>
      </c>
      <c r="AA156" s="185" t="str">
        <f t="shared" si="134"/>
        <v>Offererad produktnr. 09Foxway Education AB</v>
      </c>
      <c r="AB156" s="185" t="b">
        <f>IF(D143="",TRUE,IF(COUNTIF(Processor!$M$2:$M$3,D143)=0,IF(AN156=D143,TRUE,FALSE),IF(COUNTIF(AN156,INDEX(Processor!$N$2:$N$3,MATCH(Surfplattor!D143,Processor!$M$2:$M$3,0)))&gt;0,TRUE,FALSE)))</f>
        <v>1</v>
      </c>
      <c r="AC156" s="185" t="b">
        <f>IF($D$144="",TRUE,IF(COUNTIF(Processor!$I$2:$I$9,$D$144)&gt;0,AND(AO156&gt;INDEX(Processor!$J$2:$J$9,MATCH($D$144,Processor!$I$2:$I$9,0)),AO156&lt;INDEX(Processor!$K$2:$K$9,MATCH($D$144,Processor!$I$2:$I$9,0))),IF(AO156=$D$144,TRUE,FALSE)))</f>
        <v>1</v>
      </c>
      <c r="AD156" s="185" t="b">
        <f t="shared" si="135"/>
        <v>1</v>
      </c>
      <c r="AE156" s="185" t="b">
        <f t="shared" si="136"/>
        <v>1</v>
      </c>
      <c r="AF156" s="185" t="b">
        <f t="shared" si="137"/>
        <v>1</v>
      </c>
      <c r="AG156" s="185" t="b">
        <f t="shared" si="138"/>
        <v>1</v>
      </c>
      <c r="AH156" s="185" t="b">
        <f>IF($D$149="",TRUE,IF(INDEX(Processor!$C$14:$C$20,MATCH(LEFT(AT156,10)&amp;"",Processor!$A$14:$A$20,0))&gt;=INDEX(Processor!$C$14:$C$20,MATCH(LEFT($D$149,10)&amp;"",Processor!$A$14:$A$20,0)),TRUE,FALSE))</f>
        <v>1</v>
      </c>
      <c r="AI156" s="185" t="b">
        <f t="shared" si="139"/>
        <v>1</v>
      </c>
      <c r="AJ156" s="185"/>
      <c r="AK156" s="185"/>
      <c r="AL156" s="185" t="s">
        <v>218</v>
      </c>
      <c r="AM156" s="185">
        <v>1</v>
      </c>
      <c r="AN156" s="185" t="str">
        <f t="shared" ca="1" si="146"/>
        <v>Android 11</v>
      </c>
      <c r="AO156" s="185">
        <f t="shared" ca="1" si="146"/>
        <v>11</v>
      </c>
      <c r="AP156" s="185" t="str">
        <f t="shared" ca="1" si="146"/>
        <v>2560x1600</v>
      </c>
      <c r="AQ156" s="185">
        <f t="shared" ca="1" si="146"/>
        <v>128</v>
      </c>
      <c r="AR156" s="185">
        <f t="shared" ca="1" si="146"/>
        <v>5</v>
      </c>
      <c r="AS156" s="185" t="str">
        <f t="shared" ca="1" si="146"/>
        <v>802.11a/b/g/n/ac/ax</v>
      </c>
      <c r="AT156" s="185">
        <f t="shared" ca="1" si="146"/>
        <v>13</v>
      </c>
      <c r="AU156" s="185" t="str">
        <f t="shared" ca="1" si="146"/>
        <v>Epeat Bronze</v>
      </c>
      <c r="AV156" s="185" t="str">
        <f t="shared" ca="1" si="146"/>
        <v>802.11a/b/g/n/ac/ax</v>
      </c>
      <c r="AW156" s="185">
        <f t="shared" ca="1" si="146"/>
        <v>5</v>
      </c>
      <c r="AX156" s="185">
        <f t="shared" ca="1" si="147"/>
        <v>13</v>
      </c>
      <c r="AY156" s="185" t="str">
        <f t="shared" ca="1" si="147"/>
        <v>Galaxy Tab S8 Wifi (128GB)</v>
      </c>
      <c r="AZ156" s="185">
        <f t="shared" ca="1" si="147"/>
        <v>0</v>
      </c>
      <c r="BA156" s="185" t="str">
        <f t="shared" ca="1" si="147"/>
        <v>Android 11</v>
      </c>
      <c r="BB156" s="185">
        <f t="shared" ca="1" si="147"/>
        <v>7350</v>
      </c>
      <c r="BC156" s="185">
        <f t="shared" ca="1" si="147"/>
        <v>7350</v>
      </c>
      <c r="BD156" s="192" t="str">
        <f t="shared" ca="1" si="147"/>
        <v>Insmat</v>
      </c>
      <c r="BE156" s="192" t="str">
        <f t="shared" ca="1" si="147"/>
        <v>Tolerate</v>
      </c>
      <c r="BF156" s="192" t="str">
        <f t="shared" ca="1" si="147"/>
        <v>Samsung</v>
      </c>
      <c r="BG156" s="192" t="str">
        <f t="shared" ca="1" si="147"/>
        <v>Deltaco</v>
      </c>
      <c r="BH156" s="192" t="str">
        <f t="shared" ca="1" si="148"/>
        <v>Samsung</v>
      </c>
      <c r="BI156" s="192" t="str">
        <f t="shared" ca="1" si="148"/>
        <v>Insmat Rugged Armor S8</v>
      </c>
      <c r="BJ156" s="192" t="str">
        <f t="shared" ca="1" si="148"/>
        <v>TOLERATE GLASS SCREEN PROTECTOR SAMSUNG TAB S8</v>
      </c>
      <c r="BK156" s="192" t="str">
        <f t="shared" ca="1" si="148"/>
        <v>SAMSUNG FAST TRAVEL CHARGER USB-C BLACK</v>
      </c>
      <c r="BL156" s="192" t="str">
        <f t="shared" ca="1" si="148"/>
        <v>DELTACO trådlöst minitangentbord, 78 tangenter, Bluetooth, nordisk layout, dämpade tangenter, svart</v>
      </c>
      <c r="BM156" s="192" t="str">
        <f t="shared" ca="1" si="148"/>
        <v>SAMSUNG S-PEN GALAXY TAB S7</v>
      </c>
      <c r="BN156" s="192">
        <f t="shared" ca="1" si="148"/>
        <v>340</v>
      </c>
      <c r="BO156" s="185">
        <f t="shared" ca="1" si="148"/>
        <v>205</v>
      </c>
      <c r="BP156" s="192">
        <f t="shared" ca="1" si="148"/>
        <v>114</v>
      </c>
      <c r="BQ156" s="192">
        <f t="shared" ca="1" si="148"/>
        <v>156</v>
      </c>
      <c r="BR156" s="192">
        <f t="shared" ca="1" si="148"/>
        <v>360</v>
      </c>
      <c r="BS156" s="185">
        <f t="shared" ca="1" si="148"/>
        <v>1</v>
      </c>
      <c r="BT156" s="185">
        <f t="shared" ca="1" si="148"/>
        <v>60</v>
      </c>
      <c r="BU156" s="185">
        <f t="shared" ca="1" si="148"/>
        <v>50</v>
      </c>
      <c r="BV156" s="185">
        <f t="shared" ca="1" si="148"/>
        <v>0</v>
      </c>
      <c r="BW156" s="185"/>
      <c r="BX156" s="185"/>
      <c r="BY156" s="185" t="str">
        <f t="shared" ca="1" si="143"/>
        <v>Foxway Education AB</v>
      </c>
      <c r="BZ156" s="185" t="str">
        <f t="shared" ca="1" si="143"/>
        <v>Samsung</v>
      </c>
      <c r="CA156" s="63"/>
      <c r="CB156" s="63"/>
      <c r="CC156" s="63"/>
      <c r="CD156" s="63"/>
      <c r="CE156" s="63"/>
      <c r="CF156" s="63"/>
      <c r="CG156" s="63"/>
      <c r="CH156" s="63"/>
      <c r="CI156" s="63"/>
      <c r="CJ156" s="63"/>
      <c r="CK156" s="63"/>
      <c r="CL156" s="63"/>
      <c r="CM156" s="63"/>
      <c r="CN156" s="63"/>
    </row>
    <row r="157" spans="2:94" ht="30" customHeight="1" outlineLevel="1" x14ac:dyDescent="0.35">
      <c r="B157" s="69" t="s">
        <v>341</v>
      </c>
      <c r="C157" s="61" t="s">
        <v>51</v>
      </c>
      <c r="D157" s="131" t="str">
        <f>IF("Ska Ingå"=D156,"Ska Ingå","")</f>
        <v/>
      </c>
      <c r="F157" s="88" t="str">
        <f t="shared" si="149"/>
        <v/>
      </c>
      <c r="G157" s="89" t="str">
        <f t="shared" ca="1" si="150"/>
        <v>Lenovo</v>
      </c>
      <c r="H157" s="89" t="str">
        <f t="shared" ca="1" si="150"/>
        <v>eSTUFF</v>
      </c>
      <c r="I157" s="89" t="str">
        <f t="shared" ca="1" si="150"/>
        <v>ZAGG</v>
      </c>
      <c r="J157" s="62"/>
      <c r="Q157" s="185">
        <f t="shared" si="124"/>
        <v>0</v>
      </c>
      <c r="R157" s="185">
        <f t="shared" si="125"/>
        <v>0</v>
      </c>
      <c r="S157" s="185">
        <f t="shared" si="126"/>
        <v>0</v>
      </c>
      <c r="T157" s="185">
        <f t="shared" si="127"/>
        <v>0</v>
      </c>
      <c r="U157" s="185">
        <f t="shared" si="128"/>
        <v>0</v>
      </c>
      <c r="V157" s="185">
        <f t="shared" si="129"/>
        <v>0</v>
      </c>
      <c r="W157" s="185">
        <f t="shared" si="130"/>
        <v>0</v>
      </c>
      <c r="X157" s="185">
        <f t="shared" si="131"/>
        <v>0</v>
      </c>
      <c r="Y157" s="185">
        <f t="shared" si="132"/>
        <v>0</v>
      </c>
      <c r="Z157" s="196">
        <f t="shared" ca="1" si="133"/>
        <v>5256</v>
      </c>
      <c r="AA157" s="185" t="str">
        <f t="shared" si="134"/>
        <v>Offererad produktnr. 10Foxway Education AB</v>
      </c>
      <c r="AB157" s="185" t="b">
        <f>IF(D143="",TRUE,IF(COUNTIF(Processor!$M$2:$M$3,D143)=0,IF(AN157=D143,TRUE,FALSE),IF(COUNTIF(AN157,INDEX(Processor!$N$2:$N$3,MATCH(Surfplattor!D143,Processor!$M$2:$M$3,0)))&gt;0,TRUE,FALSE)))</f>
        <v>1</v>
      </c>
      <c r="AC157" s="185" t="b">
        <f>IF($D$144="",TRUE,IF(COUNTIF(Processor!$I$2:$I$9,$D$144)&gt;0,AND(AO157&gt;INDEX(Processor!$J$2:$J$9,MATCH($D$144,Processor!$I$2:$I$9,0)),AO157&lt;INDEX(Processor!$K$2:$K$9,MATCH($D$144,Processor!$I$2:$I$9,0))),IF(AO157=$D$144,TRUE,FALSE)))</f>
        <v>1</v>
      </c>
      <c r="AD157" s="185" t="b">
        <f t="shared" si="135"/>
        <v>1</v>
      </c>
      <c r="AE157" s="185" t="b">
        <f t="shared" si="136"/>
        <v>1</v>
      </c>
      <c r="AF157" s="185" t="b">
        <f t="shared" si="137"/>
        <v>1</v>
      </c>
      <c r="AG157" s="185" t="b">
        <f t="shared" si="138"/>
        <v>1</v>
      </c>
      <c r="AH157" s="185" t="b">
        <f>IF($D$149="",TRUE,IF(INDEX(Processor!$C$14:$C$20,MATCH(LEFT(AT157,10)&amp;"",Processor!$A$14:$A$20,0))&gt;=INDEX(Processor!$C$14:$C$20,MATCH(LEFT($D$149,10)&amp;"",Processor!$A$14:$A$20,0)),TRUE,FALSE))</f>
        <v>1</v>
      </c>
      <c r="AI157" s="185" t="b">
        <f t="shared" si="139"/>
        <v>1</v>
      </c>
      <c r="AJ157" s="185"/>
      <c r="AK157" s="185"/>
      <c r="AL157" s="185" t="s">
        <v>219</v>
      </c>
      <c r="AM157" s="185">
        <v>1</v>
      </c>
      <c r="AN157" s="185" t="str">
        <f t="shared" ca="1" si="146"/>
        <v>Android 10</v>
      </c>
      <c r="AO157" s="185">
        <f t="shared" ca="1" si="146"/>
        <v>11.5</v>
      </c>
      <c r="AP157" s="185" t="str">
        <f t="shared" ca="1" si="146"/>
        <v>2560x1600</v>
      </c>
      <c r="AQ157" s="185">
        <f t="shared" ca="1" si="146"/>
        <v>128</v>
      </c>
      <c r="AR157" s="185">
        <f t="shared" ca="1" si="146"/>
        <v>5</v>
      </c>
      <c r="AS157" s="185" t="str">
        <f t="shared" ca="1" si="146"/>
        <v>802.11a/b/g/n/ac</v>
      </c>
      <c r="AT157" s="185">
        <f t="shared" ca="1" si="146"/>
        <v>8</v>
      </c>
      <c r="AU157" s="185" t="str">
        <f t="shared" ca="1" si="146"/>
        <v>Ej miljömärkt</v>
      </c>
      <c r="AV157" s="185" t="str">
        <f t="shared" ca="1" si="146"/>
        <v>802.11a/b/g/n/ac</v>
      </c>
      <c r="AW157" s="185">
        <f t="shared" ca="1" si="146"/>
        <v>5</v>
      </c>
      <c r="AX157" s="185">
        <f t="shared" ca="1" si="147"/>
        <v>8</v>
      </c>
      <c r="AY157" s="185" t="str">
        <f t="shared" ca="1" si="147"/>
        <v>Tab P11 Pro</v>
      </c>
      <c r="AZ157" s="185">
        <f t="shared" ca="1" si="147"/>
        <v>0</v>
      </c>
      <c r="BA157" s="185" t="str">
        <f t="shared" ca="1" si="147"/>
        <v>Android 10</v>
      </c>
      <c r="BB157" s="185">
        <f t="shared" ca="1" si="147"/>
        <v>5256</v>
      </c>
      <c r="BC157" s="185">
        <f t="shared" ca="1" si="147"/>
        <v>5256</v>
      </c>
      <c r="BD157" s="192" t="str">
        <f t="shared" ca="1" si="147"/>
        <v>Lenovo</v>
      </c>
      <c r="BE157" s="192" t="str">
        <f t="shared" ca="1" si="147"/>
        <v>Lenovo</v>
      </c>
      <c r="BF157" s="192" t="str">
        <f t="shared" ca="1" si="147"/>
        <v>Lenovo</v>
      </c>
      <c r="BG157" s="192" t="str">
        <f t="shared" ca="1" si="147"/>
        <v>Deltaco</v>
      </c>
      <c r="BH157" s="192" t="str">
        <f t="shared" ca="1" si="148"/>
        <v>Lenovo</v>
      </c>
      <c r="BI157" s="192" t="str">
        <f t="shared" ca="1" si="148"/>
        <v>P11 Pro Folio Case &amp; Film Grey</v>
      </c>
      <c r="BJ157" s="192" t="str">
        <f t="shared" ca="1" si="148"/>
        <v>Skyddsfilm</v>
      </c>
      <c r="BK157" s="192" t="str">
        <f t="shared" ca="1" si="148"/>
        <v xml:space="preserve">Lenovo Smart Charge station </v>
      </c>
      <c r="BL157" s="192" t="str">
        <f t="shared" ca="1" si="148"/>
        <v>DELTACO trådlöst minitangentbord, 78 tangenter, Bluetooth, nordisk layout, dämpade tangenter, svart</v>
      </c>
      <c r="BM157" s="192" t="str">
        <f t="shared" ca="1" si="148"/>
        <v>Lenovo Precision Pen 2</v>
      </c>
      <c r="BN157" s="192">
        <f t="shared" ca="1" si="148"/>
        <v>210</v>
      </c>
      <c r="BO157" s="185">
        <f t="shared" ca="1" si="148"/>
        <v>276</v>
      </c>
      <c r="BP157" s="192">
        <f t="shared" ca="1" si="148"/>
        <v>240</v>
      </c>
      <c r="BQ157" s="192">
        <f t="shared" ca="1" si="148"/>
        <v>156</v>
      </c>
      <c r="BR157" s="192">
        <f t="shared" ca="1" si="148"/>
        <v>564</v>
      </c>
      <c r="BS157" s="185">
        <f t="shared" ca="1" si="148"/>
        <v>550</v>
      </c>
      <c r="BT157" s="185">
        <f t="shared" ca="1" si="148"/>
        <v>60</v>
      </c>
      <c r="BU157" s="185">
        <f t="shared" ca="1" si="148"/>
        <v>50</v>
      </c>
      <c r="BV157" s="185">
        <f t="shared" ca="1" si="148"/>
        <v>0</v>
      </c>
      <c r="BW157" s="185"/>
      <c r="BX157" s="185"/>
      <c r="BY157" s="185" t="str">
        <f t="shared" ca="1" si="143"/>
        <v>Foxway Education AB</v>
      </c>
      <c r="BZ157" s="185" t="str">
        <f t="shared" ca="1" si="143"/>
        <v>Lenovo</v>
      </c>
      <c r="CA157" s="63"/>
      <c r="CB157" s="63"/>
      <c r="CC157" s="63"/>
      <c r="CD157" s="63"/>
      <c r="CE157" s="63"/>
      <c r="CF157" s="63"/>
      <c r="CG157" s="63"/>
      <c r="CH157" s="63"/>
      <c r="CI157" s="63"/>
      <c r="CJ157" s="63"/>
      <c r="CK157" s="63"/>
      <c r="CL157" s="63"/>
      <c r="CM157" s="63"/>
      <c r="CN157" s="63"/>
    </row>
    <row r="158" spans="2:94" ht="68.25" customHeight="1" outlineLevel="1" x14ac:dyDescent="0.35">
      <c r="B158" s="69" t="s">
        <v>346</v>
      </c>
      <c r="C158" s="99" t="s">
        <v>52</v>
      </c>
      <c r="D158" s="132" t="str">
        <f>IF("Ska Ingå"=D156,"Ska Ingå","")</f>
        <v/>
      </c>
      <c r="F158" s="90" t="str">
        <f t="shared" si="149"/>
        <v/>
      </c>
      <c r="G158" s="91" t="str">
        <f t="shared" ca="1" si="150"/>
        <v>GBXLENFILM</v>
      </c>
      <c r="H158" s="91" t="str">
        <f t="shared" ca="1" si="150"/>
        <v>ES517003 - Skärmskydd för surfplatta - glas - klar - för Lenovo Tab M10 (3rd Gen)</v>
      </c>
      <c r="I158" s="91" t="str">
        <f t="shared" ca="1" si="150"/>
        <v>gbx200106077</v>
      </c>
      <c r="J158" s="73"/>
      <c r="Q158" s="185">
        <f t="shared" si="124"/>
        <v>0</v>
      </c>
      <c r="R158" s="185">
        <f t="shared" si="125"/>
        <v>0</v>
      </c>
      <c r="S158" s="185">
        <f t="shared" si="126"/>
        <v>0</v>
      </c>
      <c r="T158" s="185">
        <f t="shared" si="127"/>
        <v>0</v>
      </c>
      <c r="U158" s="185">
        <f t="shared" si="128"/>
        <v>0</v>
      </c>
      <c r="V158" s="185">
        <f t="shared" si="129"/>
        <v>0</v>
      </c>
      <c r="W158" s="185">
        <f t="shared" si="130"/>
        <v>0</v>
      </c>
      <c r="X158" s="185">
        <f t="shared" si="131"/>
        <v>0</v>
      </c>
      <c r="Y158" s="185">
        <f t="shared" si="132"/>
        <v>0</v>
      </c>
      <c r="Z158" s="196">
        <f t="shared" ca="1" si="133"/>
        <v>1700</v>
      </c>
      <c r="AA158" s="185" t="str">
        <f t="shared" si="134"/>
        <v>Offererad produktnr. 07Qlosr Göteborg AB</v>
      </c>
      <c r="AB158" s="185" t="b">
        <f>IF(D143="",TRUE,IF(COUNTIF(Processor!$M$2:$M$3,D143)=0,IF(AN158=D143,TRUE,FALSE),IF(COUNTIF(AN158,INDEX(Processor!$N$2:$N$3,MATCH(Surfplattor!D143,Processor!$M$2:$M$3,0)))&gt;0,TRUE,FALSE)))</f>
        <v>1</v>
      </c>
      <c r="AC158" s="185" t="b">
        <f>IF($D$144="",TRUE,IF(COUNTIF(Processor!$I$2:$I$9,$D$144)&gt;0,AND(AO158&gt;INDEX(Processor!$J$2:$J$9,MATCH($D$144,Processor!$I$2:$I$9,0)),AO158&lt;INDEX(Processor!$K$2:$K$9,MATCH($D$144,Processor!$I$2:$I$9,0))),IF(AO158=$D$144,TRUE,FALSE)))</f>
        <v>1</v>
      </c>
      <c r="AD158" s="185" t="b">
        <f t="shared" si="135"/>
        <v>1</v>
      </c>
      <c r="AE158" s="185" t="b">
        <f t="shared" si="136"/>
        <v>1</v>
      </c>
      <c r="AF158" s="185" t="b">
        <f t="shared" si="137"/>
        <v>1</v>
      </c>
      <c r="AG158" s="185" t="b">
        <f t="shared" si="138"/>
        <v>1</v>
      </c>
      <c r="AH158" s="185" t="b">
        <f>IF($D$149="",TRUE,IF(INDEX(Processor!$C$14:$C$20,MATCH(LEFT(AT158,10)&amp;"",Processor!$A$14:$A$20,0))&gt;=INDEX(Processor!$C$14:$C$20,MATCH(LEFT($D$149,10)&amp;"",Processor!$A$14:$A$20,0)),TRUE,FALSE))</f>
        <v>1</v>
      </c>
      <c r="AI158" s="185" t="b">
        <f t="shared" si="139"/>
        <v>1</v>
      </c>
      <c r="AJ158" s="185"/>
      <c r="AK158" s="185"/>
      <c r="AL158" s="185" t="s">
        <v>558</v>
      </c>
      <c r="AM158" s="185">
        <v>1</v>
      </c>
      <c r="AN158" s="185" t="str">
        <f t="shared" ca="1" si="146"/>
        <v>Android 9</v>
      </c>
      <c r="AO158" s="185">
        <f t="shared" ca="1" si="146"/>
        <v>10.3</v>
      </c>
      <c r="AP158" s="185" t="str">
        <f t="shared" ca="1" si="146"/>
        <v>1920x1200</v>
      </c>
      <c r="AQ158" s="185">
        <f t="shared" ca="1" si="146"/>
        <v>64</v>
      </c>
      <c r="AR158" s="185">
        <f t="shared" ca="1" si="146"/>
        <v>5</v>
      </c>
      <c r="AS158" s="185" t="str">
        <f t="shared" ca="1" si="146"/>
        <v>802.11a/b/g/n/ac</v>
      </c>
      <c r="AT158" s="185">
        <f t="shared" ca="1" si="146"/>
        <v>9</v>
      </c>
      <c r="AU158" s="185" t="str">
        <f t="shared" ca="1" si="146"/>
        <v>Ej miljömärkt</v>
      </c>
      <c r="AV158" s="185" t="str">
        <f t="shared" ca="1" si="146"/>
        <v>802.11a/b/g/n/ac</v>
      </c>
      <c r="AW158" s="185">
        <f t="shared" ca="1" si="146"/>
        <v>5</v>
      </c>
      <c r="AX158" s="185">
        <f t="shared" ca="1" si="147"/>
        <v>9</v>
      </c>
      <c r="AY158" s="185" t="str">
        <f t="shared" ca="1" si="147"/>
        <v>M10 FHD G2</v>
      </c>
      <c r="AZ158" s="185">
        <f t="shared" ca="1" si="147"/>
        <v>0</v>
      </c>
      <c r="BA158" s="185" t="str">
        <f t="shared" ca="1" si="147"/>
        <v>Android 9</v>
      </c>
      <c r="BB158" s="185">
        <f t="shared" ca="1" si="147"/>
        <v>1700</v>
      </c>
      <c r="BC158" s="185">
        <f t="shared" ca="1" si="147"/>
        <v>1700</v>
      </c>
      <c r="BD158" s="192" t="str">
        <f t="shared" ca="1" si="147"/>
        <v>Phonelife</v>
      </c>
      <c r="BE158" s="192" t="str">
        <f t="shared" ca="1" si="147"/>
        <v>Lenovo</v>
      </c>
      <c r="BF158" s="192" t="str">
        <f t="shared" ca="1" si="147"/>
        <v>Lenovo</v>
      </c>
      <c r="BG158" s="192" t="str">
        <f t="shared" ca="1" si="147"/>
        <v>DELTACO</v>
      </c>
      <c r="BH158" s="192" t="str">
        <f t="shared" ca="1" si="148"/>
        <v>Kecow</v>
      </c>
      <c r="BI158" s="192" t="str">
        <f t="shared" ca="1" si="148"/>
        <v>GBXRUGGEDLENTAB-V1</v>
      </c>
      <c r="BJ158" s="192" t="str">
        <f t="shared" ca="1" si="148"/>
        <v>GBXLENFILM</v>
      </c>
      <c r="BK158" s="192" t="str">
        <f t="shared" ca="1" si="148"/>
        <v>GBXLENCHARGE</v>
      </c>
      <c r="BL158" s="192" t="str">
        <f t="shared" ca="1" si="148"/>
        <v>GBX TB-631</v>
      </c>
      <c r="BM158" s="192" t="str">
        <f t="shared" ca="1" si="148"/>
        <v>GBXPP2PENMAGNETIC</v>
      </c>
      <c r="BN158" s="192">
        <f t="shared" ca="1" si="148"/>
        <v>325</v>
      </c>
      <c r="BO158" s="185">
        <f t="shared" ca="1" si="148"/>
        <v>180</v>
      </c>
      <c r="BP158" s="192">
        <f t="shared" ca="1" si="148"/>
        <v>220</v>
      </c>
      <c r="BQ158" s="192">
        <f t="shared" ca="1" si="148"/>
        <v>150</v>
      </c>
      <c r="BR158" s="192">
        <f t="shared" ca="1" si="148"/>
        <v>399</v>
      </c>
      <c r="BS158" s="185">
        <f t="shared" ca="1" si="148"/>
        <v>570</v>
      </c>
      <c r="BT158" s="185">
        <f t="shared" ca="1" si="148"/>
        <v>25</v>
      </c>
      <c r="BU158" s="185">
        <f t="shared" ca="1" si="148"/>
        <v>25</v>
      </c>
      <c r="BV158" s="185">
        <f t="shared" ca="1" si="148"/>
        <v>0</v>
      </c>
      <c r="BW158" s="185"/>
      <c r="BX158" s="185"/>
      <c r="BY158" s="185" t="str">
        <f t="shared" ca="1" si="143"/>
        <v>Qlosr Göteborg AB</v>
      </c>
      <c r="BZ158" s="185" t="str">
        <f t="shared" ca="1" si="143"/>
        <v>Lenovo</v>
      </c>
      <c r="CA158" s="63"/>
      <c r="CB158" s="63"/>
      <c r="CC158" s="63"/>
      <c r="CD158" s="63"/>
      <c r="CE158" s="63"/>
      <c r="CF158" s="63"/>
      <c r="CG158" s="63"/>
      <c r="CH158" s="63"/>
      <c r="CI158" s="63"/>
      <c r="CJ158" s="63"/>
      <c r="CK158" s="63"/>
      <c r="CL158" s="63"/>
      <c r="CM158" s="63"/>
      <c r="CN158" s="63"/>
    </row>
    <row r="159" spans="2:94" ht="30" customHeight="1" outlineLevel="1" x14ac:dyDescent="0.35">
      <c r="B159" s="69" t="s">
        <v>55</v>
      </c>
      <c r="C159" s="95" t="s">
        <v>371</v>
      </c>
      <c r="D159" s="70"/>
      <c r="F159" s="159" t="str">
        <f t="shared" si="149"/>
        <v/>
      </c>
      <c r="G159" s="160">
        <f t="shared" ca="1" si="150"/>
        <v>220</v>
      </c>
      <c r="H159" s="160">
        <f t="shared" ca="1" si="150"/>
        <v>108</v>
      </c>
      <c r="I159" s="160">
        <f t="shared" ca="1" si="150"/>
        <v>279</v>
      </c>
      <c r="J159" s="54"/>
      <c r="Q159" s="185">
        <f t="shared" si="124"/>
        <v>0</v>
      </c>
      <c r="R159" s="185">
        <f t="shared" si="125"/>
        <v>0</v>
      </c>
      <c r="S159" s="185">
        <f t="shared" si="126"/>
        <v>0</v>
      </c>
      <c r="T159" s="185">
        <f t="shared" si="127"/>
        <v>0</v>
      </c>
      <c r="U159" s="185">
        <f t="shared" si="128"/>
        <v>0</v>
      </c>
      <c r="V159" s="185">
        <f t="shared" si="129"/>
        <v>0</v>
      </c>
      <c r="W159" s="185">
        <f t="shared" si="130"/>
        <v>0</v>
      </c>
      <c r="X159" s="185">
        <f t="shared" si="131"/>
        <v>0</v>
      </c>
      <c r="Y159" s="185">
        <f t="shared" si="132"/>
        <v>0</v>
      </c>
      <c r="Z159" s="196">
        <f t="shared" ca="1" si="133"/>
        <v>3205</v>
      </c>
      <c r="AA159" s="185" t="str">
        <f t="shared" si="134"/>
        <v>Offererad produktnr. 08Qlosr Göteborg AB</v>
      </c>
      <c r="AB159" s="185" t="b">
        <f>IF(D143="",TRUE,IF(COUNTIF(Processor!$M$2:$M$3,D143)=0,IF(AN159=D143,TRUE,FALSE),IF(COUNTIF(AN159,INDEX(Processor!$N$2:$N$3,MATCH(Surfplattor!D143,Processor!$M$2:$M$3,0)))&gt;0,TRUE,FALSE)))</f>
        <v>1</v>
      </c>
      <c r="AC159" s="185" t="b">
        <f>IF($D$144="",TRUE,IF(COUNTIF(Processor!$I$2:$I$9,$D$144)&gt;0,AND(AO159&gt;INDEX(Processor!$J$2:$J$9,MATCH($D$144,Processor!$I$2:$I$9,0)),AO159&lt;INDEX(Processor!$K$2:$K$9,MATCH($D$144,Processor!$I$2:$I$9,0))),IF(AO159=$D$144,TRUE,FALSE)))</f>
        <v>1</v>
      </c>
      <c r="AD159" s="185" t="b">
        <f t="shared" si="135"/>
        <v>1</v>
      </c>
      <c r="AE159" s="185" t="b">
        <f t="shared" si="136"/>
        <v>1</v>
      </c>
      <c r="AF159" s="185" t="b">
        <f t="shared" si="137"/>
        <v>1</v>
      </c>
      <c r="AG159" s="185" t="b">
        <f t="shared" si="138"/>
        <v>1</v>
      </c>
      <c r="AH159" s="185" t="b">
        <f>IF($D$149="",TRUE,IF(INDEX(Processor!$C$14:$C$20,MATCH(LEFT(AT159,10)&amp;"",Processor!$A$14:$A$20,0))&gt;=INDEX(Processor!$C$14:$C$20,MATCH(LEFT($D$149,10)&amp;"",Processor!$A$14:$A$20,0)),TRUE,FALSE))</f>
        <v>1</v>
      </c>
      <c r="AI159" s="185" t="b">
        <f t="shared" si="139"/>
        <v>1</v>
      </c>
      <c r="AJ159" s="185"/>
      <c r="AK159" s="185"/>
      <c r="AL159" s="185" t="s">
        <v>559</v>
      </c>
      <c r="AM159" s="185">
        <v>1</v>
      </c>
      <c r="AN159" s="185" t="str">
        <f t="shared" ca="1" si="146"/>
        <v>iPadOS 15</v>
      </c>
      <c r="AO159" s="185">
        <f t="shared" ca="1" si="146"/>
        <v>10.199999999999999</v>
      </c>
      <c r="AP159" s="185" t="str">
        <f t="shared" ca="1" si="146"/>
        <v>2160x1620</v>
      </c>
      <c r="AQ159" s="185">
        <f t="shared" ca="1" si="146"/>
        <v>64</v>
      </c>
      <c r="AR159" s="185">
        <f t="shared" ca="1" si="146"/>
        <v>4.2</v>
      </c>
      <c r="AS159" s="185" t="str">
        <f t="shared" ca="1" si="146"/>
        <v>802.11a/b/g/n/ac</v>
      </c>
      <c r="AT159" s="185">
        <f t="shared" ca="1" si="146"/>
        <v>10</v>
      </c>
      <c r="AU159" s="185" t="str">
        <f t="shared" ca="1" si="146"/>
        <v>Ej miljömärkt</v>
      </c>
      <c r="AV159" s="185" t="str">
        <f t="shared" ca="1" si="146"/>
        <v>802.11a/b/g/n/ac</v>
      </c>
      <c r="AW159" s="185">
        <f t="shared" ca="1" si="146"/>
        <v>4.2</v>
      </c>
      <c r="AX159" s="185">
        <f t="shared" ca="1" si="147"/>
        <v>10</v>
      </c>
      <c r="AY159" s="185" t="str">
        <f t="shared" ca="1" si="147"/>
        <v>iPad 9th gen (2021)</v>
      </c>
      <c r="AZ159" s="185">
        <f t="shared" ca="1" si="147"/>
        <v>0</v>
      </c>
      <c r="BA159" s="185" t="str">
        <f t="shared" ca="1" si="147"/>
        <v>iPadOS 15</v>
      </c>
      <c r="BB159" s="185">
        <f t="shared" ca="1" si="147"/>
        <v>3205</v>
      </c>
      <c r="BC159" s="185">
        <f t="shared" ca="1" si="147"/>
        <v>3205</v>
      </c>
      <c r="BD159" s="192" t="str">
        <f t="shared" ca="1" si="147"/>
        <v>Otterbox Defender Series</v>
      </c>
      <c r="BE159" s="192" t="str">
        <f t="shared" ca="1" si="147"/>
        <v>ZAGG</v>
      </c>
      <c r="BF159" s="192" t="str">
        <f t="shared" ca="1" si="147"/>
        <v>Belkin</v>
      </c>
      <c r="BG159" s="192" t="str">
        <f t="shared" ca="1" si="147"/>
        <v>DELTACO</v>
      </c>
      <c r="BH159" s="192" t="str">
        <f t="shared" ca="1" si="148"/>
        <v>Apple</v>
      </c>
      <c r="BI159" s="192" t="str">
        <f t="shared" ca="1" si="148"/>
        <v>GBX77-62032</v>
      </c>
      <c r="BJ159" s="192" t="str">
        <f t="shared" ca="1" si="148"/>
        <v>gbx200106077</v>
      </c>
      <c r="BK159" s="192" t="str">
        <f t="shared" ca="1" si="148"/>
        <v>GBXWCA003VF04WH</v>
      </c>
      <c r="BL159" s="192" t="str">
        <f t="shared" ca="1" si="148"/>
        <v>GBX TB-631</v>
      </c>
      <c r="BM159" s="192" t="str">
        <f t="shared" ca="1" si="148"/>
        <v>MK0C2ZM/A</v>
      </c>
      <c r="BN159" s="192">
        <f t="shared" ca="1" si="148"/>
        <v>460</v>
      </c>
      <c r="BO159" s="185">
        <f t="shared" ca="1" si="148"/>
        <v>189</v>
      </c>
      <c r="BP159" s="192">
        <f t="shared" ca="1" si="148"/>
        <v>279</v>
      </c>
      <c r="BQ159" s="192">
        <f t="shared" ca="1" si="148"/>
        <v>150</v>
      </c>
      <c r="BR159" s="192">
        <f t="shared" ca="1" si="148"/>
        <v>839</v>
      </c>
      <c r="BS159" s="185">
        <f t="shared" ca="1" si="148"/>
        <v>514</v>
      </c>
      <c r="BT159" s="185">
        <f t="shared" ca="1" si="148"/>
        <v>25</v>
      </c>
      <c r="BU159" s="185">
        <f t="shared" ca="1" si="148"/>
        <v>25</v>
      </c>
      <c r="BV159" s="185">
        <f t="shared" ca="1" si="148"/>
        <v>0</v>
      </c>
      <c r="BW159" s="185"/>
      <c r="BX159" s="185"/>
      <c r="BY159" s="185" t="str">
        <f t="shared" ca="1" si="143"/>
        <v>Qlosr Göteborg AB</v>
      </c>
      <c r="BZ159" s="185" t="str">
        <f t="shared" ca="1" si="143"/>
        <v>Apple</v>
      </c>
      <c r="CA159" s="63"/>
      <c r="CB159" s="63"/>
      <c r="CC159" s="63"/>
      <c r="CD159" s="63"/>
      <c r="CE159" s="63"/>
      <c r="CF159" s="63"/>
      <c r="CG159" s="63"/>
      <c r="CH159" s="63"/>
      <c r="CI159" s="63"/>
      <c r="CJ159" s="63"/>
      <c r="CK159" s="63"/>
      <c r="CL159" s="63"/>
      <c r="CM159" s="63"/>
      <c r="CN159" s="63"/>
    </row>
    <row r="160" spans="2:94" ht="30" customHeight="1" outlineLevel="1" x14ac:dyDescent="0.35">
      <c r="B160" s="69" t="s">
        <v>342</v>
      </c>
      <c r="C160" s="96" t="s">
        <v>51</v>
      </c>
      <c r="D160" s="131" t="str">
        <f>IF("Ska Ingå"=D159,"Ska Ingå","")</f>
        <v/>
      </c>
      <c r="F160" s="84" t="str">
        <f t="shared" si="149"/>
        <v/>
      </c>
      <c r="G160" s="85" t="str">
        <f t="shared" ca="1" si="150"/>
        <v>Lenovo</v>
      </c>
      <c r="H160" s="85" t="str">
        <f t="shared" ca="1" si="150"/>
        <v>CoreParts</v>
      </c>
      <c r="I160" s="85" t="str">
        <f t="shared" ca="1" si="150"/>
        <v>Belkin</v>
      </c>
      <c r="J160" s="73"/>
      <c r="Q160" s="185">
        <f t="shared" si="124"/>
        <v>0</v>
      </c>
      <c r="R160" s="185">
        <f t="shared" si="125"/>
        <v>0</v>
      </c>
      <c r="S160" s="185">
        <f t="shared" si="126"/>
        <v>0</v>
      </c>
      <c r="T160" s="185">
        <f t="shared" si="127"/>
        <v>0</v>
      </c>
      <c r="U160" s="185">
        <f t="shared" si="128"/>
        <v>0</v>
      </c>
      <c r="V160" s="185">
        <f t="shared" si="129"/>
        <v>0</v>
      </c>
      <c r="W160" s="185">
        <f t="shared" si="130"/>
        <v>0</v>
      </c>
      <c r="X160" s="185">
        <f t="shared" si="131"/>
        <v>0</v>
      </c>
      <c r="Y160" s="185">
        <f t="shared" si="132"/>
        <v>0</v>
      </c>
      <c r="Z160" s="196">
        <f t="shared" ca="1" si="133"/>
        <v>7256</v>
      </c>
      <c r="AA160" s="185" t="str">
        <f t="shared" si="134"/>
        <v>Offererad produktnr. 09Qlosr Göteborg AB</v>
      </c>
      <c r="AB160" s="185" t="b">
        <f>IF(D143="",TRUE,IF(COUNTIF(Processor!$M$2:$M$3,D143)=0,IF(AN160=D143,TRUE,FALSE),IF(COUNTIF(AN160,INDEX(Processor!$N$2:$N$3,MATCH(Surfplattor!D143,Processor!$M$2:$M$3,0)))&gt;0,TRUE,FALSE)))</f>
        <v>1</v>
      </c>
      <c r="AC160" s="185" t="b">
        <f>IF($D$144="",TRUE,IF(COUNTIF(Processor!$I$2:$I$9,$D$144)&gt;0,AND(AO160&gt;INDEX(Processor!$J$2:$J$9,MATCH($D$144,Processor!$I$2:$I$9,0)),AO160&lt;INDEX(Processor!$K$2:$K$9,MATCH($D$144,Processor!$I$2:$I$9,0))),IF(AO160=$D$144,TRUE,FALSE)))</f>
        <v>1</v>
      </c>
      <c r="AD160" s="185" t="b">
        <f t="shared" si="135"/>
        <v>1</v>
      </c>
      <c r="AE160" s="185" t="b">
        <f t="shared" si="136"/>
        <v>1</v>
      </c>
      <c r="AF160" s="185" t="b">
        <f t="shared" si="137"/>
        <v>1</v>
      </c>
      <c r="AG160" s="185" t="b">
        <f t="shared" si="138"/>
        <v>1</v>
      </c>
      <c r="AH160" s="185" t="b">
        <f>IF($D$149="",TRUE,IF(INDEX(Processor!$C$14:$C$20,MATCH(LEFT(AT160,10)&amp;"",Processor!$A$14:$A$20,0))&gt;=INDEX(Processor!$C$14:$C$20,MATCH(LEFT($D$149,10)&amp;"",Processor!$A$14:$A$20,0)),TRUE,FALSE))</f>
        <v>1</v>
      </c>
      <c r="AI160" s="185" t="b">
        <f t="shared" si="139"/>
        <v>1</v>
      </c>
      <c r="AJ160" s="185"/>
      <c r="AK160" s="185"/>
      <c r="AL160" s="185" t="s">
        <v>560</v>
      </c>
      <c r="AM160" s="185">
        <v>1</v>
      </c>
      <c r="AN160" s="185" t="str">
        <f t="shared" ca="1" si="146"/>
        <v>iPadOS 14</v>
      </c>
      <c r="AO160" s="185">
        <f t="shared" ca="1" si="146"/>
        <v>11</v>
      </c>
      <c r="AP160" s="185" t="str">
        <f t="shared" ca="1" si="146"/>
        <v>2388x1668</v>
      </c>
      <c r="AQ160" s="185">
        <f t="shared" ca="1" si="146"/>
        <v>128</v>
      </c>
      <c r="AR160" s="185">
        <f t="shared" ca="1" si="146"/>
        <v>5</v>
      </c>
      <c r="AS160" s="185" t="str">
        <f t="shared" ca="1" si="146"/>
        <v>802.11a/b/g/n/ac/ax</v>
      </c>
      <c r="AT160" s="185">
        <f t="shared" ca="1" si="146"/>
        <v>10</v>
      </c>
      <c r="AU160" s="185" t="str">
        <f t="shared" ca="1" si="146"/>
        <v>Ej miljömärkt</v>
      </c>
      <c r="AV160" s="185" t="str">
        <f t="shared" ca="1" si="146"/>
        <v>802.11a/b/g/n/ac/ax</v>
      </c>
      <c r="AW160" s="185">
        <f t="shared" ca="1" si="146"/>
        <v>5</v>
      </c>
      <c r="AX160" s="185">
        <f t="shared" ca="1" si="147"/>
        <v>10</v>
      </c>
      <c r="AY160" s="185" t="str">
        <f t="shared" ca="1" si="147"/>
        <v>Ipad Pro 11 tum</v>
      </c>
      <c r="AZ160" s="185">
        <f t="shared" ca="1" si="147"/>
        <v>0</v>
      </c>
      <c r="BA160" s="185" t="str">
        <f t="shared" ca="1" si="147"/>
        <v>iPadOS 14</v>
      </c>
      <c r="BB160" s="185">
        <f t="shared" ca="1" si="147"/>
        <v>7256</v>
      </c>
      <c r="BC160" s="185">
        <f t="shared" ca="1" si="147"/>
        <v>7256</v>
      </c>
      <c r="BD160" s="192" t="str">
        <f t="shared" ca="1" si="147"/>
        <v>Otterbox Defender Series</v>
      </c>
      <c r="BE160" s="192" t="str">
        <f t="shared" ca="1" si="147"/>
        <v>ZAGG</v>
      </c>
      <c r="BF160" s="192" t="str">
        <f t="shared" ca="1" si="147"/>
        <v>Belkin</v>
      </c>
      <c r="BG160" s="192" t="str">
        <f t="shared" ca="1" si="147"/>
        <v>DELTACO</v>
      </c>
      <c r="BH160" s="192" t="str">
        <f t="shared" ca="1" si="148"/>
        <v>Apple</v>
      </c>
      <c r="BI160" s="192" t="str">
        <f t="shared" ca="1" si="148"/>
        <v>GBX77-82261</v>
      </c>
      <c r="BJ160" s="192" t="str">
        <f t="shared" ca="1" si="148"/>
        <v>GBX200108138</v>
      </c>
      <c r="BK160" s="192" t="str">
        <f t="shared" ca="1" si="148"/>
        <v>GBXF7U074vf04-SLV</v>
      </c>
      <c r="BL160" s="192" t="str">
        <f t="shared" ca="1" si="148"/>
        <v>GBX TB-631</v>
      </c>
      <c r="BM160" s="192" t="str">
        <f t="shared" ca="1" si="148"/>
        <v>MU8F2ZM/A</v>
      </c>
      <c r="BN160" s="192">
        <f t="shared" ca="1" si="148"/>
        <v>435</v>
      </c>
      <c r="BO160" s="185">
        <f t="shared" ca="1" si="148"/>
        <v>179</v>
      </c>
      <c r="BP160" s="192">
        <f t="shared" ca="1" si="148"/>
        <v>355</v>
      </c>
      <c r="BQ160" s="192">
        <f t="shared" ca="1" si="148"/>
        <v>150</v>
      </c>
      <c r="BR160" s="192">
        <f t="shared" ca="1" si="148"/>
        <v>1145</v>
      </c>
      <c r="BS160" s="185">
        <f t="shared" ca="1" si="148"/>
        <v>724</v>
      </c>
      <c r="BT160" s="185">
        <f t="shared" ca="1" si="148"/>
        <v>25</v>
      </c>
      <c r="BU160" s="185">
        <f t="shared" ca="1" si="148"/>
        <v>25</v>
      </c>
      <c r="BV160" s="185">
        <f t="shared" ca="1" si="148"/>
        <v>0</v>
      </c>
      <c r="BW160" s="185"/>
      <c r="BX160" s="185"/>
      <c r="BY160" s="185" t="str">
        <f t="shared" ca="1" si="143"/>
        <v>Qlosr Göteborg AB</v>
      </c>
      <c r="BZ160" s="185" t="str">
        <f t="shared" ca="1" si="143"/>
        <v>Apple</v>
      </c>
      <c r="CA160" s="63"/>
      <c r="CB160" s="63"/>
      <c r="CC160" s="63"/>
      <c r="CD160" s="63"/>
      <c r="CE160" s="63"/>
      <c r="CF160" s="63"/>
      <c r="CG160" s="63"/>
      <c r="CH160" s="63"/>
      <c r="CI160" s="63"/>
      <c r="CJ160" s="63"/>
      <c r="CK160" s="63"/>
      <c r="CL160" s="63"/>
      <c r="CM160" s="63"/>
      <c r="CN160" s="63"/>
    </row>
    <row r="161" spans="2:92" ht="67.5" customHeight="1" outlineLevel="1" x14ac:dyDescent="0.35">
      <c r="B161" s="69" t="s">
        <v>347</v>
      </c>
      <c r="C161" s="97" t="s">
        <v>52</v>
      </c>
      <c r="D161" s="132" t="str">
        <f>IF("Ska Ingå"=D159,"Ska Ingå","")</f>
        <v/>
      </c>
      <c r="F161" s="86" t="str">
        <f t="shared" si="149"/>
        <v/>
      </c>
      <c r="G161" s="87" t="str">
        <f t="shared" ca="1" si="150"/>
        <v>GBXLENCHARGE</v>
      </c>
      <c r="H161" s="87" t="str">
        <f t="shared" ca="1" si="150"/>
        <v>MBXUSB-AC0011 - Strömadapter - 12 Watt - 2.4 A (USB) - på kabel: USB-C - vit - med USB-C cable (2m)</v>
      </c>
      <c r="I161" s="87" t="str">
        <f t="shared" ca="1" si="150"/>
        <v>GBXWCA003VF04WH</v>
      </c>
      <c r="J161" s="54"/>
      <c r="Q161" s="185">
        <f t="shared" si="124"/>
        <v>0</v>
      </c>
      <c r="R161" s="185">
        <f t="shared" si="125"/>
        <v>0</v>
      </c>
      <c r="S161" s="185">
        <f t="shared" si="126"/>
        <v>0</v>
      </c>
      <c r="T161" s="185">
        <f t="shared" si="127"/>
        <v>0</v>
      </c>
      <c r="U161" s="185">
        <f t="shared" si="128"/>
        <v>0</v>
      </c>
      <c r="V161" s="185">
        <f t="shared" si="129"/>
        <v>0</v>
      </c>
      <c r="W161" s="185">
        <f t="shared" si="130"/>
        <v>0</v>
      </c>
      <c r="X161" s="185">
        <f t="shared" si="131"/>
        <v>0</v>
      </c>
      <c r="Y161" s="185">
        <f t="shared" si="132"/>
        <v>0</v>
      </c>
      <c r="Z161" s="196">
        <f t="shared" ca="1" si="133"/>
        <v>4710</v>
      </c>
      <c r="AA161" s="185" t="str">
        <f t="shared" si="134"/>
        <v>Offererad produktnr. 10Qlosr Göteborg AB</v>
      </c>
      <c r="AB161" s="185" t="b">
        <f>IF(D143="",TRUE,IF(COUNTIF(Processor!$M$2:$M$3,D143)=0,IF(AN161=D143,TRUE,FALSE),IF(COUNTIF(AN161,INDEX(Processor!$N$2:$N$3,MATCH(Surfplattor!D143,Processor!$M$2:$M$3,0)))&gt;0,TRUE,FALSE)))</f>
        <v>1</v>
      </c>
      <c r="AC161" s="185" t="b">
        <f>IF($D$144="",TRUE,IF(COUNTIF(Processor!$I$2:$I$9,$D$144)&gt;0,AND(AO161&gt;INDEX(Processor!$J$2:$J$9,MATCH($D$144,Processor!$I$2:$I$9,0)),AO161&lt;INDEX(Processor!$K$2:$K$9,MATCH($D$144,Processor!$I$2:$I$9,0))),IF(AO161=$D$144,TRUE,FALSE)))</f>
        <v>1</v>
      </c>
      <c r="AD161" s="185" t="b">
        <f t="shared" si="135"/>
        <v>1</v>
      </c>
      <c r="AE161" s="185" t="b">
        <f t="shared" si="136"/>
        <v>1</v>
      </c>
      <c r="AF161" s="185" t="b">
        <f t="shared" si="137"/>
        <v>1</v>
      </c>
      <c r="AG161" s="185" t="b">
        <f t="shared" si="138"/>
        <v>1</v>
      </c>
      <c r="AH161" s="185" t="b">
        <f>IF($D$149="",TRUE,IF(INDEX(Processor!$C$14:$C$20,MATCH(LEFT(AT161,10)&amp;"",Processor!$A$14:$A$20,0))&gt;=INDEX(Processor!$C$14:$C$20,MATCH(LEFT($D$149,10)&amp;"",Processor!$A$14:$A$20,0)),TRUE,FALSE))</f>
        <v>1</v>
      </c>
      <c r="AI161" s="185" t="b">
        <f t="shared" si="139"/>
        <v>1</v>
      </c>
      <c r="AJ161" s="185"/>
      <c r="AK161" s="185"/>
      <c r="AL161" s="185" t="s">
        <v>561</v>
      </c>
      <c r="AM161" s="185">
        <v>1</v>
      </c>
      <c r="AN161" s="185" t="str">
        <f t="shared" ca="1" si="146"/>
        <v>Android 10</v>
      </c>
      <c r="AO161" s="185">
        <f t="shared" ca="1" si="146"/>
        <v>11.5</v>
      </c>
      <c r="AP161" s="185" t="str">
        <f t="shared" ca="1" si="146"/>
        <v>2560x1600</v>
      </c>
      <c r="AQ161" s="185">
        <f t="shared" ca="1" si="146"/>
        <v>128</v>
      </c>
      <c r="AR161" s="185">
        <f t="shared" ca="1" si="146"/>
        <v>5</v>
      </c>
      <c r="AS161" s="185" t="str">
        <f t="shared" ca="1" si="146"/>
        <v>802.11a/b/g/n/ac</v>
      </c>
      <c r="AT161" s="185">
        <f t="shared" ca="1" si="146"/>
        <v>8</v>
      </c>
      <c r="AU161" s="185" t="str">
        <f t="shared" ca="1" si="146"/>
        <v>Ej miljömärkt</v>
      </c>
      <c r="AV161" s="185" t="str">
        <f t="shared" ca="1" si="146"/>
        <v>802.11a/b/g/n/ac</v>
      </c>
      <c r="AW161" s="185">
        <f t="shared" ca="1" si="146"/>
        <v>5</v>
      </c>
      <c r="AX161" s="185">
        <f t="shared" ca="1" si="147"/>
        <v>8</v>
      </c>
      <c r="AY161" s="185" t="str">
        <f t="shared" ca="1" si="147"/>
        <v>Lenovo Tab P11 Pro ZA7C 128GB</v>
      </c>
      <c r="AZ161" s="185">
        <f t="shared" ca="1" si="147"/>
        <v>0</v>
      </c>
      <c r="BA161" s="185" t="str">
        <f t="shared" ca="1" si="147"/>
        <v>Android 10</v>
      </c>
      <c r="BB161" s="185">
        <f t="shared" ca="1" si="147"/>
        <v>4710</v>
      </c>
      <c r="BC161" s="185">
        <f t="shared" ca="1" si="147"/>
        <v>4710</v>
      </c>
      <c r="BD161" s="192" t="str">
        <f t="shared" ca="1" si="147"/>
        <v>Phonelife</v>
      </c>
      <c r="BE161" s="192" t="str">
        <f t="shared" ca="1" si="147"/>
        <v>Lenovo</v>
      </c>
      <c r="BF161" s="192" t="str">
        <f t="shared" ca="1" si="147"/>
        <v>Lenovo</v>
      </c>
      <c r="BG161" s="192" t="str">
        <f t="shared" ca="1" si="147"/>
        <v>DELTACO</v>
      </c>
      <c r="BH161" s="192" t="str">
        <f t="shared" ca="1" si="148"/>
        <v>Kecow</v>
      </c>
      <c r="BI161" s="192" t="str">
        <f t="shared" ca="1" si="148"/>
        <v>GBXRUGGEDLENTAB-V2</v>
      </c>
      <c r="BJ161" s="192" t="str">
        <f t="shared" ca="1" si="148"/>
        <v>GBXLENFILM</v>
      </c>
      <c r="BK161" s="192" t="str">
        <f t="shared" ca="1" si="148"/>
        <v>GBXLENCHARGE</v>
      </c>
      <c r="BL161" s="192" t="str">
        <f t="shared" ca="1" si="148"/>
        <v>GBX TB-631</v>
      </c>
      <c r="BM161" s="192" t="str">
        <f t="shared" ca="1" si="148"/>
        <v>GBXPP2PENMAGNETIC</v>
      </c>
      <c r="BN161" s="192">
        <f t="shared" ca="1" si="148"/>
        <v>330</v>
      </c>
      <c r="BO161" s="185">
        <f t="shared" ca="1" si="148"/>
        <v>180</v>
      </c>
      <c r="BP161" s="192">
        <f t="shared" ca="1" si="148"/>
        <v>220</v>
      </c>
      <c r="BQ161" s="192">
        <f t="shared" ca="1" si="148"/>
        <v>150</v>
      </c>
      <c r="BR161" s="192">
        <f t="shared" ca="1" si="148"/>
        <v>399</v>
      </c>
      <c r="BS161" s="185">
        <f t="shared" ca="1" si="148"/>
        <v>560</v>
      </c>
      <c r="BT161" s="185">
        <f t="shared" ca="1" si="148"/>
        <v>25</v>
      </c>
      <c r="BU161" s="185">
        <f t="shared" ca="1" si="148"/>
        <v>25</v>
      </c>
      <c r="BV161" s="185">
        <f t="shared" ca="1" si="148"/>
        <v>0</v>
      </c>
      <c r="BW161" s="185"/>
      <c r="BX161" s="185"/>
      <c r="BY161" s="185" t="str">
        <f t="shared" ca="1" si="143"/>
        <v>Qlosr Göteborg AB</v>
      </c>
      <c r="BZ161" s="185" t="str">
        <f t="shared" ca="1" si="143"/>
        <v>Lenovo</v>
      </c>
      <c r="CA161" s="63"/>
      <c r="CB161" s="63"/>
      <c r="CC161" s="63"/>
      <c r="CD161" s="63"/>
      <c r="CE161" s="63"/>
      <c r="CF161" s="63"/>
      <c r="CG161" s="63"/>
      <c r="CH161" s="63"/>
      <c r="CI161" s="63"/>
      <c r="CJ161" s="63"/>
      <c r="CK161" s="63"/>
      <c r="CL161" s="63"/>
      <c r="CM161" s="63"/>
      <c r="CN161" s="63"/>
    </row>
    <row r="162" spans="2:92" ht="30" customHeight="1" outlineLevel="1" x14ac:dyDescent="0.35">
      <c r="B162" s="69" t="s">
        <v>59</v>
      </c>
      <c r="C162" s="98" t="s">
        <v>374</v>
      </c>
      <c r="D162" s="70"/>
      <c r="F162" s="157" t="str">
        <f t="shared" si="149"/>
        <v/>
      </c>
      <c r="G162" s="158">
        <f t="shared" ca="1" si="150"/>
        <v>150</v>
      </c>
      <c r="H162" s="158">
        <f t="shared" ca="1" si="150"/>
        <v>169</v>
      </c>
      <c r="I162" s="158">
        <f t="shared" ca="1" si="150"/>
        <v>150</v>
      </c>
      <c r="J162" s="73"/>
      <c r="BD162" s="63"/>
      <c r="BE162" s="63"/>
      <c r="BF162" s="63"/>
      <c r="BG162" s="63"/>
      <c r="BH162" s="63"/>
      <c r="BI162" s="63"/>
      <c r="BJ162" s="63"/>
      <c r="BK162" s="63"/>
      <c r="BL162" s="63"/>
      <c r="BM162" s="63"/>
      <c r="BN162" s="63"/>
      <c r="BP162" s="63"/>
      <c r="BQ162" s="63"/>
      <c r="BR162" s="63"/>
    </row>
    <row r="163" spans="2:92" ht="30" customHeight="1" outlineLevel="1" x14ac:dyDescent="0.35">
      <c r="B163" s="69" t="s">
        <v>343</v>
      </c>
      <c r="C163" s="61" t="s">
        <v>51</v>
      </c>
      <c r="D163" s="131" t="str">
        <f>IF("Ska Ingå"=D162,"Ska Ingå","")</f>
        <v/>
      </c>
      <c r="F163" s="88" t="str">
        <f t="shared" si="149"/>
        <v/>
      </c>
      <c r="G163" s="89" t="str">
        <f t="shared" ca="1" si="150"/>
        <v>DELTACO</v>
      </c>
      <c r="H163" s="89" t="str">
        <f t="shared" ca="1" si="150"/>
        <v>DELTACO</v>
      </c>
      <c r="I163" s="89" t="str">
        <f t="shared" ca="1" si="150"/>
        <v>DELTACO</v>
      </c>
      <c r="J163" s="54"/>
      <c r="BD163" s="63"/>
      <c r="BE163" s="63"/>
      <c r="BF163" s="63"/>
      <c r="BG163" s="63"/>
      <c r="BH163" s="63"/>
      <c r="BI163" s="63"/>
      <c r="BJ163" s="63"/>
      <c r="BK163" s="63"/>
      <c r="BL163" s="63"/>
      <c r="BM163" s="63"/>
      <c r="BN163" s="63"/>
      <c r="BP163" s="63"/>
      <c r="BQ163" s="63"/>
      <c r="BR163" s="63"/>
    </row>
    <row r="164" spans="2:92" ht="45" customHeight="1" outlineLevel="1" x14ac:dyDescent="0.35">
      <c r="B164" s="69" t="s">
        <v>348</v>
      </c>
      <c r="C164" s="99" t="s">
        <v>52</v>
      </c>
      <c r="D164" s="132" t="str">
        <f>IF("Ska Ingå"=D162,"Ska Ingå","")</f>
        <v/>
      </c>
      <c r="F164" s="90" t="str">
        <f t="shared" si="149"/>
        <v/>
      </c>
      <c r="G164" s="91" t="str">
        <f t="shared" ca="1" si="150"/>
        <v>GBX TB-631</v>
      </c>
      <c r="H164" s="91" t="str">
        <f t="shared" ca="1" si="150"/>
        <v>TB-631</v>
      </c>
      <c r="I164" s="91" t="str">
        <f t="shared" ca="1" si="150"/>
        <v>GBX TB-631</v>
      </c>
      <c r="BD164" s="63"/>
      <c r="BE164" s="63"/>
      <c r="BF164" s="63"/>
      <c r="BG164" s="63"/>
      <c r="BH164" s="63"/>
      <c r="BI164" s="63"/>
      <c r="BJ164" s="63"/>
      <c r="BK164" s="63"/>
      <c r="BL164" s="63"/>
      <c r="BM164" s="63"/>
      <c r="BN164" s="63"/>
      <c r="BP164" s="63"/>
      <c r="BQ164" s="63"/>
      <c r="BR164" s="63"/>
    </row>
    <row r="165" spans="2:92" ht="30" customHeight="1" outlineLevel="1" x14ac:dyDescent="0.35">
      <c r="B165" s="69" t="s">
        <v>227</v>
      </c>
      <c r="C165" s="95" t="s">
        <v>375</v>
      </c>
      <c r="D165" s="70"/>
      <c r="F165" s="159" t="str">
        <f t="shared" si="149"/>
        <v/>
      </c>
      <c r="G165" s="160">
        <f t="shared" ca="1" si="150"/>
        <v>399</v>
      </c>
      <c r="H165" s="160">
        <f t="shared" ca="1" si="150"/>
        <v>595</v>
      </c>
      <c r="I165" s="160">
        <f t="shared" ca="1" si="150"/>
        <v>839</v>
      </c>
      <c r="BD165" s="63"/>
      <c r="BE165" s="63"/>
      <c r="BF165" s="63"/>
      <c r="BG165" s="63"/>
      <c r="BH165" s="63"/>
      <c r="BI165" s="63"/>
      <c r="BJ165" s="63"/>
      <c r="BK165" s="63"/>
      <c r="BL165" s="63"/>
      <c r="BM165" s="63"/>
      <c r="BN165" s="63"/>
      <c r="BP165" s="63"/>
      <c r="BQ165" s="63"/>
      <c r="BR165" s="63"/>
    </row>
    <row r="166" spans="2:92" ht="30" customHeight="1" outlineLevel="1" x14ac:dyDescent="0.35">
      <c r="B166" s="69" t="s">
        <v>344</v>
      </c>
      <c r="C166" s="96" t="s">
        <v>51</v>
      </c>
      <c r="D166" s="131" t="str">
        <f>IF("Ska Ingå"=D165,"Ska Ingå","")</f>
        <v/>
      </c>
      <c r="F166" s="84" t="str">
        <f t="shared" si="149"/>
        <v/>
      </c>
      <c r="G166" s="85" t="str">
        <f t="shared" ca="1" si="150"/>
        <v>Kecow</v>
      </c>
      <c r="H166" s="85" t="str">
        <f t="shared" ca="1" si="150"/>
        <v xml:space="preserve">ZAGG </v>
      </c>
      <c r="I166" s="85" t="str">
        <f t="shared" ca="1" si="150"/>
        <v>Apple</v>
      </c>
      <c r="BD166" s="63"/>
      <c r="BE166" s="63"/>
      <c r="BF166" s="63"/>
      <c r="BG166" s="63"/>
      <c r="BH166" s="63"/>
      <c r="BI166" s="63"/>
      <c r="BJ166" s="63"/>
      <c r="BK166" s="63"/>
      <c r="BL166" s="63"/>
      <c r="BM166" s="63"/>
      <c r="BN166" s="63"/>
      <c r="BP166" s="63"/>
      <c r="BQ166" s="63"/>
      <c r="BR166" s="63"/>
    </row>
    <row r="167" spans="2:92" ht="67.5" customHeight="1" outlineLevel="1" x14ac:dyDescent="0.35">
      <c r="B167" s="69" t="s">
        <v>349</v>
      </c>
      <c r="C167" s="116" t="s">
        <v>52</v>
      </c>
      <c r="D167" s="132" t="str">
        <f>IF("Ska Ingå"=D165,"Ska Ingå","")</f>
        <v/>
      </c>
      <c r="F167" s="117" t="str">
        <f t="shared" si="149"/>
        <v/>
      </c>
      <c r="G167" s="118" t="str">
        <f t="shared" ca="1" si="150"/>
        <v>GBXPP2PENMAGNETIC</v>
      </c>
      <c r="H167" s="118" t="str">
        <f t="shared" ca="1" si="150"/>
        <v>109912139 - Pro Stylus 2 - Aktiv penna - grå</v>
      </c>
      <c r="I167" s="118" t="str">
        <f t="shared" ca="1" si="150"/>
        <v>MK0C2ZM/A</v>
      </c>
      <c r="BD167" s="63"/>
      <c r="BE167" s="63"/>
      <c r="BF167" s="63"/>
      <c r="BG167" s="63"/>
      <c r="BH167" s="63"/>
      <c r="BI167" s="63"/>
      <c r="BJ167" s="63"/>
      <c r="BK167" s="63"/>
      <c r="BL167" s="63"/>
      <c r="BM167" s="63"/>
      <c r="BN167" s="63"/>
      <c r="BP167" s="63"/>
      <c r="BQ167" s="63"/>
      <c r="BR167" s="63"/>
    </row>
    <row r="168" spans="2:92" ht="22.5" customHeight="1" outlineLevel="1" x14ac:dyDescent="0.35">
      <c r="B168" s="69"/>
      <c r="C168" s="212" t="s">
        <v>365</v>
      </c>
      <c r="D168" s="215"/>
      <c r="E168" s="213"/>
      <c r="F168" s="213"/>
      <c r="G168" s="213"/>
      <c r="H168" s="213"/>
      <c r="I168" s="214"/>
    </row>
    <row r="169" spans="2:92" ht="22.5" customHeight="1" outlineLevel="1" x14ac:dyDescent="0.35">
      <c r="B169" s="71" t="s">
        <v>228</v>
      </c>
      <c r="C169" s="115" t="s">
        <v>367</v>
      </c>
      <c r="D169" s="70"/>
      <c r="F169" s="161" t="str">
        <f>IF(F$140="Inget antal angivet","",IFERROR(INDEX($AN$141:$BZ$167,MATCH(F$137,$AL$141:$AL$167,0),MATCH($B169,$AN$141:$BZ$141,0)),""))</f>
        <v/>
      </c>
      <c r="G169" s="162">
        <f t="shared" ref="G169:I171" ca="1" si="151">IFERROR(INDEX($AN$141:$BZ$167,MATCH(G$137,$AL$141:$AL$167,0),MATCH($B169,$AN$141:$BZ$141,0)),"")</f>
        <v>570</v>
      </c>
      <c r="H169" s="162">
        <f t="shared" ca="1" si="151"/>
        <v>781</v>
      </c>
      <c r="I169" s="162">
        <f t="shared" ca="1" si="151"/>
        <v>514</v>
      </c>
    </row>
    <row r="170" spans="2:92" ht="22.5" customHeight="1" outlineLevel="1" x14ac:dyDescent="0.35">
      <c r="B170" s="71" t="s">
        <v>229</v>
      </c>
      <c r="C170" s="61" t="s">
        <v>369</v>
      </c>
      <c r="D170" s="70"/>
      <c r="F170" s="165" t="str">
        <f>IF(F$140="Inget antal angivet","",IFERROR(INDEX($AN$141:$BZ$167,MATCH(F$137,$AL$141:$AL$167,0),MATCH($B170,$AN$141:$BZ$141,0)),""))</f>
        <v/>
      </c>
      <c r="G170" s="166">
        <f t="shared" ca="1" si="151"/>
        <v>25</v>
      </c>
      <c r="H170" s="166">
        <f t="shared" ca="1" si="151"/>
        <v>50</v>
      </c>
      <c r="I170" s="166">
        <f t="shared" ca="1" si="151"/>
        <v>25</v>
      </c>
    </row>
    <row r="171" spans="2:92" ht="22.5" customHeight="1" outlineLevel="1" x14ac:dyDescent="0.35">
      <c r="B171" s="71" t="s">
        <v>230</v>
      </c>
      <c r="C171" s="96" t="s">
        <v>370</v>
      </c>
      <c r="D171" s="70"/>
      <c r="F171" s="163" t="str">
        <f>IF(F$140="Inget antal angivet","",IFERROR(INDEX($AN$141:$BZ$167,MATCH(F$137,$AL$141:$AL$167,0),MATCH($B171,$AN$141:$BZ$141,0)),""))</f>
        <v/>
      </c>
      <c r="G171" s="164">
        <f t="shared" ca="1" si="151"/>
        <v>25</v>
      </c>
      <c r="H171" s="164">
        <f t="shared" ca="1" si="151"/>
        <v>50</v>
      </c>
      <c r="I171" s="164">
        <f t="shared" ca="1" si="151"/>
        <v>25</v>
      </c>
    </row>
    <row r="172" spans="2:92" ht="22.5" customHeight="1" outlineLevel="1" x14ac:dyDescent="0.35"/>
    <row r="173" spans="2:92" ht="22.5" customHeight="1" x14ac:dyDescent="0.35"/>
    <row r="174" spans="2:92" ht="22.5" customHeight="1" x14ac:dyDescent="0.35">
      <c r="D174" s="72" t="s">
        <v>233</v>
      </c>
      <c r="F174" s="221" t="s">
        <v>252</v>
      </c>
      <c r="G174" s="221"/>
      <c r="H174" s="221"/>
      <c r="I174" s="222"/>
    </row>
    <row r="175" spans="2:92" ht="22.5" customHeight="1" x14ac:dyDescent="0.35">
      <c r="D175" s="74"/>
      <c r="F175" s="202" t="str">
        <f ca="1">IFERROR(INDEX($Z$142:$Z$165,MATCH(F137,$AA$142:$AA$165,0))*D175,"")</f>
        <v/>
      </c>
      <c r="G175" s="202">
        <f ca="1">IFERROR(P142 *D175,"")</f>
        <v>0</v>
      </c>
      <c r="H175" s="202">
        <f ca="1">IFERROR(P143 *D175,"")</f>
        <v>0</v>
      </c>
      <c r="I175" s="202">
        <f ca="1">IFERROR(P144 * D175,"")</f>
        <v>0</v>
      </c>
    </row>
    <row r="177" spans="2:92" ht="15" thickBot="1" x14ac:dyDescent="0.4">
      <c r="C177" s="174"/>
      <c r="D177" s="174"/>
      <c r="E177" s="174"/>
      <c r="F177" s="174"/>
      <c r="G177" s="174"/>
      <c r="H177" s="174"/>
      <c r="I177" s="174"/>
    </row>
    <row r="178" spans="2:92" ht="15" thickTop="1" x14ac:dyDescent="0.35"/>
    <row r="181" spans="2:92" ht="71.25" customHeight="1" collapsed="1" x14ac:dyDescent="0.35">
      <c r="C181" s="53"/>
      <c r="D181" s="53"/>
      <c r="F181" s="50" t="e">
        <f ca="1">N185</f>
        <v>#N/A</v>
      </c>
      <c r="G181" s="50" t="str">
        <f ca="1">INDEX(AA186:AA211,MATCH(P186,Z186:Z211,0))</f>
        <v>Offererad produktnr. 07Qlosr Göteborg AB</v>
      </c>
      <c r="H181" s="50" t="str">
        <f ca="1">INDEX(AA185:AA210,MATCH(P187,Z185:Z210,0))</f>
        <v>Offererad produktnr. 07Advania Sverige AB</v>
      </c>
      <c r="I181" s="50" t="str">
        <f ca="1">INDEX(AA185:AA210,MATCH(P188,Z185:Z210,0))</f>
        <v>Offererad produktnr. 08Qlosr Göteborg AB</v>
      </c>
      <c r="AN181" s="12" t="s">
        <v>124</v>
      </c>
      <c r="AO181" s="12" t="s">
        <v>124</v>
      </c>
      <c r="AP181" s="12" t="s">
        <v>124</v>
      </c>
      <c r="AQ181" s="12" t="s">
        <v>124</v>
      </c>
      <c r="AR181" s="12" t="s">
        <v>124</v>
      </c>
      <c r="AS181" s="12" t="s">
        <v>124</v>
      </c>
      <c r="AT181" s="12" t="s">
        <v>124</v>
      </c>
      <c r="AU181" s="12" t="s">
        <v>124</v>
      </c>
      <c r="AV181" s="12" t="s">
        <v>124</v>
      </c>
      <c r="AW181" s="12" t="s">
        <v>124</v>
      </c>
      <c r="AX181" s="12" t="s">
        <v>124</v>
      </c>
      <c r="AY181" s="12" t="s">
        <v>124</v>
      </c>
      <c r="AZ181" s="12" t="s">
        <v>124</v>
      </c>
      <c r="BA181" s="12" t="s">
        <v>124</v>
      </c>
      <c r="BB181" s="12" t="s">
        <v>124</v>
      </c>
      <c r="BC181" s="12" t="s">
        <v>124</v>
      </c>
      <c r="BD181" s="12" t="s">
        <v>124</v>
      </c>
      <c r="BE181" s="12" t="s">
        <v>124</v>
      </c>
      <c r="BF181" s="12" t="s">
        <v>124</v>
      </c>
      <c r="BG181" s="12" t="s">
        <v>124</v>
      </c>
      <c r="BH181" s="12" t="s">
        <v>124</v>
      </c>
      <c r="BI181" s="12" t="s">
        <v>124</v>
      </c>
      <c r="BJ181" s="12" t="s">
        <v>124</v>
      </c>
      <c r="BK181" s="12" t="s">
        <v>124</v>
      </c>
      <c r="BL181" s="12" t="s">
        <v>124</v>
      </c>
      <c r="BM181" s="12" t="s">
        <v>124</v>
      </c>
      <c r="BN181" s="12" t="s">
        <v>124</v>
      </c>
      <c r="BO181" s="12" t="s">
        <v>124</v>
      </c>
      <c r="BP181" s="12" t="s">
        <v>124</v>
      </c>
      <c r="BQ181" s="12" t="s">
        <v>124</v>
      </c>
      <c r="BR181" s="12" t="s">
        <v>124</v>
      </c>
      <c r="BS181" s="12" t="s">
        <v>124</v>
      </c>
      <c r="BT181" s="12" t="s">
        <v>124</v>
      </c>
      <c r="BU181" s="12" t="s">
        <v>124</v>
      </c>
      <c r="BV181" s="12" t="s">
        <v>124</v>
      </c>
      <c r="BW181" s="12"/>
      <c r="BX181" s="12"/>
      <c r="BY181" s="12" t="s">
        <v>124</v>
      </c>
      <c r="BZ181" s="12" t="s">
        <v>124</v>
      </c>
      <c r="CA181" s="12"/>
      <c r="CB181" s="12"/>
      <c r="CC181" s="12"/>
      <c r="CD181" s="12"/>
      <c r="CE181" s="12"/>
      <c r="CF181" s="12"/>
      <c r="CG181" s="12"/>
      <c r="CH181" s="12"/>
      <c r="CI181" s="12"/>
      <c r="CJ181" s="12"/>
      <c r="CK181" s="12"/>
      <c r="CL181" s="12"/>
      <c r="CM181" s="12"/>
      <c r="CN181" s="12"/>
    </row>
    <row r="182" spans="2:92" ht="25.5" customHeight="1" thickBot="1" x14ac:dyDescent="0.4">
      <c r="C182" s="53"/>
      <c r="D182" s="53"/>
      <c r="F182" s="140" t="s">
        <v>446</v>
      </c>
      <c r="G182" s="205" t="s">
        <v>447</v>
      </c>
      <c r="H182" s="205"/>
      <c r="I182" s="205"/>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row>
    <row r="183" spans="2:92" ht="22.5" customHeight="1" thickBot="1" x14ac:dyDescent="0.4">
      <c r="B183" t="str">
        <f ca="1" xml:space="preserve"> "Produkt "  &amp; B184</f>
        <v>Produkt 5</v>
      </c>
      <c r="C183" s="206" t="str">
        <f>IF(F184="Ingen produkt motsvarar","Felmeddelande",IF(COUNTIF($P$1:$P$6,TRUE)&gt;0,"","Felmeddelande"))</f>
        <v/>
      </c>
      <c r="D183" s="207"/>
      <c r="F183" s="218" t="s">
        <v>271</v>
      </c>
      <c r="G183" s="218"/>
      <c r="H183" s="218"/>
      <c r="I183" s="219"/>
      <c r="O183">
        <v>1</v>
      </c>
      <c r="AN183" s="13" t="str">
        <f t="shared" ref="AN183:AX183" si="152">AN185</f>
        <v>Operativsystem</v>
      </c>
      <c r="AO183" s="13" t="str">
        <f t="shared" si="152"/>
        <v>Skärmstorlek (tum)</v>
      </c>
      <c r="AP183" s="13" t="str">
        <f t="shared" si="152"/>
        <v>Upplösning</v>
      </c>
      <c r="AQ183" s="13" t="str">
        <f t="shared" si="152"/>
        <v>Lagringsutrymme</v>
      </c>
      <c r="AR183" s="13" t="str">
        <f t="shared" si="152"/>
        <v>Kommunikation Bluetooth</v>
      </c>
      <c r="AS183" s="13" t="str">
        <f t="shared" si="152"/>
        <v>Kommunikation WLAN</v>
      </c>
      <c r="AT183" s="13" t="str">
        <f t="shared" si="152"/>
        <v>Batteritid (tim)</v>
      </c>
      <c r="AU183" s="13" t="str">
        <f t="shared" si="152"/>
        <v>Miljömärkning</v>
      </c>
      <c r="AV183" s="13" t="str">
        <f t="shared" si="152"/>
        <v>Kommunikation WLAN</v>
      </c>
      <c r="AW183" s="13" t="str">
        <f t="shared" si="152"/>
        <v>Kommunikation Bluetooth</v>
      </c>
      <c r="AX183" s="13" t="str">
        <f t="shared" si="152"/>
        <v>Batteritid (tim)</v>
      </c>
      <c r="AY183" s="13" t="s">
        <v>52</v>
      </c>
      <c r="AZ183" s="13" t="str">
        <f>AZ185</f>
        <v>Låsskydd</v>
      </c>
      <c r="BA183" s="13" t="str">
        <f>BA185</f>
        <v>Operativsystem</v>
      </c>
      <c r="BB183" s="13" t="str">
        <f>BB185</f>
        <v>Pris</v>
      </c>
      <c r="BC183" t="s">
        <v>224</v>
      </c>
      <c r="BD183" s="100" t="s">
        <v>340</v>
      </c>
      <c r="BE183" s="100" t="s">
        <v>341</v>
      </c>
      <c r="BF183" s="100" t="s">
        <v>342</v>
      </c>
      <c r="BG183" s="100" t="s">
        <v>343</v>
      </c>
      <c r="BH183" s="100" t="s">
        <v>344</v>
      </c>
      <c r="BI183" s="100" t="s">
        <v>345</v>
      </c>
      <c r="BJ183" s="100" t="s">
        <v>346</v>
      </c>
      <c r="BK183" s="100" t="s">
        <v>347</v>
      </c>
      <c r="BL183" s="100" t="s">
        <v>348</v>
      </c>
      <c r="BM183" s="100" t="s">
        <v>349</v>
      </c>
      <c r="BN183" s="56" t="s">
        <v>53</v>
      </c>
      <c r="BO183" s="56" t="s">
        <v>54</v>
      </c>
      <c r="BP183" s="56" t="s">
        <v>55</v>
      </c>
      <c r="BQ183" s="56" t="s">
        <v>59</v>
      </c>
      <c r="BR183" s="56" t="s">
        <v>227</v>
      </c>
      <c r="BS183" s="57" t="s">
        <v>228</v>
      </c>
      <c r="BT183" s="57" t="s">
        <v>229</v>
      </c>
      <c r="BU183" s="57" t="s">
        <v>230</v>
      </c>
      <c r="BV183" s="57" t="s">
        <v>231</v>
      </c>
      <c r="BW183" s="57"/>
      <c r="BX183" s="57"/>
      <c r="BY183" s="57" t="s">
        <v>6</v>
      </c>
      <c r="BZ183" s="4" t="s">
        <v>51</v>
      </c>
      <c r="CA183" s="13"/>
      <c r="CB183" s="13"/>
      <c r="CC183" s="13"/>
      <c r="CD183" s="13"/>
      <c r="CE183" s="13"/>
      <c r="CF183" s="13"/>
      <c r="CG183" s="13"/>
      <c r="CH183" s="13"/>
      <c r="CI183" s="13"/>
      <c r="CJ183" s="13"/>
      <c r="CK183" s="13"/>
      <c r="CL183" s="13"/>
      <c r="CM183" s="13"/>
      <c r="CN183" s="13"/>
    </row>
    <row r="184" spans="2:92" ht="22.5" customHeight="1" x14ac:dyDescent="0.35">
      <c r="B184">
        <f ca="1">COUNTIF($F$7:F187,"Produkt I varukorg*")</f>
        <v>5</v>
      </c>
      <c r="F184" s="51" t="str">
        <f>IF(D219&lt;1,"Inget antal angivet",IFERROR(INDEX($Z$186:$Z$209,MATCH(F181,$AA$186:$AA$209,0)),"Ingen produkt motsvarar"))</f>
        <v>Inget antal angivet</v>
      </c>
      <c r="G184" s="52">
        <f ca="1">IFERROR(P186,"Ingen produkt motsvarar")</f>
        <v>1700</v>
      </c>
      <c r="H184" s="52">
        <f ca="1">IFERROR(P187,"")</f>
        <v>2084</v>
      </c>
      <c r="I184" s="52">
        <f ca="1">IFERROR(P188,"")</f>
        <v>3205</v>
      </c>
      <c r="AA184" t="str">
        <f>IF(COUNTIF(AB184:AI184,FALSE)&gt;0,AL184,"")</f>
        <v/>
      </c>
      <c r="AB184" t="b">
        <f>IF($D$189="",TRUE,IF(AN184=$D$189,TRUE,FALSE))</f>
        <v>1</v>
      </c>
      <c r="AC184" t="b">
        <f>IF(D186="",TRUE,IF(AO184=$D$190,TRUE,FALSE))</f>
        <v>1</v>
      </c>
      <c r="AD184" t="b">
        <f>IF(D189="",TRUE,IF(AP184=D189,TRUE,FALSE))</f>
        <v>1</v>
      </c>
      <c r="AE184" t="b">
        <f>IF(D190="",TRUE,IF(AQ184=D190,TRUE,FALSE))</f>
        <v>1</v>
      </c>
      <c r="AF184" t="b">
        <f>IF(D191="",TRUE,IF(AR184=D191,TRUE,FALSE))</f>
        <v>1</v>
      </c>
      <c r="AG184" t="b">
        <f>IF(D192="",TRUE,IF(AS184=D192,TRUE,FALSE))</f>
        <v>1</v>
      </c>
      <c r="AH184" t="b">
        <f>IF(D188="",TRUE,IF(AT184=D188,TRUE,FALSE))</f>
        <v>1</v>
      </c>
      <c r="AI184" t="b">
        <f>IF(D187="",TRUE,IF(AV184=D187,TRUE,FALSE))</f>
        <v>1</v>
      </c>
      <c r="AL184" t="s">
        <v>126</v>
      </c>
      <c r="AN184" s="58" t="str">
        <f t="shared" ref="AN184:BL184" ca="1" si="153">IFERROR(INDEX(INDIRECT(AN$181&amp;"!$A$10:CC100000"),MATCH($AL184,INDIRECT(AN$181&amp;"!BH$10:BH100000"),0),MATCH(AN$183,INDIRECT(AN$181&amp;"!a10:CC10"),0)),"False")</f>
        <v>False</v>
      </c>
      <c r="AO184" s="58" t="str">
        <f t="shared" ca="1" si="153"/>
        <v>False</v>
      </c>
      <c r="AP184" s="58" t="str">
        <f t="shared" ca="1" si="153"/>
        <v>False</v>
      </c>
      <c r="AQ184" s="58" t="str">
        <f t="shared" ca="1" si="153"/>
        <v>False</v>
      </c>
      <c r="AR184" s="58" t="str">
        <f t="shared" ca="1" si="153"/>
        <v>False</v>
      </c>
      <c r="AS184" s="58" t="str">
        <f t="shared" ca="1" si="153"/>
        <v>False</v>
      </c>
      <c r="AT184" s="58" t="str">
        <f t="shared" ca="1" si="153"/>
        <v>False</v>
      </c>
      <c r="AU184" s="58" t="str">
        <f t="shared" ca="1" si="153"/>
        <v>False</v>
      </c>
      <c r="AV184" s="58" t="str">
        <f t="shared" ca="1" si="153"/>
        <v>False</v>
      </c>
      <c r="AW184" s="58" t="str">
        <f t="shared" ca="1" si="153"/>
        <v>False</v>
      </c>
      <c r="AX184" s="58" t="str">
        <f t="shared" ca="1" si="153"/>
        <v>False</v>
      </c>
      <c r="AY184" s="58" t="str">
        <f t="shared" ca="1" si="153"/>
        <v>False</v>
      </c>
      <c r="AZ184" s="58" t="str">
        <f t="shared" ca="1" si="153"/>
        <v>False</v>
      </c>
      <c r="BA184" s="58" t="str">
        <f t="shared" ca="1" si="153"/>
        <v>False</v>
      </c>
      <c r="BB184" s="58" t="str">
        <f t="shared" ca="1" si="153"/>
        <v>False</v>
      </c>
      <c r="BC184" s="58" t="str">
        <f t="shared" ca="1" si="153"/>
        <v>False</v>
      </c>
      <c r="BD184" s="58" t="str">
        <f t="shared" ca="1" si="153"/>
        <v>False</v>
      </c>
      <c r="BE184" s="58" t="str">
        <f t="shared" ca="1" si="153"/>
        <v>False</v>
      </c>
      <c r="BF184" s="58" t="str">
        <f t="shared" ca="1" si="153"/>
        <v>False</v>
      </c>
      <c r="BG184" s="58" t="str">
        <f t="shared" ca="1" si="153"/>
        <v>False</v>
      </c>
      <c r="BH184" s="58" t="str">
        <f t="shared" ca="1" si="153"/>
        <v>False</v>
      </c>
      <c r="BI184" s="58" t="str">
        <f t="shared" ca="1" si="153"/>
        <v>False</v>
      </c>
      <c r="BJ184" s="58" t="str">
        <f t="shared" ca="1" si="153"/>
        <v>False</v>
      </c>
      <c r="BK184" s="58" t="str">
        <f t="shared" ca="1" si="153"/>
        <v>False</v>
      </c>
      <c r="BL184" s="58" t="str">
        <f t="shared" ca="1" si="153"/>
        <v>False</v>
      </c>
      <c r="BM184" s="58"/>
      <c r="BN184" s="58" t="str">
        <f t="shared" ref="BN184:BV184" ca="1" si="154">IFERROR(INDEX(INDIRECT(BN$181&amp;"!$A$10:CC100000"),MATCH($AL184,INDIRECT(BN$181&amp;"!BH$10:BH100000"),0),MATCH(BN$183,INDIRECT(BN$181&amp;"!a10:CC10"),0)),"False")</f>
        <v>False</v>
      </c>
      <c r="BO184" s="58" t="str">
        <f t="shared" ca="1" si="154"/>
        <v>False</v>
      </c>
      <c r="BP184" s="58" t="str">
        <f t="shared" ca="1" si="154"/>
        <v>False</v>
      </c>
      <c r="BQ184" s="58" t="str">
        <f t="shared" ca="1" si="154"/>
        <v>False</v>
      </c>
      <c r="BR184" s="58" t="str">
        <f t="shared" ca="1" si="154"/>
        <v>False</v>
      </c>
      <c r="BS184" s="58" t="str">
        <f t="shared" ca="1" si="154"/>
        <v>False</v>
      </c>
      <c r="BT184" s="58" t="str">
        <f t="shared" ca="1" si="154"/>
        <v>False</v>
      </c>
      <c r="BU184" s="58" t="str">
        <f t="shared" ca="1" si="154"/>
        <v>False</v>
      </c>
      <c r="BV184" s="58" t="str">
        <f t="shared" ca="1" si="154"/>
        <v>False</v>
      </c>
      <c r="BW184" s="58"/>
      <c r="BX184" s="58"/>
      <c r="BY184" s="58" t="str">
        <f ca="1">IFERROR(INDEX(INDIRECT(BY$181&amp;"!$A$10:CC100000"),MATCH($AL184,INDIRECT(BY$181&amp;"!BH$10:BH100000"),0),MATCH(BY$183,INDIRECT(BY$181&amp;"!a10:CC10"),0)),"False")</f>
        <v>False</v>
      </c>
      <c r="BZ184" s="58" t="str">
        <f ca="1">IFERROR(INDEX(INDIRECT(BZ$181&amp;"!$A$10:CC100000"),MATCH($AL184,INDIRECT(BZ$181&amp;"!BH$10:BH100000"),0),MATCH(BZ$183,INDIRECT(BZ$181&amp;"!a10:CC10"),0)),"False")</f>
        <v>False</v>
      </c>
      <c r="CA184" s="58"/>
      <c r="CB184" s="58"/>
      <c r="CC184" s="58"/>
      <c r="CD184" s="58"/>
      <c r="CE184" s="58"/>
      <c r="CF184" s="58"/>
      <c r="CG184" s="58"/>
      <c r="CH184" s="58"/>
      <c r="CI184" s="58"/>
      <c r="CJ184" s="58"/>
      <c r="CK184" s="58"/>
      <c r="CL184" s="58"/>
      <c r="CM184" s="58"/>
      <c r="CN184" s="58"/>
    </row>
    <row r="185" spans="2:92" ht="22.5" customHeight="1" x14ac:dyDescent="0.35">
      <c r="C185" s="210" t="str">
        <f ca="1" xml:space="preserve"> "Surfplatta "  &amp; RIGHT("00" &amp; B184,2)</f>
        <v>Surfplatta 05</v>
      </c>
      <c r="D185" s="211"/>
      <c r="F185" s="92" t="str">
        <f>IF(F184="Inget antal angivet","",IFERROR(INDEX($AN$185:$BZ$211,MATCH(F$181,$AL$185:$AL$211,0),MATCH("Modellbenämning",$AN$185:$BZ$185,0)),""))</f>
        <v/>
      </c>
      <c r="G185" s="92" t="str">
        <f ca="1">IFERROR(INDEX($AN$185:$BZ$211,MATCH(G$181,$AL$185:$AL$211,0),MATCH("Modellbenämning",$AN$185:$BZ$185,0)),"")</f>
        <v>M10 FHD G2</v>
      </c>
      <c r="H185" s="92" t="str">
        <f ca="1">IFERROR(INDEX($AN$185:$BZ$211,MATCH(H$181,$AL$185:$AL$211,0),MATCH("Modellbenämning",$AN$185:$BZ$185,0)),"")</f>
        <v>Tab M10 (3rd Gen)</v>
      </c>
      <c r="I185" s="92" t="str">
        <f ca="1">IFERROR(INDEX($AN$185:$BZ$211,MATCH(I$181,$AL$185:$AL$211,0),MATCH("Modellbenämning",$AN$185:$BZ$185,0)),"")</f>
        <v>iPad 9th gen (2021)</v>
      </c>
      <c r="J185" s="93"/>
      <c r="K185" s="92"/>
      <c r="L185" s="92"/>
      <c r="M185" s="92"/>
      <c r="N185" s="92" t="e">
        <f ca="1">INDEX($N$186:$N$191,MATCH(Överblick!$L$2,$M$186:$M$191,0))</f>
        <v>#N/A</v>
      </c>
      <c r="O185" s="92"/>
      <c r="P185" s="92"/>
      <c r="Q185" s="92"/>
      <c r="R185" s="92">
        <v>1</v>
      </c>
      <c r="S185" s="92">
        <v>2</v>
      </c>
      <c r="T185" s="92">
        <v>3</v>
      </c>
      <c r="U185" s="92">
        <v>5</v>
      </c>
      <c r="V185" s="92">
        <v>6</v>
      </c>
      <c r="W185" s="92">
        <v>7</v>
      </c>
      <c r="X185" s="92">
        <v>8</v>
      </c>
      <c r="Y185" s="92">
        <v>9</v>
      </c>
      <c r="Z185" s="92"/>
      <c r="AA185" s="92" t="s">
        <v>122</v>
      </c>
      <c r="AB185" s="92" t="s">
        <v>3</v>
      </c>
      <c r="AC185" s="92" t="s">
        <v>7</v>
      </c>
      <c r="AD185" s="92" t="s">
        <v>2</v>
      </c>
      <c r="AE185" s="92" t="s">
        <v>17</v>
      </c>
      <c r="AF185" s="92" t="s">
        <v>75</v>
      </c>
      <c r="AG185" s="92" t="s">
        <v>103</v>
      </c>
      <c r="AH185" s="92" t="s">
        <v>120</v>
      </c>
      <c r="AI185" s="92" t="s">
        <v>39</v>
      </c>
      <c r="AJ185" s="92"/>
      <c r="AK185" s="92"/>
      <c r="AL185" s="92" t="s">
        <v>222</v>
      </c>
      <c r="AM185" s="92">
        <v>1</v>
      </c>
      <c r="AN185" s="92" t="s">
        <v>3</v>
      </c>
      <c r="AO185" s="92" t="s">
        <v>7</v>
      </c>
      <c r="AP185" s="92" t="s">
        <v>2</v>
      </c>
      <c r="AQ185" s="92" t="s">
        <v>17</v>
      </c>
      <c r="AR185" s="92" t="s">
        <v>75</v>
      </c>
      <c r="AS185" s="92" t="s">
        <v>103</v>
      </c>
      <c r="AT185" s="92" t="s">
        <v>120</v>
      </c>
      <c r="AU185" s="92" t="s">
        <v>39</v>
      </c>
      <c r="AV185" s="92" t="s">
        <v>103</v>
      </c>
      <c r="AW185" s="92" t="s">
        <v>75</v>
      </c>
      <c r="AX185" s="92" t="s">
        <v>120</v>
      </c>
      <c r="AY185" s="92" t="s">
        <v>52</v>
      </c>
      <c r="AZ185" s="92" t="s">
        <v>37</v>
      </c>
      <c r="BA185" s="92" t="s">
        <v>3</v>
      </c>
      <c r="BB185" s="92" t="s">
        <v>25</v>
      </c>
      <c r="BC185" s="92" t="s">
        <v>25</v>
      </c>
      <c r="BD185" s="92" t="s">
        <v>340</v>
      </c>
      <c r="BE185" s="92" t="s">
        <v>341</v>
      </c>
      <c r="BF185" s="92" t="s">
        <v>342</v>
      </c>
      <c r="BG185" s="92" t="s">
        <v>343</v>
      </c>
      <c r="BH185" s="92" t="s">
        <v>344</v>
      </c>
      <c r="BI185" s="92" t="s">
        <v>345</v>
      </c>
      <c r="BJ185" s="92" t="s">
        <v>346</v>
      </c>
      <c r="BK185" s="92" t="s">
        <v>347</v>
      </c>
      <c r="BL185" s="92" t="s">
        <v>348</v>
      </c>
      <c r="BM185" s="92" t="s">
        <v>349</v>
      </c>
      <c r="BN185" s="92" t="s">
        <v>53</v>
      </c>
      <c r="BO185" s="92" t="s">
        <v>54</v>
      </c>
      <c r="BP185" s="92" t="s">
        <v>55</v>
      </c>
      <c r="BQ185" s="92" t="s">
        <v>59</v>
      </c>
      <c r="BR185" s="92" t="s">
        <v>227</v>
      </c>
      <c r="BS185" s="92" t="s">
        <v>228</v>
      </c>
      <c r="BT185" s="92" t="s">
        <v>229</v>
      </c>
      <c r="BU185" s="92" t="s">
        <v>230</v>
      </c>
      <c r="BV185" s="92" t="s">
        <v>231</v>
      </c>
      <c r="BW185" s="92"/>
      <c r="BX185" s="92"/>
      <c r="BY185" s="92" t="s">
        <v>6</v>
      </c>
      <c r="BZ185" s="92" t="s">
        <v>51</v>
      </c>
      <c r="CA185" s="92" t="s">
        <v>2</v>
      </c>
      <c r="CB185" s="92" t="s">
        <v>17</v>
      </c>
      <c r="CC185" s="92" t="s">
        <v>75</v>
      </c>
      <c r="CD185" s="92" t="s">
        <v>103</v>
      </c>
      <c r="CE185" s="92" t="s">
        <v>7</v>
      </c>
      <c r="CF185" s="92" t="s">
        <v>120</v>
      </c>
      <c r="CG185" s="92" t="s">
        <v>3</v>
      </c>
      <c r="CH185" s="92" t="s">
        <v>39</v>
      </c>
      <c r="CI185" s="92" t="s">
        <v>103</v>
      </c>
      <c r="CJ185" s="92" t="s">
        <v>75</v>
      </c>
      <c r="CK185" s="92" t="s">
        <v>120</v>
      </c>
      <c r="CL185" s="92" t="s">
        <v>38</v>
      </c>
      <c r="CM185" s="92" t="s">
        <v>37</v>
      </c>
      <c r="CN185" s="92" t="s">
        <v>3</v>
      </c>
    </row>
    <row r="186" spans="2:92" ht="22.5" customHeight="1" outlineLevel="1" x14ac:dyDescent="0.35">
      <c r="C186" s="210" t="s">
        <v>261</v>
      </c>
      <c r="D186" s="211"/>
      <c r="F186" s="76" t="str">
        <f>IF(F184="Inget antal angivet","",IFERROR(INDEX($AN$185:$BZ$211,MATCH(F$181,$AL$185:$AL$211,0),MATCH("Varumärke",$AN$185:$BZ$185,0)),""))</f>
        <v/>
      </c>
      <c r="G186" s="77" t="str">
        <f ca="1">IFERROR(INDEX($AN$185:$BZ$211,MATCH(G$181,$AL$185:$AL$211,0),MATCH("Varumärke",$AN$185:$BZ$185,0)),"")</f>
        <v>Lenovo</v>
      </c>
      <c r="H186" s="77" t="str">
        <f ca="1">IFERROR(INDEX($AN$185:$BZ$211,MATCH(H$181,$AL$185:$AL$211,0),MATCH("Varumärke",$AN$185:$BZ$185,0)),"")</f>
        <v>Lenovo</v>
      </c>
      <c r="I186" s="119" t="str">
        <f ca="1">IFERROR(INDEX($AN$185:$BZ$211,MATCH(I$181,$AL$185:$AL$211,0),MATCH("Varumärke",$AN$185:$BZ$185,0)),"")</f>
        <v>Apple</v>
      </c>
      <c r="K186" s="185">
        <f t="shared" ref="K186:K191" ca="1" si="155">O186*$D$219</f>
        <v>0</v>
      </c>
      <c r="L186" s="185" t="b">
        <f t="shared" ref="L186:L191" si="156">IF($D$219=0,TRUE,IF(K186=0,FALSE,TRUE))</f>
        <v>1</v>
      </c>
      <c r="M186" s="185" t="s">
        <v>162</v>
      </c>
      <c r="N186" s="185" t="str">
        <f t="shared" ref="N186:N191" ca="1" si="157">IFERROR(INDEX($AA$186:$AA$211,MATCH(O186,$Z$186:$Z$211,0)),"")</f>
        <v>Offererad produktnr. 07Advania Sverige AB</v>
      </c>
      <c r="O186" s="185" cm="1">
        <f t="array" aca="1" ref="O186" ca="1">MIN(IF(($BY$186:$BY$209=M186)*($AM$186:$AM$209=$O$183),$Z$186:$Z$209))</f>
        <v>2084</v>
      </c>
      <c r="P186" s="197">
        <f ca="1">SMALL($Z$186:$Z$211,1)</f>
        <v>1700</v>
      </c>
      <c r="Q186" s="185">
        <f t="shared" ref="Q186:Q205" si="158">SUM(R186:Y186)</f>
        <v>0</v>
      </c>
      <c r="R186" s="185">
        <f t="shared" ref="R186:R205" si="159">IF($D$197="",0,BN186)</f>
        <v>0</v>
      </c>
      <c r="S186" s="185">
        <f t="shared" ref="S186:S205" si="160">IF($D$200="",0,BO186)</f>
        <v>0</v>
      </c>
      <c r="T186" s="185">
        <f t="shared" ref="T186:T205" si="161">IF($D$203="",0,BP186)</f>
        <v>0</v>
      </c>
      <c r="U186" s="185">
        <f t="shared" ref="U186:U205" si="162">IF($D$206="",0,BQ186)</f>
        <v>0</v>
      </c>
      <c r="V186" s="185">
        <f t="shared" ref="V186:V205" si="163">IF($D$209="",0,BR186)</f>
        <v>0</v>
      </c>
      <c r="W186" s="185">
        <f t="shared" ref="W186:W205" si="164">IF($D$213="",0,BS186)</f>
        <v>0</v>
      </c>
      <c r="X186" s="185">
        <f t="shared" ref="X186:X205" si="165">IF($D$214="",0,BT186)</f>
        <v>0</v>
      </c>
      <c r="Y186" s="185">
        <f t="shared" ref="Y186:Y205" si="166">IF($D$215="",0,BU186)</f>
        <v>0</v>
      </c>
      <c r="Z186" s="196">
        <f t="shared" ref="Z186:Z205" ca="1" si="167">IF(AA186="","",SUM(BC186,R186:Y186))</f>
        <v>2084</v>
      </c>
      <c r="AA186" s="185" t="str">
        <f t="shared" ref="AA186:AA205" si="168">IF(COUNTIF(AB186:AK186,FALSE)&gt;0,"",AL186)</f>
        <v>Offererad produktnr. 07Advania Sverige AB</v>
      </c>
      <c r="AB186" s="185" t="b">
        <f>IF(D187="",TRUE,IF(COUNTIF(Processor!$M$2:$M$3,D187)=0,IF(AN186=D187,TRUE,FALSE),IF(COUNTIF(AN186,INDEX(Processor!$N$2:$N$3,MATCH(Surfplattor!D187,Processor!$M$2:$M$3,0)))&gt;0,TRUE,FALSE)))</f>
        <v>1</v>
      </c>
      <c r="AC186" s="185" t="b">
        <f>IF($D$188="",TRUE,IF(COUNTIF(Processor!$I$2:$I$9,$D$188)&gt;0,AND(AO186&gt;INDEX(Processor!$J$2:$J$9,MATCH($D$188,Processor!$I$2:$I$9,0)),AO186&lt;INDEX(Processor!$K$2:$K$9,MATCH($D$188,Processor!$I$2:$I$9,0))),IF(AO186=$D$188,TRUE,FALSE)))</f>
        <v>1</v>
      </c>
      <c r="AD186" s="185" t="b">
        <f t="shared" ref="AD186:AD205" si="169">IFERROR(IF($D$189="",TRUE,IF(AND(IF(LEFT($D$189,4)*1&lt;=1*LEFT(AP186,4),TRUE,FALSE),IF(RIGHT(AP186,4)*1&gt;=1*RIGHT($D$189,4),TRUE,FALSE)),TRUE,FALSE)),0)</f>
        <v>1</v>
      </c>
      <c r="AE186" s="185" t="b">
        <f t="shared" ref="AE186:AE205" si="170">IF($D$190="",TRUE,IF(AQ186&gt;=$D$190,TRUE,FALSE))</f>
        <v>1</v>
      </c>
      <c r="AF186" s="185" t="b">
        <f t="shared" ref="AF186:AF205" si="171">IF($D$191="",TRUE,IF(AR186&gt;=$D$191,TRUE,FALSE))</f>
        <v>1</v>
      </c>
      <c r="AG186" s="185" t="b">
        <f t="shared" ref="AG186:AG205" si="172">IF($D$192="",TRUE,IF($D$192="802.11a/b/g/n/ac",TRUE,IF(AS186&gt;=$D$192,TRUE,FALSE)))</f>
        <v>1</v>
      </c>
      <c r="AH186" s="185" t="b">
        <f>IF($D$193="",TRUE,IF(INDEX(Processor!$C$14:$C$20,MATCH(LEFT(AT186,10)&amp;"",Processor!$A$14:$A$20,0))&gt;=INDEX(Processor!$C$14:$C$20,MATCH(LEFT($D$193,10)&amp;"",Processor!$A$14:$A$20,0)),TRUE,FALSE))</f>
        <v>1</v>
      </c>
      <c r="AI186" s="185" t="b">
        <f t="shared" ref="AI186:AI205" si="173">IF($D$194="",TRUE,IF($D$194="Miljömärkt",IF(AU186="Ej miljömärkt",FALSE,TRUE),IF(AU186=$D$194,TRUE,FALSE)))</f>
        <v>1</v>
      </c>
      <c r="AJ186" s="185"/>
      <c r="AK186" s="185"/>
      <c r="AL186" s="185" t="s">
        <v>204</v>
      </c>
      <c r="AM186" s="185">
        <v>1</v>
      </c>
      <c r="AN186" s="185" t="str">
        <f t="shared" ref="AN186:AW195" ca="1" si="174">IFERROR(INDEX(INDIRECT(AN$181&amp;"!$A$10:CC100000"),MATCH($AL186,INDIRECT(AN$181&amp;"!BH$10:BH100000"),0),MATCH(AN$183,INDIRECT(AN$181&amp;"!a10:CC10"),0)),"False")</f>
        <v>Android 11</v>
      </c>
      <c r="AO186" s="185">
        <f t="shared" ca="1" si="174"/>
        <v>10.1</v>
      </c>
      <c r="AP186" s="185" t="str">
        <f t="shared" ca="1" si="174"/>
        <v>1920x1200</v>
      </c>
      <c r="AQ186" s="185">
        <f t="shared" ca="1" si="174"/>
        <v>64</v>
      </c>
      <c r="AR186" s="185">
        <f t="shared" ca="1" si="174"/>
        <v>5</v>
      </c>
      <c r="AS186" s="185" t="str">
        <f t="shared" ca="1" si="174"/>
        <v>802.11a/b/g/n/ac</v>
      </c>
      <c r="AT186" s="185">
        <f t="shared" ca="1" si="174"/>
        <v>9</v>
      </c>
      <c r="AU186" s="185" t="str">
        <f t="shared" ca="1" si="174"/>
        <v>Ej miljömärkt</v>
      </c>
      <c r="AV186" s="185" t="str">
        <f t="shared" ca="1" si="174"/>
        <v>802.11a/b/g/n/ac</v>
      </c>
      <c r="AW186" s="185">
        <f t="shared" ca="1" si="174"/>
        <v>5</v>
      </c>
      <c r="AX186" s="185">
        <f t="shared" ref="AX186:BG195" ca="1" si="175">IFERROR(INDEX(INDIRECT(AX$181&amp;"!$A$10:CC100000"),MATCH($AL186,INDIRECT(AX$181&amp;"!BH$10:BH100000"),0),MATCH(AX$183,INDIRECT(AX$181&amp;"!a10:CC10"),0)),"False")</f>
        <v>9</v>
      </c>
      <c r="AY186" s="185" t="str">
        <f t="shared" ca="1" si="175"/>
        <v>Tab M10 (3rd Gen)</v>
      </c>
      <c r="AZ186" s="185">
        <f t="shared" ca="1" si="175"/>
        <v>0</v>
      </c>
      <c r="BA186" s="185" t="str">
        <f t="shared" ca="1" si="175"/>
        <v>Android 11</v>
      </c>
      <c r="BB186" s="185">
        <f t="shared" ca="1" si="175"/>
        <v>2084</v>
      </c>
      <c r="BC186" s="185">
        <f t="shared" ca="1" si="175"/>
        <v>2084</v>
      </c>
      <c r="BD186" s="192" t="str">
        <f t="shared" ca="1" si="175"/>
        <v>eSTUFF</v>
      </c>
      <c r="BE186" s="192" t="str">
        <f t="shared" ca="1" si="175"/>
        <v>eSTUFF</v>
      </c>
      <c r="BF186" s="192" t="str">
        <f t="shared" ca="1" si="175"/>
        <v>CoreParts</v>
      </c>
      <c r="BG186" s="192" t="str">
        <f t="shared" ca="1" si="175"/>
        <v>DELTACO</v>
      </c>
      <c r="BH186" s="192" t="str">
        <f t="shared" ref="BH186:BV195" ca="1" si="176">IFERROR(INDEX(INDIRECT(BH$181&amp;"!$A$10:CC100000"),MATCH($AL186,INDIRECT(BH$181&amp;"!BH$10:BH100000"),0),MATCH(BH$183,INDIRECT(BH$181&amp;"!a10:CC10"),0)),"False")</f>
        <v xml:space="preserve">ZAGG </v>
      </c>
      <c r="BI186" s="192" t="str">
        <f t="shared" ca="1" si="176"/>
        <v>ES685307-BULK - Vikbart fodral för surfplatta - polyuretan, polykarbonat, konstläder, mikrofiber - svart - för Lenovo Tab M10 (3rd Gen)</v>
      </c>
      <c r="BJ186" s="192" t="str">
        <f t="shared" ca="1" si="176"/>
        <v>ES517003 - Skärmskydd för surfplatta - glas - klar - för Lenovo Tab M10 (3rd Gen)</v>
      </c>
      <c r="BK186" s="192" t="str">
        <f t="shared" ca="1" si="176"/>
        <v>MBXUSB-AC0011 - Strömadapter - 12 Watt - 2.4 A (USB) - på kabel: USB-C - vit - med USB-C cable (2m)</v>
      </c>
      <c r="BL186" s="192" t="str">
        <f t="shared" ca="1" si="176"/>
        <v>TB-631</v>
      </c>
      <c r="BM186" s="192" t="str">
        <f t="shared" ca="1" si="176"/>
        <v>109912139 - Pro Stylus 2 - Aktiv penna - grå</v>
      </c>
      <c r="BN186" s="192">
        <f t="shared" ca="1" si="176"/>
        <v>251</v>
      </c>
      <c r="BO186" s="192">
        <f t="shared" ca="1" si="176"/>
        <v>251</v>
      </c>
      <c r="BP186" s="192">
        <f t="shared" ca="1" si="176"/>
        <v>108</v>
      </c>
      <c r="BQ186" s="192">
        <f t="shared" ca="1" si="176"/>
        <v>169</v>
      </c>
      <c r="BR186" s="192">
        <f t="shared" ca="1" si="176"/>
        <v>595</v>
      </c>
      <c r="BS186" s="192">
        <f t="shared" ca="1" si="176"/>
        <v>781</v>
      </c>
      <c r="BT186" s="192">
        <f t="shared" ca="1" si="176"/>
        <v>50</v>
      </c>
      <c r="BU186" s="192">
        <f t="shared" ca="1" si="176"/>
        <v>50</v>
      </c>
      <c r="BV186" s="192">
        <f t="shared" ca="1" si="176"/>
        <v>0</v>
      </c>
      <c r="BW186" s="192"/>
      <c r="BX186" s="192"/>
      <c r="BY186" s="192" t="str">
        <f t="shared" ref="BY186:BZ205" ca="1" si="177">IFERROR(INDEX(INDIRECT(BY$181&amp;"!$A$10:CC100000"),MATCH($AL186,INDIRECT(BY$181&amp;"!BH$10:BH100000"),0),MATCH(BY$183,INDIRECT(BY$181&amp;"!a10:CC10"),0)),"False")</f>
        <v>Advania Sverige AB</v>
      </c>
      <c r="BZ186" s="192" t="str">
        <f t="shared" ca="1" si="177"/>
        <v>Lenovo</v>
      </c>
      <c r="CA186" s="199" t="s">
        <v>163</v>
      </c>
      <c r="CB186" s="192">
        <v>64</v>
      </c>
      <c r="CC186" s="185">
        <v>4</v>
      </c>
      <c r="CD186" s="192" t="s">
        <v>79</v>
      </c>
      <c r="CE186" s="185" t="s">
        <v>356</v>
      </c>
      <c r="CF186" s="185" t="s">
        <v>148</v>
      </c>
      <c r="CG186" s="185" t="s">
        <v>469</v>
      </c>
      <c r="CH186" s="192" t="s">
        <v>273</v>
      </c>
      <c r="CI186" s="192" t="s">
        <v>79</v>
      </c>
      <c r="CJ186" s="185">
        <v>4</v>
      </c>
      <c r="CK186" s="185" t="s">
        <v>148</v>
      </c>
      <c r="CL186" s="192">
        <v>0</v>
      </c>
      <c r="CM186" s="192">
        <v>0</v>
      </c>
      <c r="CN186" s="185" t="s">
        <v>165</v>
      </c>
    </row>
    <row r="187" spans="2:92" ht="22.5" customHeight="1" outlineLevel="1" x14ac:dyDescent="0.35">
      <c r="C187" s="61" t="s">
        <v>3</v>
      </c>
      <c r="D187" s="64"/>
      <c r="F187" s="78" t="str">
        <f t="shared" ref="F187:F194" si="178">IF(F$184="Inget antal angivet","",IFERROR(INDEX($AN$185:$BZ$211,MATCH(F$181,$AL$185:$AL$211,0),MATCH($C187,$AN$185:$BZ$185,0)),""))</f>
        <v/>
      </c>
      <c r="G187" s="79" t="str">
        <f t="shared" ref="G187:I194" ca="1" si="179">IFERROR(INDEX($AN$185:$BZ$211,MATCH(G$181,$AL$185:$AL$211,0),MATCH($C187,$AN$185:$BZ$185,0)),"")</f>
        <v>Android 9</v>
      </c>
      <c r="H187" s="79" t="str">
        <f t="shared" ca="1" si="179"/>
        <v>Android 11</v>
      </c>
      <c r="I187" s="120" t="str">
        <f t="shared" ca="1" si="179"/>
        <v>iPadOS 15</v>
      </c>
      <c r="J187" s="62"/>
      <c r="K187" s="185">
        <f t="shared" ca="1" si="155"/>
        <v>0</v>
      </c>
      <c r="L187" s="185" t="b">
        <f t="shared" si="156"/>
        <v>1</v>
      </c>
      <c r="M187" s="185" t="s">
        <v>150</v>
      </c>
      <c r="N187" s="185" t="str">
        <f t="shared" ca="1" si="157"/>
        <v>Offererad produktnr. 08Atea Sverige AB</v>
      </c>
      <c r="O187" s="185" cm="1">
        <f t="array" aca="1" ref="O187" ca="1">MIN(IF(($BY$186:$BY$209=M187)*($AM$186:$AM$209=$O$183),$Z$186:$Z$209))</f>
        <v>5254</v>
      </c>
      <c r="P187" s="197">
        <f ca="1">SMALL($Z$186:$Z$211,2)</f>
        <v>2084</v>
      </c>
      <c r="Q187" s="185">
        <f t="shared" si="158"/>
        <v>0</v>
      </c>
      <c r="R187" s="185">
        <f t="shared" si="159"/>
        <v>0</v>
      </c>
      <c r="S187" s="185">
        <f t="shared" si="160"/>
        <v>0</v>
      </c>
      <c r="T187" s="185">
        <f t="shared" si="161"/>
        <v>0</v>
      </c>
      <c r="U187" s="185">
        <f t="shared" si="162"/>
        <v>0</v>
      </c>
      <c r="V187" s="185">
        <f t="shared" si="163"/>
        <v>0</v>
      </c>
      <c r="W187" s="185">
        <f t="shared" si="164"/>
        <v>0</v>
      </c>
      <c r="X187" s="185">
        <f t="shared" si="165"/>
        <v>0</v>
      </c>
      <c r="Y187" s="185">
        <f t="shared" si="166"/>
        <v>0</v>
      </c>
      <c r="Z187" s="196">
        <f t="shared" ca="1" si="167"/>
        <v>4238</v>
      </c>
      <c r="AA187" s="185" t="str">
        <f t="shared" si="168"/>
        <v>Offererad produktnr. 08Advania Sverige AB</v>
      </c>
      <c r="AB187" s="185" t="b">
        <f>IF(D187="",TRUE,IF(COUNTIF(Processor!$M$2:$M$3,D187)=0,IF(AN187=D187,TRUE,FALSE),IF(COUNTIF(AN187,INDEX(Processor!$N$2:$N$3,MATCH(Surfplattor!D187,Processor!$M$2:$M$3,0)))&gt;0,TRUE,FALSE)))</f>
        <v>1</v>
      </c>
      <c r="AC187" s="185" t="b">
        <f>IF($D$188="",TRUE,IF(COUNTIF(Processor!$I$2:$I$9,$D$188)&gt;0,AND(AO187&gt;INDEX(Processor!$J$2:$J$9,MATCH($D$188,Processor!$I$2:$I$9,0)),AO187&lt;INDEX(Processor!$K$2:$K$9,MATCH($D$188,Processor!$I$2:$I$9,0))),IF(AO187=$D$188,TRUE,FALSE)))</f>
        <v>1</v>
      </c>
      <c r="AD187" s="185" t="b">
        <f t="shared" si="169"/>
        <v>1</v>
      </c>
      <c r="AE187" s="185" t="b">
        <f t="shared" si="170"/>
        <v>1</v>
      </c>
      <c r="AF187" s="185" t="b">
        <f t="shared" si="171"/>
        <v>1</v>
      </c>
      <c r="AG187" s="185" t="b">
        <f t="shared" si="172"/>
        <v>1</v>
      </c>
      <c r="AH187" s="185" t="b">
        <f>IF($D$193="",TRUE,IF(INDEX(Processor!$C$14:$C$20,MATCH(LEFT(AT187,10)&amp;"",Processor!$A$14:$A$20,0))&gt;=INDEX(Processor!$C$14:$C$20,MATCH(LEFT($D$193,10)&amp;"",Processor!$A$14:$A$20,0)),TRUE,FALSE))</f>
        <v>1</v>
      </c>
      <c r="AI187" s="185" t="b">
        <f t="shared" si="173"/>
        <v>1</v>
      </c>
      <c r="AJ187" s="185"/>
      <c r="AK187" s="185"/>
      <c r="AL187" s="185" t="s">
        <v>205</v>
      </c>
      <c r="AM187" s="185">
        <v>1</v>
      </c>
      <c r="AN187" s="185" t="str">
        <f t="shared" ca="1" si="174"/>
        <v>iPadOS 14</v>
      </c>
      <c r="AO187" s="185">
        <f t="shared" ca="1" si="174"/>
        <v>10.199999999999999</v>
      </c>
      <c r="AP187" s="185" t="str">
        <f t="shared" ca="1" si="174"/>
        <v>2160x1620</v>
      </c>
      <c r="AQ187" s="185">
        <f t="shared" ca="1" si="174"/>
        <v>64</v>
      </c>
      <c r="AR187" s="185">
        <f t="shared" ca="1" si="174"/>
        <v>4.2</v>
      </c>
      <c r="AS187" s="185" t="str">
        <f t="shared" ca="1" si="174"/>
        <v>802.11a/b/g/n/ac</v>
      </c>
      <c r="AT187" s="185">
        <f t="shared" ca="1" si="174"/>
        <v>10</v>
      </c>
      <c r="AU187" s="185" t="str">
        <f t="shared" ca="1" si="174"/>
        <v>EPEAT Gold</v>
      </c>
      <c r="AV187" s="185" t="str">
        <f t="shared" ca="1" si="174"/>
        <v>802.11a/b/g/n/ac</v>
      </c>
      <c r="AW187" s="185">
        <f t="shared" ca="1" si="174"/>
        <v>4.2</v>
      </c>
      <c r="AX187" s="185">
        <f t="shared" ca="1" si="175"/>
        <v>10</v>
      </c>
      <c r="AY187" s="185" t="str">
        <f t="shared" ca="1" si="175"/>
        <v>10.2-inch iPad Wi-Fi 64GB</v>
      </c>
      <c r="AZ187" s="185">
        <f t="shared" ca="1" si="175"/>
        <v>0</v>
      </c>
      <c r="BA187" s="185" t="str">
        <f t="shared" ca="1" si="175"/>
        <v>iPadOS 14</v>
      </c>
      <c r="BB187" s="185">
        <f t="shared" ca="1" si="175"/>
        <v>4238</v>
      </c>
      <c r="BC187" s="185">
        <f t="shared" ca="1" si="175"/>
        <v>4238</v>
      </c>
      <c r="BD187" s="192" t="str">
        <f t="shared" ca="1" si="175"/>
        <v>eSTUFF</v>
      </c>
      <c r="BE187" s="192" t="str">
        <f t="shared" ca="1" si="175"/>
        <v>eSTUFF</v>
      </c>
      <c r="BF187" s="192" t="str">
        <f t="shared" ca="1" si="175"/>
        <v>DELTACO</v>
      </c>
      <c r="BG187" s="192" t="str">
        <f t="shared" ca="1" si="175"/>
        <v>DELTACO</v>
      </c>
      <c r="BH187" s="192" t="str">
        <f t="shared" ca="1" si="176"/>
        <v xml:space="preserve">ZAGG </v>
      </c>
      <c r="BI187" s="192" t="str">
        <f t="shared" ca="1" si="176"/>
        <v>ES682335-BULK - Baksidesskydd för surfplatta</v>
      </c>
      <c r="BJ187" s="192" t="str">
        <f t="shared" ca="1" si="176"/>
        <v>ES503200 - Titan Shield - skärmskydd för mobiltelefon</v>
      </c>
      <c r="BK187" s="192" t="str">
        <f t="shared" ca="1" si="176"/>
        <v xml:space="preserve">USBC-AC141 </v>
      </c>
      <c r="BL187" s="192" t="str">
        <f t="shared" ca="1" si="176"/>
        <v>TB-631</v>
      </c>
      <c r="BM187" s="192" t="str">
        <f t="shared" ca="1" si="176"/>
        <v>109912139 - Pro Stylus 2 - Aktiv penna - grå</v>
      </c>
      <c r="BN187" s="192">
        <f t="shared" ca="1" si="176"/>
        <v>181</v>
      </c>
      <c r="BO187" s="192">
        <f t="shared" ca="1" si="176"/>
        <v>219</v>
      </c>
      <c r="BP187" s="192">
        <f t="shared" ca="1" si="176"/>
        <v>144</v>
      </c>
      <c r="BQ187" s="192">
        <f t="shared" ca="1" si="176"/>
        <v>169</v>
      </c>
      <c r="BR187" s="192">
        <f t="shared" ca="1" si="176"/>
        <v>595</v>
      </c>
      <c r="BS187" s="192">
        <f t="shared" ca="1" si="176"/>
        <v>781</v>
      </c>
      <c r="BT187" s="192">
        <f t="shared" ca="1" si="176"/>
        <v>50</v>
      </c>
      <c r="BU187" s="192">
        <f t="shared" ca="1" si="176"/>
        <v>50</v>
      </c>
      <c r="BV187" s="192">
        <f t="shared" ca="1" si="176"/>
        <v>0</v>
      </c>
      <c r="BW187" s="192"/>
      <c r="BX187" s="192"/>
      <c r="BY187" s="192" t="str">
        <f t="shared" ca="1" si="177"/>
        <v>Advania Sverige AB</v>
      </c>
      <c r="BZ187" s="192" t="str">
        <f t="shared" ca="1" si="177"/>
        <v>Apple</v>
      </c>
      <c r="CA187" s="200" t="s">
        <v>141</v>
      </c>
      <c r="CB187" s="185">
        <v>128</v>
      </c>
      <c r="CC187" s="185">
        <v>4.2</v>
      </c>
      <c r="CD187" s="185" t="s">
        <v>86</v>
      </c>
      <c r="CE187" s="185" t="s">
        <v>353</v>
      </c>
      <c r="CF187" s="185" t="s">
        <v>164</v>
      </c>
      <c r="CG187" s="185" t="s">
        <v>470</v>
      </c>
      <c r="CH187" s="192" t="s">
        <v>142</v>
      </c>
      <c r="CI187" s="185" t="s">
        <v>86</v>
      </c>
      <c r="CJ187" s="185">
        <v>4.2</v>
      </c>
      <c r="CK187" s="185" t="s">
        <v>164</v>
      </c>
      <c r="CL187" s="185" t="s">
        <v>352</v>
      </c>
      <c r="CM187" s="185" t="s">
        <v>69</v>
      </c>
      <c r="CN187" s="185" t="s">
        <v>83</v>
      </c>
    </row>
    <row r="188" spans="2:92" ht="22.5" customHeight="1" outlineLevel="1" x14ac:dyDescent="0.35">
      <c r="C188" s="61" t="s">
        <v>7</v>
      </c>
      <c r="D188" s="64"/>
      <c r="F188" s="78" t="str">
        <f t="shared" si="178"/>
        <v/>
      </c>
      <c r="G188" s="79">
        <f t="shared" ca="1" si="179"/>
        <v>10.3</v>
      </c>
      <c r="H188" s="79">
        <f t="shared" ca="1" si="179"/>
        <v>10.1</v>
      </c>
      <c r="I188" s="120">
        <f t="shared" ca="1" si="179"/>
        <v>10.199999999999999</v>
      </c>
      <c r="J188" s="62"/>
      <c r="K188" s="185">
        <f t="shared" ca="1" si="155"/>
        <v>0</v>
      </c>
      <c r="L188" s="185" t="b">
        <f t="shared" si="156"/>
        <v>1</v>
      </c>
      <c r="M188" s="185" t="s">
        <v>128</v>
      </c>
      <c r="N188" s="185" t="str">
        <f t="shared" ca="1" si="157"/>
        <v>Offererad produktnr. 07Dustin Sverige AB</v>
      </c>
      <c r="O188" s="185" cm="1">
        <f t="array" aca="1" ref="O188" ca="1">MIN(IF(($BY$186:$BY$209=M188)*($AM$186:$AM$209=$O$183),$Z$186:$Z$209))</f>
        <v>3261</v>
      </c>
      <c r="P188" s="197">
        <f ca="1">SMALL($Z$186:$Z$211,3)</f>
        <v>3205</v>
      </c>
      <c r="Q188" s="185">
        <f t="shared" si="158"/>
        <v>0</v>
      </c>
      <c r="R188" s="185">
        <f t="shared" si="159"/>
        <v>0</v>
      </c>
      <c r="S188" s="185">
        <f t="shared" si="160"/>
        <v>0</v>
      </c>
      <c r="T188" s="185">
        <f t="shared" si="161"/>
        <v>0</v>
      </c>
      <c r="U188" s="185">
        <f t="shared" si="162"/>
        <v>0</v>
      </c>
      <c r="V188" s="185">
        <f t="shared" si="163"/>
        <v>0</v>
      </c>
      <c r="W188" s="185">
        <f t="shared" si="164"/>
        <v>0</v>
      </c>
      <c r="X188" s="185">
        <f t="shared" si="165"/>
        <v>0</v>
      </c>
      <c r="Y188" s="185">
        <f t="shared" si="166"/>
        <v>0</v>
      </c>
      <c r="Z188" s="196">
        <f t="shared" ca="1" si="167"/>
        <v>8671</v>
      </c>
      <c r="AA188" s="185" t="str">
        <f t="shared" si="168"/>
        <v>Offererad produktnr. 09Advania Sverige AB</v>
      </c>
      <c r="AB188" s="185" t="b">
        <f>IF(D187="",TRUE,IF(COUNTIF(Processor!$M$2:$M$3,D187)=0,IF(AN188=D187,TRUE,FALSE),IF(COUNTIF(AN188,INDEX(Processor!$N$2:$N$3,MATCH(Surfplattor!D187,Processor!$M$2:$M$3,0)))&gt;0,TRUE,FALSE)))</f>
        <v>1</v>
      </c>
      <c r="AC188" s="185" t="b">
        <f>IF($D$188="",TRUE,IF(COUNTIF(Processor!$I$2:$I$9,$D$188)&gt;0,AND(AO188&gt;INDEX(Processor!$J$2:$J$9,MATCH($D$188,Processor!$I$2:$I$9,0)),AO188&lt;INDEX(Processor!$K$2:$K$9,MATCH($D$188,Processor!$I$2:$I$9,0))),IF(AO188=$D$188,TRUE,FALSE)))</f>
        <v>1</v>
      </c>
      <c r="AD188" s="185" t="b">
        <f t="shared" si="169"/>
        <v>1</v>
      </c>
      <c r="AE188" s="185" t="b">
        <f t="shared" si="170"/>
        <v>1</v>
      </c>
      <c r="AF188" s="185" t="b">
        <f t="shared" si="171"/>
        <v>1</v>
      </c>
      <c r="AG188" s="185" t="b">
        <f t="shared" si="172"/>
        <v>1</v>
      </c>
      <c r="AH188" s="185" t="b">
        <f>IF($D$193="",TRUE,IF(INDEX(Processor!$C$14:$C$20,MATCH(LEFT(AT188,10)&amp;"",Processor!$A$14:$A$20,0))&gt;=INDEX(Processor!$C$14:$C$20,MATCH(LEFT($D$193,10)&amp;"",Processor!$A$14:$A$20,0)),TRUE,FALSE))</f>
        <v>1</v>
      </c>
      <c r="AI188" s="185" t="b">
        <f t="shared" si="173"/>
        <v>1</v>
      </c>
      <c r="AJ188" s="185"/>
      <c r="AK188" s="185"/>
      <c r="AL188" s="185" t="s">
        <v>206</v>
      </c>
      <c r="AM188" s="185">
        <v>1</v>
      </c>
      <c r="AN188" s="185" t="str">
        <f t="shared" ca="1" si="174"/>
        <v>Android 11</v>
      </c>
      <c r="AO188" s="185">
        <f t="shared" ca="1" si="174"/>
        <v>11</v>
      </c>
      <c r="AP188" s="185" t="str">
        <f t="shared" ca="1" si="174"/>
        <v>2560x1600</v>
      </c>
      <c r="AQ188" s="185">
        <f t="shared" ca="1" si="174"/>
        <v>128</v>
      </c>
      <c r="AR188" s="185">
        <f t="shared" ca="1" si="174"/>
        <v>5.3</v>
      </c>
      <c r="AS188" s="185" t="str">
        <f t="shared" ca="1" si="174"/>
        <v>802.11a/b/g/n/ac/ax</v>
      </c>
      <c r="AT188" s="185">
        <f t="shared" ca="1" si="174"/>
        <v>13</v>
      </c>
      <c r="AU188" s="185" t="str">
        <f t="shared" ca="1" si="174"/>
        <v>Ej miljömärkt</v>
      </c>
      <c r="AV188" s="185" t="str">
        <f t="shared" ca="1" si="174"/>
        <v>802.11a/b/g/n/ac/ax</v>
      </c>
      <c r="AW188" s="185">
        <f t="shared" ca="1" si="174"/>
        <v>5.3</v>
      </c>
      <c r="AX188" s="185">
        <f t="shared" ca="1" si="175"/>
        <v>13</v>
      </c>
      <c r="AY188" s="185" t="str">
        <f t="shared" ca="1" si="175"/>
        <v>Samsung Galaxy Tab S9</v>
      </c>
      <c r="AZ188" s="185">
        <f t="shared" ca="1" si="175"/>
        <v>0</v>
      </c>
      <c r="BA188" s="185" t="str">
        <f t="shared" ca="1" si="175"/>
        <v>Android 11</v>
      </c>
      <c r="BB188" s="185">
        <f t="shared" ca="1" si="175"/>
        <v>8671</v>
      </c>
      <c r="BC188" s="185">
        <f t="shared" ca="1" si="175"/>
        <v>8671</v>
      </c>
      <c r="BD188" s="192" t="str">
        <f t="shared" ca="1" si="175"/>
        <v>Insmat</v>
      </c>
      <c r="BE188" s="192" t="str">
        <f t="shared" ca="1" si="175"/>
        <v>Samsung</v>
      </c>
      <c r="BF188" s="192" t="str">
        <f t="shared" ca="1" si="175"/>
        <v>CoreParts</v>
      </c>
      <c r="BG188" s="192" t="str">
        <f t="shared" ca="1" si="175"/>
        <v>DELTACO</v>
      </c>
      <c r="BH188" s="192" t="str">
        <f t="shared" ca="1" si="176"/>
        <v>Samsung</v>
      </c>
      <c r="BI188" s="192" t="str">
        <f t="shared" ca="1" si="176"/>
        <v xml:space="preserve">652-1287 - Baksidesskydd för surfplatta - robust - rugged armor </v>
      </c>
      <c r="BJ188" s="192" t="str">
        <f t="shared" ca="1" si="176"/>
        <v>EF-UX710CTEGWW - EF-UX710 - Skärmskydd för surfplatta</v>
      </c>
      <c r="BK188" s="192" t="str">
        <f t="shared" ca="1" si="176"/>
        <v>MBXUSB-AC0011 - Strömadapter - 12 Watt - 2.4 A (USB) - på kabel: USB-C - vit - med USB-C cable (2m)</v>
      </c>
      <c r="BL188" s="192" t="str">
        <f t="shared" ca="1" si="176"/>
        <v>TB-631</v>
      </c>
      <c r="BM188" s="192" t="str">
        <f t="shared" ca="1" si="176"/>
        <v>EJ-PX710BBEGEU - S Pen - Aktiv penna - Bluetooth</v>
      </c>
      <c r="BN188" s="192">
        <f t="shared" ca="1" si="176"/>
        <v>174</v>
      </c>
      <c r="BO188" s="192">
        <f t="shared" ca="1" si="176"/>
        <v>219</v>
      </c>
      <c r="BP188" s="192">
        <f t="shared" ca="1" si="176"/>
        <v>108</v>
      </c>
      <c r="BQ188" s="192">
        <f t="shared" ca="1" si="176"/>
        <v>169</v>
      </c>
      <c r="BR188" s="192">
        <f t="shared" ca="1" si="176"/>
        <v>295</v>
      </c>
      <c r="BS188" s="192">
        <f t="shared" ca="1" si="176"/>
        <v>269</v>
      </c>
      <c r="BT188" s="192">
        <f t="shared" ca="1" si="176"/>
        <v>50</v>
      </c>
      <c r="BU188" s="192">
        <f t="shared" ca="1" si="176"/>
        <v>50</v>
      </c>
      <c r="BV188" s="192">
        <f t="shared" ca="1" si="176"/>
        <v>0</v>
      </c>
      <c r="BW188" s="192"/>
      <c r="BX188" s="192"/>
      <c r="BY188" s="192" t="str">
        <f t="shared" ca="1" si="177"/>
        <v>Advania Sverige AB</v>
      </c>
      <c r="BZ188" s="192" t="str">
        <f t="shared" ca="1" si="177"/>
        <v>Samsung</v>
      </c>
      <c r="CA188" s="199" t="s">
        <v>90</v>
      </c>
      <c r="CB188" s="185">
        <v>0</v>
      </c>
      <c r="CC188" s="186">
        <v>5</v>
      </c>
      <c r="CD188" s="185"/>
      <c r="CE188" s="185">
        <v>10.199999999999999</v>
      </c>
      <c r="CF188" s="185" t="s">
        <v>144</v>
      </c>
      <c r="CG188" s="185" t="s">
        <v>96</v>
      </c>
      <c r="CH188" s="185" t="s">
        <v>94</v>
      </c>
      <c r="CI188" s="185"/>
      <c r="CJ188" s="186">
        <v>5</v>
      </c>
      <c r="CK188" s="185" t="s">
        <v>144</v>
      </c>
      <c r="CL188" s="185"/>
      <c r="CM188" s="185"/>
      <c r="CN188" s="185" t="s">
        <v>91</v>
      </c>
    </row>
    <row r="189" spans="2:92" ht="22.5" customHeight="1" outlineLevel="1" x14ac:dyDescent="0.35">
      <c r="C189" s="61" t="s">
        <v>2</v>
      </c>
      <c r="D189" s="64"/>
      <c r="F189" s="78" t="str">
        <f t="shared" si="178"/>
        <v/>
      </c>
      <c r="G189" s="79" t="str">
        <f t="shared" ca="1" si="179"/>
        <v>1920x1200</v>
      </c>
      <c r="H189" s="79" t="str">
        <f t="shared" ca="1" si="179"/>
        <v>1920x1200</v>
      </c>
      <c r="I189" s="120" t="str">
        <f t="shared" ca="1" si="179"/>
        <v>2160x1620</v>
      </c>
      <c r="J189" s="62"/>
      <c r="K189" s="185">
        <f t="shared" ca="1" si="155"/>
        <v>0</v>
      </c>
      <c r="L189" s="185" t="b">
        <f t="shared" si="156"/>
        <v>1</v>
      </c>
      <c r="M189" s="185" t="s">
        <v>169</v>
      </c>
      <c r="N189" s="185" t="str">
        <f t="shared" ca="1" si="157"/>
        <v>Offererad produktnr. 08Foxway Education AB</v>
      </c>
      <c r="O189" s="185" cm="1">
        <f t="array" aca="1" ref="O189" ca="1">MIN(IF(($BY$186:$BY$209=M189)*($AM$186:$AM$209=$O$183),$Z$186:$Z$209))</f>
        <v>3894</v>
      </c>
      <c r="P189" s="197"/>
      <c r="Q189" s="185">
        <f t="shared" si="158"/>
        <v>0</v>
      </c>
      <c r="R189" s="185">
        <f t="shared" si="159"/>
        <v>0</v>
      </c>
      <c r="S189" s="185">
        <f t="shared" si="160"/>
        <v>0</v>
      </c>
      <c r="T189" s="185">
        <f t="shared" si="161"/>
        <v>0</v>
      </c>
      <c r="U189" s="185">
        <f t="shared" si="162"/>
        <v>0</v>
      </c>
      <c r="V189" s="185">
        <f t="shared" si="163"/>
        <v>0</v>
      </c>
      <c r="W189" s="185">
        <f t="shared" si="164"/>
        <v>0</v>
      </c>
      <c r="X189" s="185">
        <f t="shared" si="165"/>
        <v>0</v>
      </c>
      <c r="Y189" s="185">
        <f t="shared" si="166"/>
        <v>0</v>
      </c>
      <c r="Z189" s="196">
        <f t="shared" ca="1" si="167"/>
        <v>6116</v>
      </c>
      <c r="AA189" s="185" t="str">
        <f t="shared" si="168"/>
        <v>Offererad produktnr. 10Advania Sverige AB</v>
      </c>
      <c r="AB189" s="185" t="b">
        <f>IF(D187="",TRUE,IF(COUNTIF(Processor!$M$2:$M$3,D187)=0,IF(AN189=D187,TRUE,FALSE),IF(COUNTIF(AN189,INDEX(Processor!$N$2:$N$3,MATCH(Surfplattor!D187,Processor!$M$2:$M$3,0)))&gt;0,TRUE,FALSE)))</f>
        <v>1</v>
      </c>
      <c r="AC189" s="185" t="b">
        <f>IF($D$188="",TRUE,IF(COUNTIF(Processor!$I$2:$I$9,$D$188)&gt;0,AND(AO189&gt;INDEX(Processor!$J$2:$J$9,MATCH($D$188,Processor!$I$2:$I$9,0)),AO189&lt;INDEX(Processor!$K$2:$K$9,MATCH($D$188,Processor!$I$2:$I$9,0))),IF(AO189=$D$188,TRUE,FALSE)))</f>
        <v>1</v>
      </c>
      <c r="AD189" s="185" t="b">
        <f t="shared" si="169"/>
        <v>1</v>
      </c>
      <c r="AE189" s="185" t="b">
        <f t="shared" si="170"/>
        <v>1</v>
      </c>
      <c r="AF189" s="185" t="b">
        <f t="shared" si="171"/>
        <v>1</v>
      </c>
      <c r="AG189" s="185" t="b">
        <f t="shared" si="172"/>
        <v>1</v>
      </c>
      <c r="AH189" s="185" t="b">
        <f>IF($D$193="",TRUE,IF(INDEX(Processor!$C$14:$C$20,MATCH(LEFT(AT189,10)&amp;"",Processor!$A$14:$A$20,0))&gt;=INDEX(Processor!$C$14:$C$20,MATCH(LEFT($D$193,10)&amp;"",Processor!$A$14:$A$20,0)),TRUE,FALSE))</f>
        <v>1</v>
      </c>
      <c r="AI189" s="185" t="b">
        <f t="shared" si="173"/>
        <v>1</v>
      </c>
      <c r="AJ189" s="185"/>
      <c r="AK189" s="185"/>
      <c r="AL189" s="185" t="s">
        <v>207</v>
      </c>
      <c r="AM189" s="185">
        <v>1</v>
      </c>
      <c r="AN189" s="185" t="str">
        <f t="shared" ca="1" si="174"/>
        <v>Android 11</v>
      </c>
      <c r="AO189" s="185">
        <f t="shared" ca="1" si="174"/>
        <v>11</v>
      </c>
      <c r="AP189" s="185" t="str">
        <f t="shared" ca="1" si="174"/>
        <v>2560x1600</v>
      </c>
      <c r="AQ189" s="185">
        <f t="shared" ca="1" si="174"/>
        <v>128</v>
      </c>
      <c r="AR189" s="185">
        <f t="shared" ca="1" si="174"/>
        <v>5.2</v>
      </c>
      <c r="AS189" s="185" t="str">
        <f t="shared" ca="1" si="174"/>
        <v>802.11a/b/g/n/ac/ax</v>
      </c>
      <c r="AT189" s="185">
        <f t="shared" ca="1" si="174"/>
        <v>13</v>
      </c>
      <c r="AU189" s="185" t="str">
        <f t="shared" ca="1" si="174"/>
        <v>Ej miljömärkt</v>
      </c>
      <c r="AV189" s="185" t="str">
        <f t="shared" ca="1" si="174"/>
        <v>802.11a/b/g/n/ac/ax</v>
      </c>
      <c r="AW189" s="185">
        <f t="shared" ca="1" si="174"/>
        <v>5.2</v>
      </c>
      <c r="AX189" s="185">
        <f t="shared" ca="1" si="175"/>
        <v>13</v>
      </c>
      <c r="AY189" s="185" t="str">
        <f t="shared" ca="1" si="175"/>
        <v>Samsung Galaxy Tab S8</v>
      </c>
      <c r="AZ189" s="185">
        <f t="shared" ca="1" si="175"/>
        <v>0</v>
      </c>
      <c r="BA189" s="185" t="str">
        <f t="shared" ca="1" si="175"/>
        <v>Android 11</v>
      </c>
      <c r="BB189" s="185">
        <f t="shared" ca="1" si="175"/>
        <v>6116</v>
      </c>
      <c r="BC189" s="185">
        <f t="shared" ca="1" si="175"/>
        <v>6116</v>
      </c>
      <c r="BD189" s="192" t="str">
        <f t="shared" ca="1" si="175"/>
        <v>Insmat</v>
      </c>
      <c r="BE189" s="192" t="str">
        <f t="shared" ca="1" si="175"/>
        <v>Tolerate</v>
      </c>
      <c r="BF189" s="192" t="str">
        <f t="shared" ca="1" si="175"/>
        <v>CoreParts</v>
      </c>
      <c r="BG189" s="192" t="str">
        <f t="shared" ca="1" si="175"/>
        <v>DELTACO</v>
      </c>
      <c r="BH189" s="192" t="str">
        <f t="shared" ca="1" si="176"/>
        <v xml:space="preserve">ZAGG </v>
      </c>
      <c r="BI189" s="192" t="str">
        <f t="shared" ca="1" si="176"/>
        <v xml:space="preserve">652-1287 - Baksidesskydd för surfplatta - robust - rugged armor </v>
      </c>
      <c r="BJ189" s="192" t="str">
        <f t="shared" ca="1" si="176"/>
        <v>ED600189 - Skärmskydd för surfplatta</v>
      </c>
      <c r="BK189" s="192" t="str">
        <f t="shared" ca="1" si="176"/>
        <v>MBXUSB-AC0011 - Strömadapter - 12 Watt - 2.4 A (USB) - på kabel: USB-C - vit - med USB-C cable (2m)</v>
      </c>
      <c r="BL189" s="192" t="str">
        <f t="shared" ca="1" si="176"/>
        <v>TB-631</v>
      </c>
      <c r="BM189" s="192" t="str">
        <f t="shared" ca="1" si="176"/>
        <v>109912139 - Pro Stylus 2 - Aktiv penna - grå</v>
      </c>
      <c r="BN189" s="192">
        <f t="shared" ca="1" si="176"/>
        <v>181</v>
      </c>
      <c r="BO189" s="192">
        <f t="shared" ca="1" si="176"/>
        <v>228</v>
      </c>
      <c r="BP189" s="192">
        <f t="shared" ca="1" si="176"/>
        <v>108</v>
      </c>
      <c r="BQ189" s="192">
        <f t="shared" ca="1" si="176"/>
        <v>169</v>
      </c>
      <c r="BR189" s="192">
        <f t="shared" ca="1" si="176"/>
        <v>595</v>
      </c>
      <c r="BS189" s="192">
        <f t="shared" ca="1" si="176"/>
        <v>781</v>
      </c>
      <c r="BT189" s="192">
        <f t="shared" ca="1" si="176"/>
        <v>50</v>
      </c>
      <c r="BU189" s="192">
        <f t="shared" ca="1" si="176"/>
        <v>50</v>
      </c>
      <c r="BV189" s="192">
        <f t="shared" ca="1" si="176"/>
        <v>0</v>
      </c>
      <c r="BW189" s="192"/>
      <c r="BX189" s="192"/>
      <c r="BY189" s="192" t="str">
        <f t="shared" ca="1" si="177"/>
        <v>Advania Sverige AB</v>
      </c>
      <c r="BZ189" s="192" t="str">
        <f t="shared" ca="1" si="177"/>
        <v>Samsung</v>
      </c>
      <c r="CA189" s="199" t="s">
        <v>95</v>
      </c>
      <c r="CB189" s="185"/>
      <c r="CC189" s="185"/>
      <c r="CD189" s="185"/>
      <c r="CE189" s="185">
        <v>10.3</v>
      </c>
      <c r="CF189" s="185" t="s">
        <v>130</v>
      </c>
      <c r="CG189" s="185" t="s">
        <v>530</v>
      </c>
      <c r="CH189" s="185" t="s">
        <v>171</v>
      </c>
      <c r="CI189" s="185"/>
      <c r="CJ189" s="185">
        <v>5.2</v>
      </c>
      <c r="CK189" s="185" t="s">
        <v>130</v>
      </c>
      <c r="CL189" s="185"/>
      <c r="CM189" s="185"/>
      <c r="CN189" s="185" t="s">
        <v>96</v>
      </c>
    </row>
    <row r="190" spans="2:92" ht="22.5" customHeight="1" outlineLevel="1" x14ac:dyDescent="0.35">
      <c r="C190" s="61" t="s">
        <v>17</v>
      </c>
      <c r="D190" s="64"/>
      <c r="F190" s="78" t="str">
        <f t="shared" si="178"/>
        <v/>
      </c>
      <c r="G190" s="79">
        <f t="shared" ca="1" si="179"/>
        <v>64</v>
      </c>
      <c r="H190" s="79">
        <f t="shared" ca="1" si="179"/>
        <v>64</v>
      </c>
      <c r="I190" s="120">
        <f t="shared" ca="1" si="179"/>
        <v>64</v>
      </c>
      <c r="J190" s="62"/>
      <c r="K190" s="185">
        <f t="shared" ca="1" si="155"/>
        <v>0</v>
      </c>
      <c r="L190" s="185" t="b">
        <f t="shared" si="156"/>
        <v>1</v>
      </c>
      <c r="M190" s="185" t="s">
        <v>167</v>
      </c>
      <c r="N190" s="185" t="str">
        <f t="shared" ca="1" si="157"/>
        <v/>
      </c>
      <c r="O190" s="185" cm="1">
        <f t="array" aca="1" ref="O190" ca="1">MIN(IF(($BY$186:$BY$209=M190)*($AM$186:$AM$209=$O$183),$Z$186:$Z$209))</f>
        <v>0</v>
      </c>
      <c r="P190" s="197"/>
      <c r="Q190" s="185">
        <f t="shared" si="158"/>
        <v>0</v>
      </c>
      <c r="R190" s="185">
        <f t="shared" si="159"/>
        <v>0</v>
      </c>
      <c r="S190" s="185">
        <f t="shared" si="160"/>
        <v>0</v>
      </c>
      <c r="T190" s="185">
        <f t="shared" si="161"/>
        <v>0</v>
      </c>
      <c r="U190" s="185">
        <f t="shared" si="162"/>
        <v>0</v>
      </c>
      <c r="V190" s="185">
        <f t="shared" si="163"/>
        <v>0</v>
      </c>
      <c r="W190" s="185">
        <f t="shared" si="164"/>
        <v>0</v>
      </c>
      <c r="X190" s="185">
        <f t="shared" si="165"/>
        <v>0</v>
      </c>
      <c r="Y190" s="185">
        <f t="shared" si="166"/>
        <v>0</v>
      </c>
      <c r="Z190" s="196">
        <f t="shared" ca="1" si="167"/>
        <v>9140</v>
      </c>
      <c r="AA190" s="185" t="str">
        <f t="shared" si="168"/>
        <v>Offererad produktnr. 07Atea Sverige AB</v>
      </c>
      <c r="AB190" s="185" t="b">
        <f>IF(D187="",TRUE,IF(COUNTIF(Processor!$M$2:$M$3,D187)=0,IF(AN190=D187,TRUE,FALSE),IF(COUNTIF(AN190,INDEX(Processor!$N$2:$N$3,MATCH(Surfplattor!D187,Processor!$M$2:$M$3,0)))&gt;0,TRUE,FALSE)))</f>
        <v>1</v>
      </c>
      <c r="AC190" s="185" t="b">
        <f>IF($D$188="",TRUE,IF(COUNTIF(Processor!$I$2:$I$9,$D$188)&gt;0,AND(AO190&gt;INDEX(Processor!$J$2:$J$9,MATCH($D$188,Processor!$I$2:$I$9,0)),AO190&lt;INDEX(Processor!$K$2:$K$9,MATCH($D$188,Processor!$I$2:$I$9,0))),IF(AO190=$D$188,TRUE,FALSE)))</f>
        <v>1</v>
      </c>
      <c r="AD190" s="185" t="b">
        <f t="shared" si="169"/>
        <v>1</v>
      </c>
      <c r="AE190" s="185" t="b">
        <f t="shared" si="170"/>
        <v>1</v>
      </c>
      <c r="AF190" s="185" t="b">
        <f t="shared" si="171"/>
        <v>1</v>
      </c>
      <c r="AG190" s="185" t="b">
        <f t="shared" si="172"/>
        <v>1</v>
      </c>
      <c r="AH190" s="185" t="b">
        <f>IF($D$193="",TRUE,IF(INDEX(Processor!$C$14:$C$20,MATCH(LEFT(AT190,10)&amp;"",Processor!$A$14:$A$20,0))&gt;=INDEX(Processor!$C$14:$C$20,MATCH(LEFT($D$193,10)&amp;"",Processor!$A$14:$A$20,0)),TRUE,FALSE))</f>
        <v>1</v>
      </c>
      <c r="AI190" s="185" t="b">
        <f t="shared" si="173"/>
        <v>1</v>
      </c>
      <c r="AJ190" s="185"/>
      <c r="AK190" s="185"/>
      <c r="AL190" s="185" t="s">
        <v>192</v>
      </c>
      <c r="AM190" s="185">
        <v>1</v>
      </c>
      <c r="AN190" s="185" t="str">
        <f t="shared" ca="1" si="174"/>
        <v>iPadOS 15</v>
      </c>
      <c r="AO190" s="185">
        <f t="shared" ca="1" si="174"/>
        <v>10.9</v>
      </c>
      <c r="AP190" s="185" t="str">
        <f t="shared" ca="1" si="174"/>
        <v>2360x1640</v>
      </c>
      <c r="AQ190" s="185">
        <f t="shared" ca="1" si="174"/>
        <v>64</v>
      </c>
      <c r="AR190" s="185">
        <f t="shared" ca="1" si="174"/>
        <v>5</v>
      </c>
      <c r="AS190" s="185" t="str">
        <f t="shared" ca="1" si="174"/>
        <v>802.11a/b/g/n/ac/ax</v>
      </c>
      <c r="AT190" s="185">
        <f t="shared" ca="1" si="174"/>
        <v>10</v>
      </c>
      <c r="AU190" s="185" t="str">
        <f t="shared" ca="1" si="174"/>
        <v>EPEAT Gold</v>
      </c>
      <c r="AV190" s="185" t="str">
        <f t="shared" ca="1" si="174"/>
        <v>802.11a/b/g/n/ac/ax</v>
      </c>
      <c r="AW190" s="185">
        <f t="shared" ca="1" si="174"/>
        <v>5</v>
      </c>
      <c r="AX190" s="185">
        <f t="shared" ca="1" si="175"/>
        <v>10</v>
      </c>
      <c r="AY190" s="185" t="str">
        <f t="shared" ca="1" si="175"/>
        <v>10.9-inch iPad Air Wi-Fi 5th Gen</v>
      </c>
      <c r="AZ190" s="185">
        <f t="shared" ca="1" si="175"/>
        <v>0</v>
      </c>
      <c r="BA190" s="185" t="str">
        <f t="shared" ca="1" si="175"/>
        <v>iPadOS 15</v>
      </c>
      <c r="BB190" s="185">
        <f t="shared" ca="1" si="175"/>
        <v>9140</v>
      </c>
      <c r="BC190" s="185">
        <f t="shared" ca="1" si="175"/>
        <v>9140</v>
      </c>
      <c r="BD190" s="192" t="str">
        <f t="shared" ca="1" si="175"/>
        <v>ZAGG</v>
      </c>
      <c r="BE190" s="192" t="str">
        <f t="shared" ca="1" si="175"/>
        <v>ZAGG</v>
      </c>
      <c r="BF190" s="192" t="str">
        <f t="shared" ca="1" si="175"/>
        <v xml:space="preserve">Mophie </v>
      </c>
      <c r="BG190" s="192" t="str">
        <f t="shared" ca="1" si="175"/>
        <v>Tolerate</v>
      </c>
      <c r="BH190" s="192" t="str">
        <f t="shared" ca="1" si="176"/>
        <v>Apple</v>
      </c>
      <c r="BI190" s="192" t="str">
        <f t="shared" ca="1" si="176"/>
        <v>GEAR4 Case Brompton + Folio Apple iPad Air 10.9" (4th Gen)/ iPad Pro 11" (1st &amp; 2nd Gen) - smoke</v>
      </c>
      <c r="BJ190" s="192" t="str">
        <f t="shared" ca="1" si="176"/>
        <v>InvisibleShield Glass Elite+ iPad Air 4/11P (2021) Case friendly Screen</v>
      </c>
      <c r="BK190" s="192" t="str">
        <f t="shared" ca="1" si="176"/>
        <v>Mophie USB typ C-kabel/MOPHIE WALL ADAPTER USB-C 20W</v>
      </c>
      <c r="BL190" s="192" t="str">
        <f t="shared" ca="1" si="176"/>
        <v>TOLERATE KEYBOARD FOLIO IPAD AIR 10,9 BLACK</v>
      </c>
      <c r="BM190" s="192" t="str">
        <f t="shared" ca="1" si="176"/>
        <v>Apple Pencil 2nd Generation - Penna för surfplatta - för 10.9-inch iPad Air (4th generation); 11-inch iPad Pro (1st generation, 2nd generation, 3rd generation); 12.9-inch iPad Pro (3rd generation, 4th generation, 5th generation)</v>
      </c>
      <c r="BN190" s="192">
        <f t="shared" ca="1" si="176"/>
        <v>344</v>
      </c>
      <c r="BO190" s="192">
        <f t="shared" ca="1" si="176"/>
        <v>302</v>
      </c>
      <c r="BP190" s="192">
        <f t="shared" ca="1" si="176"/>
        <v>289</v>
      </c>
      <c r="BQ190" s="192">
        <f t="shared" ca="1" si="176"/>
        <v>756</v>
      </c>
      <c r="BR190" s="192">
        <f t="shared" ca="1" si="176"/>
        <v>1742</v>
      </c>
      <c r="BS190" s="192">
        <f t="shared" ca="1" si="176"/>
        <v>672</v>
      </c>
      <c r="BT190" s="192">
        <f t="shared" ca="1" si="176"/>
        <v>85</v>
      </c>
      <c r="BU190" s="192">
        <f t="shared" ca="1" si="176"/>
        <v>100</v>
      </c>
      <c r="BV190" s="192">
        <f t="shared" ca="1" si="176"/>
        <v>0</v>
      </c>
      <c r="BW190" s="192"/>
      <c r="BX190" s="192"/>
      <c r="BY190" s="192" t="str">
        <f t="shared" ca="1" si="177"/>
        <v>Atea Sverige AB</v>
      </c>
      <c r="BZ190" s="192" t="str">
        <f t="shared" ca="1" si="177"/>
        <v>Apple</v>
      </c>
      <c r="CA190" s="199" t="s">
        <v>435</v>
      </c>
      <c r="CB190" s="185"/>
      <c r="CC190" s="185"/>
      <c r="CD190" s="185"/>
      <c r="CE190" s="185">
        <v>10.4</v>
      </c>
      <c r="CF190" s="185" t="s">
        <v>225</v>
      </c>
      <c r="CG190" s="185" t="s">
        <v>165</v>
      </c>
      <c r="CH190" s="185"/>
      <c r="CI190" s="185"/>
      <c r="CJ190" s="185"/>
      <c r="CK190" s="185" t="s">
        <v>225</v>
      </c>
      <c r="CL190" s="185"/>
      <c r="CM190" s="185"/>
      <c r="CN190" s="185"/>
    </row>
    <row r="191" spans="2:92" ht="28.5" customHeight="1" outlineLevel="1" x14ac:dyDescent="0.35">
      <c r="C191" s="61" t="s">
        <v>75</v>
      </c>
      <c r="D191" s="110"/>
      <c r="F191" s="78" t="str">
        <f t="shared" si="178"/>
        <v/>
      </c>
      <c r="G191" s="79">
        <f t="shared" ca="1" si="179"/>
        <v>5</v>
      </c>
      <c r="H191" s="79">
        <f t="shared" ca="1" si="179"/>
        <v>5</v>
      </c>
      <c r="I191" s="120">
        <f t="shared" ca="1" si="179"/>
        <v>4.2</v>
      </c>
      <c r="J191" s="62"/>
      <c r="K191" s="185">
        <f t="shared" ca="1" si="155"/>
        <v>0</v>
      </c>
      <c r="L191" s="185" t="b">
        <f t="shared" si="156"/>
        <v>1</v>
      </c>
      <c r="M191" s="185" t="s">
        <v>546</v>
      </c>
      <c r="N191" s="185" t="str">
        <f t="shared" ca="1" si="157"/>
        <v>Offererad produktnr. 07Qlosr Göteborg AB</v>
      </c>
      <c r="O191" s="185" cm="1">
        <f t="array" aca="1" ref="O191" ca="1">MIN(IF(($BY$186:$BY$209=M191)*($AM$186:$AM$209=$O$183),$Z$186:$Z$209))</f>
        <v>1700</v>
      </c>
      <c r="P191" s="197"/>
      <c r="Q191" s="185">
        <f t="shared" si="158"/>
        <v>0</v>
      </c>
      <c r="R191" s="185">
        <f t="shared" si="159"/>
        <v>0</v>
      </c>
      <c r="S191" s="185">
        <f t="shared" si="160"/>
        <v>0</v>
      </c>
      <c r="T191" s="185">
        <f t="shared" si="161"/>
        <v>0</v>
      </c>
      <c r="U191" s="185">
        <f t="shared" si="162"/>
        <v>0</v>
      </c>
      <c r="V191" s="185">
        <f t="shared" si="163"/>
        <v>0</v>
      </c>
      <c r="W191" s="185">
        <f t="shared" si="164"/>
        <v>0</v>
      </c>
      <c r="X191" s="185">
        <f t="shared" si="165"/>
        <v>0</v>
      </c>
      <c r="Y191" s="185">
        <f t="shared" si="166"/>
        <v>0</v>
      </c>
      <c r="Z191" s="196">
        <f t="shared" ca="1" si="167"/>
        <v>5254</v>
      </c>
      <c r="AA191" s="185" t="str">
        <f t="shared" si="168"/>
        <v>Offererad produktnr. 08Atea Sverige AB</v>
      </c>
      <c r="AB191" s="185" t="b">
        <f>IF(D187="",TRUE,IF(COUNTIF(Processor!$M$2:$M$3,D187)=0,IF(AN191=D187,TRUE,FALSE),IF(COUNTIF(AN191,INDEX(Processor!$N$2:$N$3,MATCH(Surfplattor!D187,Processor!$M$2:$M$3,0)))&gt;0,TRUE,FALSE)))</f>
        <v>1</v>
      </c>
      <c r="AC191" s="185" t="b">
        <f>IF($D$188="",TRUE,IF(COUNTIF(Processor!$I$2:$I$9,$D$188)&gt;0,AND(AO191&gt;INDEX(Processor!$J$2:$J$9,MATCH($D$188,Processor!$I$2:$I$9,0)),AO191&lt;INDEX(Processor!$K$2:$K$9,MATCH($D$188,Processor!$I$2:$I$9,0))),IF(AO191=$D$188,TRUE,FALSE)))</f>
        <v>1</v>
      </c>
      <c r="AD191" s="185" t="b">
        <f t="shared" si="169"/>
        <v>1</v>
      </c>
      <c r="AE191" s="185" t="b">
        <f t="shared" si="170"/>
        <v>1</v>
      </c>
      <c r="AF191" s="185" t="b">
        <f t="shared" si="171"/>
        <v>1</v>
      </c>
      <c r="AG191" s="185" t="b">
        <f t="shared" si="172"/>
        <v>1</v>
      </c>
      <c r="AH191" s="185" t="b">
        <f>IF($D$193="",TRUE,IF(INDEX(Processor!$C$14:$C$20,MATCH(LEFT(AT191,10)&amp;"",Processor!$A$14:$A$20,0))&gt;=INDEX(Processor!$C$14:$C$20,MATCH(LEFT($D$193,10)&amp;"",Processor!$A$14:$A$20,0)),TRUE,FALSE))</f>
        <v>1</v>
      </c>
      <c r="AI191" s="185" t="b">
        <f t="shared" si="173"/>
        <v>1</v>
      </c>
      <c r="AJ191" s="185"/>
      <c r="AK191" s="185"/>
      <c r="AL191" s="185" t="s">
        <v>193</v>
      </c>
      <c r="AM191" s="185">
        <v>1</v>
      </c>
      <c r="AN191" s="185" t="str">
        <f t="shared" ca="1" si="174"/>
        <v>iPadOS 14</v>
      </c>
      <c r="AO191" s="185">
        <f t="shared" ca="1" si="174"/>
        <v>10.199999999999999</v>
      </c>
      <c r="AP191" s="185" t="str">
        <f t="shared" ca="1" si="174"/>
        <v>2160x1620</v>
      </c>
      <c r="AQ191" s="185">
        <f t="shared" ca="1" si="174"/>
        <v>64</v>
      </c>
      <c r="AR191" s="185">
        <f t="shared" ca="1" si="174"/>
        <v>4.2</v>
      </c>
      <c r="AS191" s="185" t="str">
        <f t="shared" ca="1" si="174"/>
        <v>802.11a/b/g/n/ac</v>
      </c>
      <c r="AT191" s="185">
        <f t="shared" ca="1" si="174"/>
        <v>10</v>
      </c>
      <c r="AU191" s="185" t="str">
        <f t="shared" ca="1" si="174"/>
        <v>EPEAT Gold</v>
      </c>
      <c r="AV191" s="185" t="str">
        <f t="shared" ca="1" si="174"/>
        <v>802.11a/b/g/n/ac</v>
      </c>
      <c r="AW191" s="185">
        <f t="shared" ca="1" si="174"/>
        <v>4.2</v>
      </c>
      <c r="AX191" s="185">
        <f t="shared" ca="1" si="175"/>
        <v>10</v>
      </c>
      <c r="AY191" s="185" t="str">
        <f t="shared" ca="1" si="175"/>
        <v>iPad Wi-Fi 9:e Generationen</v>
      </c>
      <c r="AZ191" s="185">
        <f t="shared" ca="1" si="175"/>
        <v>0</v>
      </c>
      <c r="BA191" s="185" t="str">
        <f t="shared" ca="1" si="175"/>
        <v>iPadOS 14</v>
      </c>
      <c r="BB191" s="185">
        <f t="shared" ca="1" si="175"/>
        <v>5254</v>
      </c>
      <c r="BC191" s="185">
        <f t="shared" ca="1" si="175"/>
        <v>5254</v>
      </c>
      <c r="BD191" s="192" t="str">
        <f t="shared" ca="1" si="175"/>
        <v>ZAGG</v>
      </c>
      <c r="BE191" s="192" t="str">
        <f t="shared" ca="1" si="175"/>
        <v>ZAGG</v>
      </c>
      <c r="BF191" s="192" t="str">
        <f t="shared" ca="1" si="175"/>
        <v>Mophie</v>
      </c>
      <c r="BG191" s="192" t="str">
        <f t="shared" ca="1" si="175"/>
        <v>Tolerate</v>
      </c>
      <c r="BH191" s="192" t="str">
        <f t="shared" ca="1" si="176"/>
        <v>Apple</v>
      </c>
      <c r="BI191" s="192" t="str">
        <f t="shared" ca="1" si="176"/>
        <v>ZAGG Rugged Messenger Case - Skyddsfodral för surfplatta - robust - 10.2" - för Apple 10.2-inch iPad</v>
      </c>
      <c r="BJ191" s="192" t="str">
        <f t="shared" ca="1" si="176"/>
        <v>InvisibleShield Glass Elite+ Apple iPad 10.2" Screen</v>
      </c>
      <c r="BK191" s="192" t="str">
        <f t="shared" ca="1" si="176"/>
        <v>Wall Adapter-USB-C-20W-White-EU/mophie Charge and Sync Cable- USB-C to Lightning Cable 1.8M – White</v>
      </c>
      <c r="BL191" s="192" t="str">
        <f t="shared" ca="1" si="176"/>
        <v>Tolerate KEYBOARD FOLIO - Tangentbord och foliefodral - Bluetooth - svensk - svart - för Apple 10.2-inch iPad</v>
      </c>
      <c r="BM191" s="192" t="str">
        <f t="shared" ca="1" si="176"/>
        <v>Apple Pencil - Penna för surfplatta - för 10.2-inch iPad (7th generation, 8th generation); 10.5-inch iPad Air (3rd generation); 10.5-inch iPad Pro; 12.9-inch iPad Pro (1st generation, 2nd generation); 9.7-inch iPad (6th generation); 9.7-inch iPad Pro; iPad mini 5</v>
      </c>
      <c r="BN191" s="192">
        <f t="shared" ca="1" si="176"/>
        <v>430</v>
      </c>
      <c r="BO191" s="192">
        <f t="shared" ca="1" si="176"/>
        <v>302</v>
      </c>
      <c r="BP191" s="192">
        <f t="shared" ca="1" si="176"/>
        <v>226</v>
      </c>
      <c r="BQ191" s="192">
        <f t="shared" ca="1" si="176"/>
        <v>756</v>
      </c>
      <c r="BR191" s="192">
        <f t="shared" ca="1" si="176"/>
        <v>1284</v>
      </c>
      <c r="BS191" s="192">
        <f t="shared" ca="1" si="176"/>
        <v>672</v>
      </c>
      <c r="BT191" s="192">
        <f t="shared" ca="1" si="176"/>
        <v>85</v>
      </c>
      <c r="BU191" s="192">
        <f t="shared" ca="1" si="176"/>
        <v>100</v>
      </c>
      <c r="BV191" s="192">
        <f t="shared" ca="1" si="176"/>
        <v>0</v>
      </c>
      <c r="BW191" s="192"/>
      <c r="BX191" s="192"/>
      <c r="BY191" s="192" t="str">
        <f t="shared" ca="1" si="177"/>
        <v>Atea Sverige AB</v>
      </c>
      <c r="BZ191" s="192" t="str">
        <f t="shared" ca="1" si="177"/>
        <v>Apple</v>
      </c>
      <c r="CA191" s="199" t="s">
        <v>93</v>
      </c>
      <c r="CB191" s="185"/>
      <c r="CC191" s="185"/>
      <c r="CD191" s="185"/>
      <c r="CE191" s="185">
        <v>10.9</v>
      </c>
      <c r="CF191" s="185" t="s">
        <v>146</v>
      </c>
      <c r="CG191" s="185" t="s">
        <v>91</v>
      </c>
      <c r="CH191" s="185"/>
      <c r="CI191" s="185"/>
      <c r="CJ191" s="185"/>
      <c r="CK191" s="185" t="s">
        <v>146</v>
      </c>
      <c r="CL191" s="185"/>
      <c r="CM191" s="185"/>
      <c r="CN191" s="185"/>
    </row>
    <row r="192" spans="2:92" ht="29.25" customHeight="1" outlineLevel="1" x14ac:dyDescent="0.35">
      <c r="C192" s="61" t="s">
        <v>103</v>
      </c>
      <c r="D192" s="64"/>
      <c r="F192" s="78" t="str">
        <f t="shared" si="178"/>
        <v/>
      </c>
      <c r="G192" s="79" t="str">
        <f t="shared" ca="1" si="179"/>
        <v>802.11a/b/g/n/ac</v>
      </c>
      <c r="H192" s="79" t="str">
        <f t="shared" ca="1" si="179"/>
        <v>802.11a/b/g/n/ac</v>
      </c>
      <c r="I192" s="120" t="str">
        <f t="shared" ca="1" si="179"/>
        <v>802.11a/b/g/n/ac</v>
      </c>
      <c r="J192" s="62"/>
      <c r="Q192" s="185">
        <f t="shared" si="158"/>
        <v>0</v>
      </c>
      <c r="R192" s="185">
        <f t="shared" si="159"/>
        <v>0</v>
      </c>
      <c r="S192" s="185">
        <f t="shared" si="160"/>
        <v>0</v>
      </c>
      <c r="T192" s="185">
        <f t="shared" si="161"/>
        <v>0</v>
      </c>
      <c r="U192" s="185">
        <f t="shared" si="162"/>
        <v>0</v>
      </c>
      <c r="V192" s="185">
        <f t="shared" si="163"/>
        <v>0</v>
      </c>
      <c r="W192" s="185">
        <f t="shared" si="164"/>
        <v>0</v>
      </c>
      <c r="X192" s="185">
        <f t="shared" si="165"/>
        <v>0</v>
      </c>
      <c r="Y192" s="185">
        <f t="shared" si="166"/>
        <v>0</v>
      </c>
      <c r="Z192" s="196">
        <f t="shared" ca="1" si="167"/>
        <v>10177</v>
      </c>
      <c r="AA192" s="185" t="str">
        <f t="shared" si="168"/>
        <v>Offererad produktnr. 09Atea Sverige AB</v>
      </c>
      <c r="AB192" s="185" t="b">
        <f>IF(D187="",TRUE,IF(COUNTIF(Processor!$M$2:$M$3,D187)=0,IF(AN192=D187,TRUE,FALSE),IF(COUNTIF(AN192,INDEX(Processor!$N$2:$N$3,MATCH(Surfplattor!D187,Processor!$M$2:$M$3,0)))&gt;0,TRUE,FALSE)))</f>
        <v>1</v>
      </c>
      <c r="AC192" s="185" t="b">
        <f>IF($D$188="",TRUE,IF(COUNTIF(Processor!$I$2:$I$9,$D$188)&gt;0,AND(AO192&gt;INDEX(Processor!$J$2:$J$9,MATCH($D$188,Processor!$I$2:$I$9,0)),AO192&lt;INDEX(Processor!$K$2:$K$9,MATCH($D$188,Processor!$I$2:$I$9,0))),IF(AO192=$D$188,TRUE,FALSE)))</f>
        <v>1</v>
      </c>
      <c r="AD192" s="185" t="b">
        <f t="shared" si="169"/>
        <v>1</v>
      </c>
      <c r="AE192" s="185" t="b">
        <f t="shared" si="170"/>
        <v>1</v>
      </c>
      <c r="AF192" s="185" t="b">
        <f t="shared" si="171"/>
        <v>1</v>
      </c>
      <c r="AG192" s="185" t="b">
        <f t="shared" si="172"/>
        <v>1</v>
      </c>
      <c r="AH192" s="185" t="b">
        <f>IF($D$193="",TRUE,IF(INDEX(Processor!$C$14:$C$20,MATCH(LEFT(AT192,10)&amp;"",Processor!$A$14:$A$20,0))&gt;=INDEX(Processor!$C$14:$C$20,MATCH(LEFT($D$193,10)&amp;"",Processor!$A$14:$A$20,0)),TRUE,FALSE))</f>
        <v>1</v>
      </c>
      <c r="AI192" s="185" t="b">
        <f t="shared" si="173"/>
        <v>1</v>
      </c>
      <c r="AJ192" s="185"/>
      <c r="AK192" s="185"/>
      <c r="AL192" s="185" t="s">
        <v>194</v>
      </c>
      <c r="AM192" s="185">
        <v>1</v>
      </c>
      <c r="AN192" s="185" t="str">
        <f t="shared" ca="1" si="174"/>
        <v>Android 13</v>
      </c>
      <c r="AO192" s="185">
        <f t="shared" ca="1" si="174"/>
        <v>11</v>
      </c>
      <c r="AP192" s="185" t="str">
        <f t="shared" ca="1" si="174"/>
        <v>2560x1600</v>
      </c>
      <c r="AQ192" s="185">
        <f t="shared" ca="1" si="174"/>
        <v>128</v>
      </c>
      <c r="AR192" s="185">
        <f t="shared" ca="1" si="174"/>
        <v>5.3</v>
      </c>
      <c r="AS192" s="185" t="str">
        <f t="shared" ca="1" si="174"/>
        <v>802.11a/b/g/n/ac/ax</v>
      </c>
      <c r="AT192" s="185">
        <f t="shared" ca="1" si="174"/>
        <v>13</v>
      </c>
      <c r="AU192" s="185" t="str">
        <f t="shared" ca="1" si="174"/>
        <v>Ej miljömärkt</v>
      </c>
      <c r="AV192" s="185" t="str">
        <f t="shared" ca="1" si="174"/>
        <v>802.11a/b/g/n/ac/ax</v>
      </c>
      <c r="AW192" s="185">
        <f t="shared" ca="1" si="174"/>
        <v>5.3</v>
      </c>
      <c r="AX192" s="185">
        <f t="shared" ca="1" si="175"/>
        <v>13</v>
      </c>
      <c r="AY192" s="185" t="str">
        <f t="shared" ca="1" si="175"/>
        <v>Galaxy Tab S9 Wifi (128GB)</v>
      </c>
      <c r="AZ192" s="185">
        <f t="shared" ca="1" si="175"/>
        <v>0</v>
      </c>
      <c r="BA192" s="185" t="str">
        <f t="shared" ca="1" si="175"/>
        <v>Android 13</v>
      </c>
      <c r="BB192" s="185">
        <f t="shared" ca="1" si="175"/>
        <v>10177</v>
      </c>
      <c r="BC192" s="185">
        <f t="shared" ca="1" si="175"/>
        <v>10177</v>
      </c>
      <c r="BD192" s="192" t="str">
        <f t="shared" ca="1" si="175"/>
        <v>Tolerate</v>
      </c>
      <c r="BE192" s="192" t="str">
        <f t="shared" ca="1" si="175"/>
        <v>Tolerate</v>
      </c>
      <c r="BF192" s="192" t="str">
        <f t="shared" ca="1" si="175"/>
        <v>Samsung</v>
      </c>
      <c r="BG192" s="192" t="str">
        <f t="shared" ca="1" si="175"/>
        <v>Tolerate</v>
      </c>
      <c r="BH192" s="192" t="str">
        <f t="shared" ca="1" si="176"/>
        <v>Samsung</v>
      </c>
      <c r="BI192" s="192" t="str">
        <f t="shared" ca="1" si="176"/>
        <v>TOLERATE ARMOUR FOLIO TAB S9 BULK</v>
      </c>
      <c r="BJ192" s="192" t="str">
        <f t="shared" ca="1" si="176"/>
        <v>TOLERATE GLASS SCREEN PROTECTOR SAMSUNG TAB S9 BULK</v>
      </c>
      <c r="BK192" s="192" t="str">
        <f t="shared" ca="1" si="176"/>
        <v>Samsung Travel Adapter/USB-C till USB-A-kabel - 1.5 m</v>
      </c>
      <c r="BL192" s="192" t="str">
        <f t="shared" ca="1" si="176"/>
        <v xml:space="preserve">TOLERATE KEYBOARD FOLIO SAMSUNG TAB S8 </v>
      </c>
      <c r="BM192" s="192" t="str">
        <f t="shared" ca="1" si="176"/>
        <v>Samsung S-Pen</v>
      </c>
      <c r="BN192" s="192">
        <f t="shared" ca="1" si="176"/>
        <v>461</v>
      </c>
      <c r="BO192" s="192">
        <f t="shared" ca="1" si="176"/>
        <v>281</v>
      </c>
      <c r="BP192" s="192">
        <f t="shared" ca="1" si="176"/>
        <v>386</v>
      </c>
      <c r="BQ192" s="192">
        <f t="shared" ca="1" si="176"/>
        <v>756</v>
      </c>
      <c r="BR192" s="192">
        <f t="shared" ca="1" si="176"/>
        <v>504</v>
      </c>
      <c r="BS192" s="192">
        <f t="shared" ca="1" si="176"/>
        <v>1</v>
      </c>
      <c r="BT192" s="192">
        <f t="shared" ca="1" si="176"/>
        <v>85</v>
      </c>
      <c r="BU192" s="192">
        <f t="shared" ca="1" si="176"/>
        <v>100</v>
      </c>
      <c r="BV192" s="192">
        <f t="shared" ca="1" si="176"/>
        <v>0</v>
      </c>
      <c r="BW192" s="192"/>
      <c r="BX192" s="192"/>
      <c r="BY192" s="192" t="str">
        <f t="shared" ca="1" si="177"/>
        <v>Atea Sverige AB</v>
      </c>
      <c r="BZ192" s="192" t="str">
        <f t="shared" ca="1" si="177"/>
        <v>Samsung</v>
      </c>
      <c r="CA192" s="199" t="s">
        <v>147</v>
      </c>
      <c r="CB192" s="185"/>
      <c r="CC192" s="185"/>
      <c r="CD192" s="185"/>
      <c r="CE192" s="185">
        <v>11</v>
      </c>
      <c r="CF192" s="185"/>
      <c r="CG192" s="192"/>
      <c r="CH192" s="185"/>
      <c r="CI192" s="185"/>
      <c r="CJ192" s="185"/>
      <c r="CK192" s="185"/>
      <c r="CL192" s="185"/>
      <c r="CM192" s="185"/>
      <c r="CN192" s="192"/>
    </row>
    <row r="193" spans="2:94" ht="29.25" customHeight="1" outlineLevel="1" x14ac:dyDescent="0.35">
      <c r="C193" s="61" t="s">
        <v>120</v>
      </c>
      <c r="D193" s="64"/>
      <c r="F193" s="80" t="str">
        <f t="shared" si="178"/>
        <v/>
      </c>
      <c r="G193" s="81">
        <f t="shared" ca="1" si="179"/>
        <v>9</v>
      </c>
      <c r="H193" s="81">
        <f t="shared" ca="1" si="179"/>
        <v>9</v>
      </c>
      <c r="I193" s="121">
        <f t="shared" ca="1" si="179"/>
        <v>10</v>
      </c>
      <c r="J193" s="62"/>
      <c r="Q193" s="185">
        <f t="shared" si="158"/>
        <v>0</v>
      </c>
      <c r="R193" s="185">
        <f t="shared" si="159"/>
        <v>0</v>
      </c>
      <c r="S193" s="185">
        <f t="shared" si="160"/>
        <v>0</v>
      </c>
      <c r="T193" s="185">
        <f t="shared" si="161"/>
        <v>0</v>
      </c>
      <c r="U193" s="185">
        <f t="shared" si="162"/>
        <v>0</v>
      </c>
      <c r="V193" s="185">
        <f t="shared" si="163"/>
        <v>0</v>
      </c>
      <c r="W193" s="185">
        <f t="shared" si="164"/>
        <v>0</v>
      </c>
      <c r="X193" s="185">
        <f t="shared" si="165"/>
        <v>0</v>
      </c>
      <c r="Y193" s="185">
        <f t="shared" si="166"/>
        <v>0</v>
      </c>
      <c r="Z193" s="196">
        <f t="shared" ca="1" si="167"/>
        <v>8276</v>
      </c>
      <c r="AA193" s="185" t="str">
        <f t="shared" si="168"/>
        <v>Offererad produktnr. 10Atea Sverige AB</v>
      </c>
      <c r="AB193" s="185" t="b">
        <f>IF(D187="",TRUE,IF(COUNTIF(Processor!$M$2:$M$3,D187)=0,IF(AN193=D187,TRUE,FALSE),IF(COUNTIF(AN193,INDEX(Processor!$N$2:$N$3,MATCH(Surfplattor!D187,Processor!$M$2:$M$3,0)))&gt;0,TRUE,FALSE)))</f>
        <v>1</v>
      </c>
      <c r="AC193" s="185" t="b">
        <f>IF($D$188="",TRUE,IF(COUNTIF(Processor!$I$2:$I$9,$D$188)&gt;0,AND(AO193&gt;INDEX(Processor!$J$2:$J$9,MATCH($D$188,Processor!$I$2:$I$9,0)),AO193&lt;INDEX(Processor!$K$2:$K$9,MATCH($D$188,Processor!$I$2:$I$9,0))),IF(AO193=$D$188,TRUE,FALSE)))</f>
        <v>1</v>
      </c>
      <c r="AD193" s="185" t="b">
        <f t="shared" si="169"/>
        <v>1</v>
      </c>
      <c r="AE193" s="185" t="b">
        <f t="shared" si="170"/>
        <v>1</v>
      </c>
      <c r="AF193" s="185" t="b">
        <f t="shared" si="171"/>
        <v>1</v>
      </c>
      <c r="AG193" s="185" t="b">
        <f t="shared" si="172"/>
        <v>1</v>
      </c>
      <c r="AH193" s="185" t="b">
        <f>IF($D$193="",TRUE,IF(INDEX(Processor!$C$14:$C$20,MATCH(LEFT(AT193,10)&amp;"",Processor!$A$14:$A$20,0))&gt;=INDEX(Processor!$C$14:$C$20,MATCH(LEFT($D$193,10)&amp;"",Processor!$A$14:$A$20,0)),TRUE,FALSE))</f>
        <v>1</v>
      </c>
      <c r="AI193" s="185" t="b">
        <f t="shared" si="173"/>
        <v>1</v>
      </c>
      <c r="AJ193" s="185"/>
      <c r="AK193" s="185"/>
      <c r="AL193" s="185" t="s">
        <v>195</v>
      </c>
      <c r="AM193" s="185">
        <v>1</v>
      </c>
      <c r="AN193" s="185" t="str">
        <f t="shared" ca="1" si="174"/>
        <v>Android 10</v>
      </c>
      <c r="AO193" s="185">
        <f t="shared" ca="1" si="174"/>
        <v>11.5</v>
      </c>
      <c r="AP193" s="185" t="str">
        <f t="shared" ca="1" si="174"/>
        <v>2560x1600</v>
      </c>
      <c r="AQ193" s="185">
        <f t="shared" ca="1" si="174"/>
        <v>128</v>
      </c>
      <c r="AR193" s="185">
        <f t="shared" ca="1" si="174"/>
        <v>5</v>
      </c>
      <c r="AS193" s="185" t="str">
        <f t="shared" ca="1" si="174"/>
        <v>802.11a/b/g/n/ac</v>
      </c>
      <c r="AT193" s="185">
        <f t="shared" ca="1" si="174"/>
        <v>8</v>
      </c>
      <c r="AU193" s="185" t="str">
        <f t="shared" ca="1" si="174"/>
        <v>Ej miljömärkt</v>
      </c>
      <c r="AV193" s="185" t="str">
        <f t="shared" ca="1" si="174"/>
        <v>802.11a/b/g/n/ac</v>
      </c>
      <c r="AW193" s="185">
        <f t="shared" ca="1" si="174"/>
        <v>5</v>
      </c>
      <c r="AX193" s="185">
        <f t="shared" ca="1" si="175"/>
        <v>8</v>
      </c>
      <c r="AY193" s="185" t="str">
        <f t="shared" ca="1" si="175"/>
        <v>Lenovo Tab P11 Pro</v>
      </c>
      <c r="AZ193" s="185">
        <f t="shared" ca="1" si="175"/>
        <v>0</v>
      </c>
      <c r="BA193" s="185" t="str">
        <f t="shared" ca="1" si="175"/>
        <v>Android 10</v>
      </c>
      <c r="BB193" s="185">
        <f t="shared" ca="1" si="175"/>
        <v>8276</v>
      </c>
      <c r="BC193" s="185">
        <f t="shared" ca="1" si="175"/>
        <v>8276</v>
      </c>
      <c r="BD193" s="192" t="str">
        <f t="shared" ca="1" si="175"/>
        <v>Tolerate</v>
      </c>
      <c r="BE193" s="192" t="str">
        <f t="shared" ca="1" si="175"/>
        <v>Zagg</v>
      </c>
      <c r="BF193" s="192" t="str">
        <f t="shared" ca="1" si="175"/>
        <v>Lenovo</v>
      </c>
      <c r="BG193" s="192" t="str">
        <f t="shared" ca="1" si="175"/>
        <v>Lenovo</v>
      </c>
      <c r="BH193" s="192" t="str">
        <f t="shared" ca="1" si="176"/>
        <v>Lenovo</v>
      </c>
      <c r="BI193" s="192" t="str">
        <f t="shared" ca="1" si="176"/>
        <v>TOLERATE ARMOR FOLIO LENOVO TAB 11 PRO</v>
      </c>
      <c r="BJ193" s="192" t="str">
        <f t="shared" ca="1" si="176"/>
        <v>InvisibleShield Glass Elite+</v>
      </c>
      <c r="BK193" s="192" t="str">
        <f t="shared" ca="1" si="176"/>
        <v xml:space="preserve">Lenovo Smart Charge station </v>
      </c>
      <c r="BL193" s="192" t="str">
        <f t="shared" ca="1" si="176"/>
        <v>Lenovo P11 Pro Keyboard</v>
      </c>
      <c r="BM193" s="192" t="str">
        <f t="shared" ca="1" si="176"/>
        <v>Lenovo Precision Pen 2</v>
      </c>
      <c r="BN193" s="192">
        <f t="shared" ca="1" si="176"/>
        <v>502</v>
      </c>
      <c r="BO193" s="192">
        <f t="shared" ca="1" si="176"/>
        <v>293</v>
      </c>
      <c r="BP193" s="192">
        <f t="shared" ca="1" si="176"/>
        <v>324</v>
      </c>
      <c r="BQ193" s="192">
        <f t="shared" ca="1" si="176"/>
        <v>1138</v>
      </c>
      <c r="BR193" s="192">
        <f t="shared" ca="1" si="176"/>
        <v>718</v>
      </c>
      <c r="BS193" s="192">
        <f t="shared" ca="1" si="176"/>
        <v>1</v>
      </c>
      <c r="BT193" s="192">
        <f t="shared" ca="1" si="176"/>
        <v>85</v>
      </c>
      <c r="BU193" s="192">
        <f t="shared" ca="1" si="176"/>
        <v>100</v>
      </c>
      <c r="BV193" s="192">
        <f t="shared" ca="1" si="176"/>
        <v>0</v>
      </c>
      <c r="BW193" s="192"/>
      <c r="BX193" s="192"/>
      <c r="BY193" s="192" t="str">
        <f t="shared" ca="1" si="177"/>
        <v>Atea Sverige AB</v>
      </c>
      <c r="BZ193" s="192" t="str">
        <f t="shared" ca="1" si="177"/>
        <v>Lenovo</v>
      </c>
      <c r="CA193" s="199"/>
      <c r="CB193" s="185"/>
      <c r="CC193" s="185"/>
      <c r="CD193" s="185"/>
      <c r="CE193" s="185">
        <v>11.5</v>
      </c>
      <c r="CF193" s="185"/>
      <c r="CG193" s="185"/>
      <c r="CH193" s="185"/>
      <c r="CI193" s="185"/>
      <c r="CJ193" s="185"/>
      <c r="CK193" s="192"/>
      <c r="CL193" s="185"/>
      <c r="CM193" s="185"/>
      <c r="CN193" s="185"/>
    </row>
    <row r="194" spans="2:94" ht="29.25" customHeight="1" outlineLevel="1" x14ac:dyDescent="0.35">
      <c r="C194" s="61" t="s">
        <v>39</v>
      </c>
      <c r="D194" s="64"/>
      <c r="F194" s="78" t="str">
        <f t="shared" si="178"/>
        <v/>
      </c>
      <c r="G194" s="79" t="str">
        <f t="shared" ca="1" si="179"/>
        <v>Ej miljömärkt</v>
      </c>
      <c r="H194" s="79" t="str">
        <f t="shared" ca="1" si="179"/>
        <v>Ej miljömärkt</v>
      </c>
      <c r="I194" s="120" t="str">
        <f t="shared" ca="1" si="179"/>
        <v>Ej miljömärkt</v>
      </c>
      <c r="J194" s="62"/>
      <c r="Q194" s="185">
        <f t="shared" si="158"/>
        <v>0</v>
      </c>
      <c r="R194" s="185">
        <f t="shared" si="159"/>
        <v>0</v>
      </c>
      <c r="S194" s="185">
        <f t="shared" si="160"/>
        <v>0</v>
      </c>
      <c r="T194" s="185">
        <f t="shared" si="161"/>
        <v>0</v>
      </c>
      <c r="U194" s="185">
        <f t="shared" si="162"/>
        <v>0</v>
      </c>
      <c r="V194" s="185">
        <f t="shared" si="163"/>
        <v>0</v>
      </c>
      <c r="W194" s="185">
        <f t="shared" si="164"/>
        <v>0</v>
      </c>
      <c r="X194" s="185">
        <f t="shared" si="165"/>
        <v>0</v>
      </c>
      <c r="Y194" s="185">
        <f t="shared" si="166"/>
        <v>0</v>
      </c>
      <c r="Z194" s="196">
        <f t="shared" ca="1" si="167"/>
        <v>3261</v>
      </c>
      <c r="AA194" s="185" t="str">
        <f t="shared" si="168"/>
        <v>Offererad produktnr. 07Dustin Sverige AB</v>
      </c>
      <c r="AB194" s="185" t="b">
        <f>IF(D187="",TRUE,IF(COUNTIF(Processor!$M$2:$M$3,D187)=0,IF(AN194=D187,TRUE,FALSE),IF(COUNTIF(AN194,INDEX(Processor!$N$2:$N$3,MATCH(Surfplattor!D187,Processor!$M$2:$M$3,0)))&gt;0,TRUE,FALSE)))</f>
        <v>1</v>
      </c>
      <c r="AC194" s="185" t="b">
        <f>IF($D$188="",TRUE,IF(COUNTIF(Processor!$I$2:$I$9,$D$188)&gt;0,AND(AO194&gt;INDEX(Processor!$J$2:$J$9,MATCH($D$188,Processor!$I$2:$I$9,0)),AO194&lt;INDEX(Processor!$K$2:$K$9,MATCH($D$188,Processor!$I$2:$I$9,0))),IF(AO194=$D$188,TRUE,FALSE)))</f>
        <v>1</v>
      </c>
      <c r="AD194" s="185" t="b">
        <f t="shared" si="169"/>
        <v>1</v>
      </c>
      <c r="AE194" s="185" t="b">
        <f t="shared" si="170"/>
        <v>1</v>
      </c>
      <c r="AF194" s="185" t="b">
        <f t="shared" si="171"/>
        <v>1</v>
      </c>
      <c r="AG194" s="185" t="b">
        <f t="shared" si="172"/>
        <v>1</v>
      </c>
      <c r="AH194" s="185" t="b">
        <f>IF($D$193="",TRUE,IF(INDEX(Processor!$C$14:$C$20,MATCH(LEFT(AT194,10)&amp;"",Processor!$A$14:$A$20,0))&gt;=INDEX(Processor!$C$14:$C$20,MATCH(LEFT($D$193,10)&amp;"",Processor!$A$14:$A$20,0)),TRUE,FALSE))</f>
        <v>1</v>
      </c>
      <c r="AI194" s="185" t="b">
        <f t="shared" si="173"/>
        <v>1</v>
      </c>
      <c r="AJ194" s="185"/>
      <c r="AK194" s="185"/>
      <c r="AL194" s="185" t="s">
        <v>180</v>
      </c>
      <c r="AM194" s="185">
        <v>1</v>
      </c>
      <c r="AN194" s="185" t="str">
        <f t="shared" ca="1" si="174"/>
        <v>Android 11</v>
      </c>
      <c r="AO194" s="185">
        <f t="shared" ca="1" si="174"/>
        <v>10.4</v>
      </c>
      <c r="AP194" s="185" t="str">
        <f t="shared" ca="1" si="174"/>
        <v>2000x1200</v>
      </c>
      <c r="AQ194" s="185">
        <f t="shared" ca="1" si="174"/>
        <v>64</v>
      </c>
      <c r="AR194" s="185">
        <f t="shared" ca="1" si="174"/>
        <v>5</v>
      </c>
      <c r="AS194" s="185" t="str">
        <f t="shared" ca="1" si="174"/>
        <v>802.11a/b/g/n/ac</v>
      </c>
      <c r="AT194" s="185">
        <f t="shared" ca="1" si="174"/>
        <v>12</v>
      </c>
      <c r="AU194" s="185" t="str">
        <f t="shared" ca="1" si="174"/>
        <v>EPEAT Bronze (Canada)</v>
      </c>
      <c r="AV194" s="185" t="str">
        <f t="shared" ca="1" si="174"/>
        <v>802.11a/b/g/n/ac</v>
      </c>
      <c r="AW194" s="185">
        <f t="shared" ca="1" si="174"/>
        <v>5</v>
      </c>
      <c r="AX194" s="185">
        <f t="shared" ca="1" si="175"/>
        <v>12</v>
      </c>
      <c r="AY194" s="185" t="str">
        <f t="shared" ca="1" si="175"/>
        <v>Galaxy Tab S6 Lite WiFi (64GB)</v>
      </c>
      <c r="AZ194" s="185">
        <f t="shared" ca="1" si="175"/>
        <v>0</v>
      </c>
      <c r="BA194" s="185" t="str">
        <f t="shared" ca="1" si="175"/>
        <v>Android 11</v>
      </c>
      <c r="BB194" s="185">
        <f t="shared" ca="1" si="175"/>
        <v>3261</v>
      </c>
      <c r="BC194" s="185">
        <f t="shared" ca="1" si="175"/>
        <v>3261</v>
      </c>
      <c r="BD194" s="192" t="str">
        <f t="shared" ca="1" si="175"/>
        <v>Samsung</v>
      </c>
      <c r="BE194" s="192" t="str">
        <f t="shared" ca="1" si="175"/>
        <v>Hama</v>
      </c>
      <c r="BF194" s="192" t="str">
        <f t="shared" ca="1" si="175"/>
        <v>Samsung</v>
      </c>
      <c r="BG194" s="192" t="str">
        <f t="shared" ca="1" si="175"/>
        <v>Voxicon</v>
      </c>
      <c r="BH194" s="192" t="str">
        <f t="shared" ca="1" si="176"/>
        <v>Samsung</v>
      </c>
      <c r="BI194" s="192" t="str">
        <f t="shared" ca="1" si="176"/>
        <v>GH96-13408A</v>
      </c>
      <c r="BJ194" s="192" t="str">
        <f t="shared" ca="1" si="176"/>
        <v>KAP12483</v>
      </c>
      <c r="BK194" s="192" t="str">
        <f t="shared" ca="1" si="176"/>
        <v>EP-T1510NBEGEU / EP-TA20EWECGWW</v>
      </c>
      <c r="BL194" s="192" t="str">
        <f t="shared" ca="1" si="176"/>
        <v>DK-199B-G</v>
      </c>
      <c r="BM194" s="192" t="str">
        <f t="shared" ca="1" si="176"/>
        <v>EJ-PP610BJEGEU / EJ-PP610BLEGEU</v>
      </c>
      <c r="BN194" s="192">
        <f t="shared" ca="1" si="176"/>
        <v>518</v>
      </c>
      <c r="BO194" s="192">
        <f t="shared" ca="1" si="176"/>
        <v>219</v>
      </c>
      <c r="BP194" s="192">
        <f t="shared" ca="1" si="176"/>
        <v>111</v>
      </c>
      <c r="BQ194" s="192">
        <f t="shared" ca="1" si="176"/>
        <v>936</v>
      </c>
      <c r="BR194" s="192">
        <f t="shared" ca="1" si="176"/>
        <v>305</v>
      </c>
      <c r="BS194" s="192">
        <f t="shared" ca="1" si="176"/>
        <v>532</v>
      </c>
      <c r="BT194" s="192">
        <f t="shared" ca="1" si="176"/>
        <v>20</v>
      </c>
      <c r="BU194" s="192">
        <f t="shared" ca="1" si="176"/>
        <v>20</v>
      </c>
      <c r="BV194" s="192">
        <f t="shared" ca="1" si="176"/>
        <v>0</v>
      </c>
      <c r="BW194" s="192"/>
      <c r="BX194" s="192"/>
      <c r="BY194" s="192" t="str">
        <f t="shared" ca="1" si="177"/>
        <v>Dustin Sverige AB</v>
      </c>
      <c r="BZ194" s="192" t="str">
        <f t="shared" ca="1" si="177"/>
        <v>Samsung</v>
      </c>
      <c r="CA194" s="199"/>
      <c r="CB194" s="185"/>
      <c r="CC194" s="185"/>
      <c r="CD194" s="185"/>
      <c r="CE194" s="186">
        <v>12.4</v>
      </c>
      <c r="CF194" s="185"/>
      <c r="CG194" s="185"/>
      <c r="CH194" s="185"/>
      <c r="CI194" s="185"/>
      <c r="CJ194" s="185"/>
      <c r="CK194" s="185"/>
      <c r="CL194" s="185"/>
      <c r="CM194" s="185"/>
      <c r="CN194" s="185"/>
    </row>
    <row r="195" spans="2:94" ht="22.5" customHeight="1" outlineLevel="1" x14ac:dyDescent="0.35">
      <c r="C195" s="66"/>
      <c r="D195" s="67"/>
      <c r="G195" s="62"/>
      <c r="H195" s="62"/>
      <c r="I195" s="62"/>
      <c r="J195" s="62"/>
      <c r="Q195" s="185">
        <f t="shared" si="158"/>
        <v>0</v>
      </c>
      <c r="R195" s="185">
        <f t="shared" si="159"/>
        <v>0</v>
      </c>
      <c r="S195" s="185">
        <f t="shared" si="160"/>
        <v>0</v>
      </c>
      <c r="T195" s="185">
        <f t="shared" si="161"/>
        <v>0</v>
      </c>
      <c r="U195" s="185">
        <f t="shared" si="162"/>
        <v>0</v>
      </c>
      <c r="V195" s="185">
        <f t="shared" si="163"/>
        <v>0</v>
      </c>
      <c r="W195" s="185">
        <f t="shared" si="164"/>
        <v>0</v>
      </c>
      <c r="X195" s="185">
        <f t="shared" si="165"/>
        <v>0</v>
      </c>
      <c r="Y195" s="185">
        <f t="shared" si="166"/>
        <v>0</v>
      </c>
      <c r="Z195" s="196">
        <f t="shared" ca="1" si="167"/>
        <v>3751</v>
      </c>
      <c r="AA195" s="185" t="str">
        <f t="shared" si="168"/>
        <v>Offererad produktnr. 08Dustin Sverige AB</v>
      </c>
      <c r="AB195" s="185" t="b">
        <f>IF(D187="",TRUE,IF(COUNTIF(Processor!$M$2:$M$3,D187)=0,IF(AN195=D187,TRUE,FALSE),IF(COUNTIF(AN195,INDEX(Processor!$N$2:$N$3,MATCH(Surfplattor!D187,Processor!$M$2:$M$3,0)))&gt;0,TRUE,FALSE)))</f>
        <v>1</v>
      </c>
      <c r="AC195" s="185" t="b">
        <f>IF($D$188="",TRUE,IF(COUNTIF(Processor!$I$2:$I$9,$D$188)&gt;0,AND(AO195&gt;INDEX(Processor!$J$2:$J$9,MATCH($D$188,Processor!$I$2:$I$9,0)),AO195&lt;INDEX(Processor!$K$2:$K$9,MATCH($D$188,Processor!$I$2:$I$9,0))),IF(AO195=$D$188,TRUE,FALSE)))</f>
        <v>1</v>
      </c>
      <c r="AD195" s="185" t="b">
        <f t="shared" si="169"/>
        <v>1</v>
      </c>
      <c r="AE195" s="185" t="b">
        <f t="shared" si="170"/>
        <v>1</v>
      </c>
      <c r="AF195" s="185" t="b">
        <f t="shared" si="171"/>
        <v>1</v>
      </c>
      <c r="AG195" s="185" t="b">
        <f t="shared" si="172"/>
        <v>1</v>
      </c>
      <c r="AH195" s="185" t="b">
        <f>IF($D$193="",TRUE,IF(INDEX(Processor!$C$14:$C$20,MATCH(LEFT(AT195,10)&amp;"",Processor!$A$14:$A$20,0))&gt;=INDEX(Processor!$C$14:$C$20,MATCH(LEFT($D$193,10)&amp;"",Processor!$A$14:$A$20,0)),TRUE,FALSE))</f>
        <v>1</v>
      </c>
      <c r="AI195" s="185" t="b">
        <f t="shared" si="173"/>
        <v>1</v>
      </c>
      <c r="AJ195" s="185"/>
      <c r="AK195" s="185"/>
      <c r="AL195" s="185" t="s">
        <v>181</v>
      </c>
      <c r="AM195" s="185">
        <v>1</v>
      </c>
      <c r="AN195" s="185" t="str">
        <f t="shared" ca="1" si="174"/>
        <v>iPadOS 14</v>
      </c>
      <c r="AO195" s="185">
        <f t="shared" ca="1" si="174"/>
        <v>10.199999999999999</v>
      </c>
      <c r="AP195" s="185" t="str">
        <f t="shared" ca="1" si="174"/>
        <v>2160x1620</v>
      </c>
      <c r="AQ195" s="185">
        <f t="shared" ca="1" si="174"/>
        <v>64</v>
      </c>
      <c r="AR195" s="185">
        <f t="shared" ca="1" si="174"/>
        <v>4.2</v>
      </c>
      <c r="AS195" s="185" t="str">
        <f t="shared" ca="1" si="174"/>
        <v>802.11a/b/g/n/ac</v>
      </c>
      <c r="AT195" s="185">
        <f t="shared" ca="1" si="174"/>
        <v>10</v>
      </c>
      <c r="AU195" s="185" t="str">
        <f t="shared" ca="1" si="174"/>
        <v>EPEAT Gold</v>
      </c>
      <c r="AV195" s="185" t="str">
        <f t="shared" ca="1" si="174"/>
        <v>802.11a/b/g/n/ac</v>
      </c>
      <c r="AW195" s="185">
        <f t="shared" ca="1" si="174"/>
        <v>4.2</v>
      </c>
      <c r="AX195" s="185">
        <f t="shared" ca="1" si="175"/>
        <v>10</v>
      </c>
      <c r="AY195" s="185" t="str">
        <f t="shared" ca="1" si="175"/>
        <v>iPad 9th gen</v>
      </c>
      <c r="AZ195" s="185">
        <f t="shared" ca="1" si="175"/>
        <v>0</v>
      </c>
      <c r="BA195" s="185" t="str">
        <f t="shared" ca="1" si="175"/>
        <v>iPadOS 14</v>
      </c>
      <c r="BB195" s="185">
        <f t="shared" ca="1" si="175"/>
        <v>3751</v>
      </c>
      <c r="BC195" s="185">
        <f t="shared" ca="1" si="175"/>
        <v>3751</v>
      </c>
      <c r="BD195" s="192" t="str">
        <f t="shared" ca="1" si="175"/>
        <v>Cirafon</v>
      </c>
      <c r="BE195" s="192" t="str">
        <f t="shared" ca="1" si="175"/>
        <v>Cirafon</v>
      </c>
      <c r="BF195" s="192" t="str">
        <f t="shared" ca="1" si="175"/>
        <v>Cirafon</v>
      </c>
      <c r="BG195" s="192" t="str">
        <f t="shared" ca="1" si="175"/>
        <v>Voxicon</v>
      </c>
      <c r="BH195" s="192" t="str">
        <f t="shared" ca="1" si="176"/>
        <v>Zagg</v>
      </c>
      <c r="BI195" s="192" t="str">
        <f t="shared" ca="1" si="176"/>
        <v>APD9-HBSFO-BLCK</v>
      </c>
      <c r="BJ195" s="192" t="str">
        <f t="shared" ca="1" si="176"/>
        <v>CG-TG-APL-IDP102</v>
      </c>
      <c r="BK195" s="192" t="str">
        <f t="shared" ca="1" si="176"/>
        <v>PD20E-1TGA-W/DMA-038#KIT</v>
      </c>
      <c r="BL195" s="192" t="str">
        <f t="shared" ca="1" si="176"/>
        <v>DK-400B-WHT</v>
      </c>
      <c r="BM195" s="192">
        <f t="shared" ca="1" si="176"/>
        <v>109907068</v>
      </c>
      <c r="BN195" s="192">
        <f t="shared" ca="1" si="176"/>
        <v>347</v>
      </c>
      <c r="BO195" s="192">
        <f t="shared" ca="1" si="176"/>
        <v>234</v>
      </c>
      <c r="BP195" s="192">
        <f t="shared" ca="1" si="176"/>
        <v>309</v>
      </c>
      <c r="BQ195" s="192">
        <f t="shared" ca="1" si="176"/>
        <v>407</v>
      </c>
      <c r="BR195" s="192">
        <f t="shared" ca="1" si="176"/>
        <v>373</v>
      </c>
      <c r="BS195" s="192">
        <f t="shared" ca="1" si="176"/>
        <v>532</v>
      </c>
      <c r="BT195" s="192">
        <f t="shared" ca="1" si="176"/>
        <v>20</v>
      </c>
      <c r="BU195" s="192">
        <f t="shared" ca="1" si="176"/>
        <v>20</v>
      </c>
      <c r="BV195" s="192">
        <f t="shared" ca="1" si="176"/>
        <v>0</v>
      </c>
      <c r="BW195" s="192"/>
      <c r="BX195" s="192"/>
      <c r="BY195" s="192" t="str">
        <f t="shared" ca="1" si="177"/>
        <v>Dustin Sverige AB</v>
      </c>
      <c r="BZ195" s="192" t="str">
        <f t="shared" ca="1" si="177"/>
        <v>Apple</v>
      </c>
      <c r="CA195" s="199"/>
      <c r="CB195" s="185"/>
      <c r="CC195" s="185"/>
      <c r="CD195" s="185"/>
      <c r="CE195" s="185"/>
      <c r="CF195" s="185"/>
      <c r="CG195" s="185"/>
      <c r="CH195" s="185"/>
      <c r="CI195" s="185"/>
      <c r="CJ195" s="185"/>
      <c r="CK195" s="185"/>
      <c r="CL195" s="185"/>
      <c r="CM195" s="185"/>
      <c r="CN195" s="185"/>
    </row>
    <row r="196" spans="2:94" ht="22.5" customHeight="1" outlineLevel="1" x14ac:dyDescent="0.35">
      <c r="C196" s="212" t="s">
        <v>366</v>
      </c>
      <c r="D196" s="213"/>
      <c r="E196" s="213"/>
      <c r="F196" s="213"/>
      <c r="G196" s="213"/>
      <c r="H196" s="213"/>
      <c r="I196" s="214"/>
      <c r="J196" s="94"/>
      <c r="Q196" s="185">
        <f t="shared" si="158"/>
        <v>0</v>
      </c>
      <c r="R196" s="185">
        <f t="shared" si="159"/>
        <v>0</v>
      </c>
      <c r="S196" s="185">
        <f t="shared" si="160"/>
        <v>0</v>
      </c>
      <c r="T196" s="185">
        <f t="shared" si="161"/>
        <v>0</v>
      </c>
      <c r="U196" s="185">
        <f t="shared" si="162"/>
        <v>0</v>
      </c>
      <c r="V196" s="185">
        <f t="shared" si="163"/>
        <v>0</v>
      </c>
      <c r="W196" s="185">
        <f t="shared" si="164"/>
        <v>0</v>
      </c>
      <c r="X196" s="185">
        <f t="shared" si="165"/>
        <v>0</v>
      </c>
      <c r="Y196" s="185">
        <f t="shared" si="166"/>
        <v>0</v>
      </c>
      <c r="Z196" s="196">
        <f t="shared" ca="1" si="167"/>
        <v>5710</v>
      </c>
      <c r="AA196" s="185" t="str">
        <f t="shared" si="168"/>
        <v>Offererad produktnr. 09Dustin Sverige AB</v>
      </c>
      <c r="AB196" s="185" t="b">
        <f>IF(D187="",TRUE,IF(COUNTIF(Processor!$M$2:$M$3,D187)=0,IF(AN196=D187,TRUE,FALSE),IF(COUNTIF(AN196,INDEX(Processor!$N$2:$N$3,MATCH(Surfplattor!D187,Processor!$M$2:$M$3,0)))&gt;0,TRUE,FALSE)))</f>
        <v>1</v>
      </c>
      <c r="AC196" s="185" t="b">
        <f>IF($D$188="",TRUE,IF(COUNTIF(Processor!$I$2:$I$9,$D$188)&gt;0,AND(AO196&gt;INDEX(Processor!$J$2:$J$9,MATCH($D$188,Processor!$I$2:$I$9,0)),AO196&lt;INDEX(Processor!$K$2:$K$9,MATCH($D$188,Processor!$I$2:$I$9,0))),IF(AO196=$D$188,TRUE,FALSE)))</f>
        <v>1</v>
      </c>
      <c r="AD196" s="185" t="b">
        <f t="shared" si="169"/>
        <v>1</v>
      </c>
      <c r="AE196" s="185" t="b">
        <f t="shared" si="170"/>
        <v>1</v>
      </c>
      <c r="AF196" s="185" t="b">
        <f t="shared" si="171"/>
        <v>1</v>
      </c>
      <c r="AG196" s="185" t="b">
        <f t="shared" si="172"/>
        <v>1</v>
      </c>
      <c r="AH196" s="185" t="b">
        <f>IF($D$193="",TRUE,IF(INDEX(Processor!$C$14:$C$20,MATCH(LEFT(AT196,10)&amp;"",Processor!$A$14:$A$20,0))&gt;=INDEX(Processor!$C$14:$C$20,MATCH(LEFT($D$193,10)&amp;"",Processor!$A$14:$A$20,0)),TRUE,FALSE))</f>
        <v>1</v>
      </c>
      <c r="AI196" s="185" t="b">
        <f t="shared" si="173"/>
        <v>1</v>
      </c>
      <c r="AJ196" s="185"/>
      <c r="AK196" s="185"/>
      <c r="AL196" s="185" t="s">
        <v>182</v>
      </c>
      <c r="AM196" s="185">
        <v>1</v>
      </c>
      <c r="AN196" s="185" t="str">
        <f t="shared" ref="AN196:AW205" ca="1" si="180">IFERROR(INDEX(INDIRECT(AN$181&amp;"!$A$10:CC100000"),MATCH($AL196,INDIRECT(AN$181&amp;"!BH$10:BH100000"),0),MATCH(AN$183,INDIRECT(AN$181&amp;"!a10:CC10"),0)),"False")</f>
        <v>Android 13</v>
      </c>
      <c r="AO196" s="185">
        <f t="shared" ca="1" si="180"/>
        <v>11</v>
      </c>
      <c r="AP196" s="185" t="str">
        <f t="shared" ca="1" si="180"/>
        <v>2560x1600</v>
      </c>
      <c r="AQ196" s="185">
        <f t="shared" ca="1" si="180"/>
        <v>128</v>
      </c>
      <c r="AR196" s="185">
        <f t="shared" ca="1" si="180"/>
        <v>5.3</v>
      </c>
      <c r="AS196" s="185" t="str">
        <f t="shared" ca="1" si="180"/>
        <v>802.11a/b/g/n/ac/ax</v>
      </c>
      <c r="AT196" s="185">
        <f t="shared" ca="1" si="180"/>
        <v>13</v>
      </c>
      <c r="AU196" s="185" t="str">
        <f t="shared" ca="1" si="180"/>
        <v>EPEAT Bronze (Canada)</v>
      </c>
      <c r="AV196" s="185" t="str">
        <f t="shared" ca="1" si="180"/>
        <v>802.11a/b/g/n/ac/ax</v>
      </c>
      <c r="AW196" s="185">
        <f t="shared" ca="1" si="180"/>
        <v>5.3</v>
      </c>
      <c r="AX196" s="185">
        <f t="shared" ref="AX196:BG205" ca="1" si="181">IFERROR(INDEX(INDIRECT(AX$181&amp;"!$A$10:CC100000"),MATCH($AL196,INDIRECT(AX$181&amp;"!BH$10:BH100000"),0),MATCH(AX$183,INDIRECT(AX$181&amp;"!a10:CC10"),0)),"False")</f>
        <v>13</v>
      </c>
      <c r="AY196" s="185" t="str">
        <f t="shared" ca="1" si="181"/>
        <v>Galaxy Tab S9</v>
      </c>
      <c r="AZ196" s="185">
        <f t="shared" ca="1" si="181"/>
        <v>0</v>
      </c>
      <c r="BA196" s="185" t="str">
        <f t="shared" ca="1" si="181"/>
        <v>Android 13</v>
      </c>
      <c r="BB196" s="185">
        <f t="shared" ca="1" si="181"/>
        <v>5710</v>
      </c>
      <c r="BC196" s="185">
        <f t="shared" ca="1" si="181"/>
        <v>5710</v>
      </c>
      <c r="BD196" s="192" t="str">
        <f t="shared" ca="1" si="181"/>
        <v>UAG METROPOLIS SE</v>
      </c>
      <c r="BE196" s="192" t="str">
        <f t="shared" ca="1" si="181"/>
        <v>Panzerglass</v>
      </c>
      <c r="BF196" s="192" t="str">
        <f t="shared" ca="1" si="181"/>
        <v xml:space="preserve">Samsung </v>
      </c>
      <c r="BG196" s="192" t="str">
        <f t="shared" ca="1" si="181"/>
        <v>Voxicon</v>
      </c>
      <c r="BH196" s="192" t="str">
        <f t="shared" ref="BH196:BV205" ca="1" si="182">IFERROR(INDEX(INDIRECT(BH$181&amp;"!$A$10:CC100000"),MATCH($AL196,INDIRECT(BH$181&amp;"!BH$10:BH100000"),0),MATCH(BH$183,INDIRECT(BH$181&amp;"!a10:CC10"),0)),"False")</f>
        <v>INGÅR</v>
      </c>
      <c r="BI196" s="192">
        <f t="shared" ca="1" si="182"/>
        <v>224339114040</v>
      </c>
      <c r="BJ196" s="192">
        <f t="shared" ca="1" si="182"/>
        <v>7332</v>
      </c>
      <c r="BK196" s="192" t="str">
        <f t="shared" ca="1" si="182"/>
        <v>EP-T1510NBEGEU / EP-TA20EWECGWW</v>
      </c>
      <c r="BL196" s="192" t="str">
        <f t="shared" ca="1" si="182"/>
        <v>DK-199B-G</v>
      </c>
      <c r="BM196" s="192">
        <f t="shared" ca="1" si="182"/>
        <v>0</v>
      </c>
      <c r="BN196" s="192">
        <f t="shared" ca="1" si="182"/>
        <v>419</v>
      </c>
      <c r="BO196" s="192">
        <f t="shared" ca="1" si="182"/>
        <v>269</v>
      </c>
      <c r="BP196" s="192">
        <f t="shared" ca="1" si="182"/>
        <v>111</v>
      </c>
      <c r="BQ196" s="192">
        <f t="shared" ca="1" si="182"/>
        <v>866</v>
      </c>
      <c r="BR196" s="192">
        <f t="shared" ca="1" si="182"/>
        <v>0</v>
      </c>
      <c r="BS196" s="192">
        <f t="shared" ca="1" si="182"/>
        <v>532</v>
      </c>
      <c r="BT196" s="192">
        <f t="shared" ca="1" si="182"/>
        <v>20</v>
      </c>
      <c r="BU196" s="192">
        <f t="shared" ca="1" si="182"/>
        <v>20</v>
      </c>
      <c r="BV196" s="192">
        <f t="shared" ca="1" si="182"/>
        <v>0</v>
      </c>
      <c r="BW196" s="192"/>
      <c r="BX196" s="192"/>
      <c r="BY196" s="192" t="str">
        <f t="shared" ca="1" si="177"/>
        <v>Dustin Sverige AB</v>
      </c>
      <c r="BZ196" s="192" t="str">
        <f t="shared" ca="1" si="177"/>
        <v>Samsung</v>
      </c>
      <c r="CE196" s="101"/>
    </row>
    <row r="197" spans="2:94" ht="30" customHeight="1" outlineLevel="1" x14ac:dyDescent="0.35">
      <c r="B197" s="69" t="s">
        <v>53</v>
      </c>
      <c r="C197" s="115" t="s">
        <v>372</v>
      </c>
      <c r="D197" s="70"/>
      <c r="F197" s="161" t="str">
        <f t="shared" ref="F197:F211" si="183">IF(F$184="Inget antal angivet","",IFERROR(INDEX($AN$185:$BZ$211,MATCH(F$181,$AL$185:$AL$211,0),MATCH($B197,$AN$185:$BZ$185,0)),""))</f>
        <v/>
      </c>
      <c r="G197" s="162">
        <f t="shared" ref="G197:I211" ca="1" si="184">IFERROR(INDEX($AN$185:$BZ$211,MATCH(G$181,$AL$185:$AL$211,0),MATCH($B197,$AN$185:$BZ$185,0)),"")</f>
        <v>325</v>
      </c>
      <c r="H197" s="162">
        <f t="shared" ca="1" si="184"/>
        <v>251</v>
      </c>
      <c r="I197" s="162">
        <f t="shared" ca="1" si="184"/>
        <v>460</v>
      </c>
      <c r="J197" s="62"/>
      <c r="Q197" s="185">
        <f t="shared" si="158"/>
        <v>0</v>
      </c>
      <c r="R197" s="185">
        <f t="shared" si="159"/>
        <v>0</v>
      </c>
      <c r="S197" s="185">
        <f t="shared" si="160"/>
        <v>0</v>
      </c>
      <c r="T197" s="185">
        <f t="shared" si="161"/>
        <v>0</v>
      </c>
      <c r="U197" s="185">
        <f t="shared" si="162"/>
        <v>0</v>
      </c>
      <c r="V197" s="185">
        <f t="shared" si="163"/>
        <v>0</v>
      </c>
      <c r="W197" s="185">
        <f t="shared" si="164"/>
        <v>0</v>
      </c>
      <c r="X197" s="185">
        <f t="shared" si="165"/>
        <v>0</v>
      </c>
      <c r="Y197" s="185">
        <f t="shared" si="166"/>
        <v>0</v>
      </c>
      <c r="Z197" s="196">
        <f t="shared" ca="1" si="167"/>
        <v>10190</v>
      </c>
      <c r="AA197" s="185" t="str">
        <f t="shared" si="168"/>
        <v>Offererad produktnr. 10Dustin Sverige AB</v>
      </c>
      <c r="AB197" s="185" t="b">
        <f>IF(D187="",TRUE,IF(COUNTIF(Processor!$M$2:$M$3,D187)=0,IF(AN197=D187,TRUE,FALSE),IF(COUNTIF(AN197,INDEX(Processor!$N$2:$N$3,MATCH(Surfplattor!D187,Processor!$M$2:$M$3,0)))&gt;0,TRUE,FALSE)))</f>
        <v>1</v>
      </c>
      <c r="AC197" s="185" t="b">
        <f>IF($D$188="",TRUE,IF(COUNTIF(Processor!$I$2:$I$9,$D$188)&gt;0,AND(AO197&gt;INDEX(Processor!$J$2:$J$9,MATCH($D$188,Processor!$I$2:$I$9,0)),AO197&lt;INDEX(Processor!$K$2:$K$9,MATCH($D$188,Processor!$I$2:$I$9,0))),IF(AO197=$D$188,TRUE,FALSE)))</f>
        <v>1</v>
      </c>
      <c r="AD197" s="185" t="b">
        <f t="shared" si="169"/>
        <v>1</v>
      </c>
      <c r="AE197" s="185" t="b">
        <f t="shared" si="170"/>
        <v>1</v>
      </c>
      <c r="AF197" s="185" t="b">
        <f t="shared" si="171"/>
        <v>1</v>
      </c>
      <c r="AG197" s="185" t="b">
        <f t="shared" si="172"/>
        <v>1</v>
      </c>
      <c r="AH197" s="185" t="b">
        <f>IF($D$193="",TRUE,IF(INDEX(Processor!$C$14:$C$20,MATCH(LEFT(AT197,10)&amp;"",Processor!$A$14:$A$20,0))&gt;=INDEX(Processor!$C$14:$C$20,MATCH(LEFT($D$193,10)&amp;"",Processor!$A$14:$A$20,0)),TRUE,FALSE))</f>
        <v>1</v>
      </c>
      <c r="AI197" s="185" t="b">
        <f t="shared" si="173"/>
        <v>1</v>
      </c>
      <c r="AJ197" s="185"/>
      <c r="AK197" s="185"/>
      <c r="AL197" s="185" t="s">
        <v>183</v>
      </c>
      <c r="AM197" s="185">
        <v>1</v>
      </c>
      <c r="AN197" s="185" t="str">
        <f t="shared" ca="1" si="180"/>
        <v>Android 13</v>
      </c>
      <c r="AO197" s="185">
        <f t="shared" ca="1" si="180"/>
        <v>12.4</v>
      </c>
      <c r="AP197" s="185" t="str">
        <f t="shared" ca="1" si="180"/>
        <v>2800x1752</v>
      </c>
      <c r="AQ197" s="185">
        <f t="shared" ca="1" si="180"/>
        <v>256</v>
      </c>
      <c r="AR197" s="185">
        <f t="shared" ca="1" si="180"/>
        <v>5.3</v>
      </c>
      <c r="AS197" s="185" t="str">
        <f t="shared" ca="1" si="180"/>
        <v>802.11a/b/g/n/ac/ax</v>
      </c>
      <c r="AT197" s="185">
        <f t="shared" ca="1" si="180"/>
        <v>13</v>
      </c>
      <c r="AU197" s="185" t="str">
        <f t="shared" ca="1" si="180"/>
        <v>EPEAT Bronze (Canada)</v>
      </c>
      <c r="AV197" s="185" t="str">
        <f t="shared" ca="1" si="180"/>
        <v>802.11a/b/g/n/ac/ax</v>
      </c>
      <c r="AW197" s="185">
        <f t="shared" ca="1" si="180"/>
        <v>5.3</v>
      </c>
      <c r="AX197" s="185">
        <f t="shared" ca="1" si="181"/>
        <v>13</v>
      </c>
      <c r="AY197" s="185" t="str">
        <f t="shared" ca="1" si="181"/>
        <v>Galaxy Tab S9+</v>
      </c>
      <c r="AZ197" s="185">
        <f t="shared" ca="1" si="181"/>
        <v>0</v>
      </c>
      <c r="BA197" s="185" t="str">
        <f t="shared" ca="1" si="181"/>
        <v>Android 13</v>
      </c>
      <c r="BB197" s="185">
        <f t="shared" ca="1" si="181"/>
        <v>10190</v>
      </c>
      <c r="BC197" s="185">
        <f t="shared" ca="1" si="181"/>
        <v>10190</v>
      </c>
      <c r="BD197" s="192" t="str">
        <f t="shared" ca="1" si="181"/>
        <v>Targus</v>
      </c>
      <c r="BE197" s="192" t="str">
        <f t="shared" ca="1" si="181"/>
        <v>Panzerglass</v>
      </c>
      <c r="BF197" s="192" t="str">
        <f t="shared" ca="1" si="181"/>
        <v>Samsung</v>
      </c>
      <c r="BG197" s="192" t="str">
        <f t="shared" ca="1" si="181"/>
        <v>Voxicon</v>
      </c>
      <c r="BH197" s="192" t="str">
        <f t="shared" ca="1" si="182"/>
        <v>INGÅR</v>
      </c>
      <c r="BI197" s="192" t="str">
        <f t="shared" ca="1" si="182"/>
        <v>THZ904GL </v>
      </c>
      <c r="BJ197" s="192">
        <f t="shared" ca="1" si="182"/>
        <v>7242</v>
      </c>
      <c r="BK197" s="192" t="str">
        <f t="shared" ca="1" si="182"/>
        <v>EP-T1510NBEGEU / EP-TA20EWECGWW</v>
      </c>
      <c r="BL197" s="192" t="str">
        <f t="shared" ca="1" si="182"/>
        <v>DK-199B-G</v>
      </c>
      <c r="BM197" s="192">
        <f t="shared" ca="1" si="182"/>
        <v>0</v>
      </c>
      <c r="BN197" s="192">
        <f t="shared" ca="1" si="182"/>
        <v>279</v>
      </c>
      <c r="BO197" s="192">
        <f t="shared" ca="1" si="182"/>
        <v>206</v>
      </c>
      <c r="BP197" s="192">
        <f t="shared" ca="1" si="182"/>
        <v>111</v>
      </c>
      <c r="BQ197" s="192">
        <f t="shared" ca="1" si="182"/>
        <v>979</v>
      </c>
      <c r="BR197" s="192">
        <f t="shared" ca="1" si="182"/>
        <v>0</v>
      </c>
      <c r="BS197" s="192">
        <f t="shared" ca="1" si="182"/>
        <v>532</v>
      </c>
      <c r="BT197" s="192">
        <f t="shared" ca="1" si="182"/>
        <v>20</v>
      </c>
      <c r="BU197" s="192">
        <f t="shared" ca="1" si="182"/>
        <v>20</v>
      </c>
      <c r="BV197" s="192">
        <f t="shared" ca="1" si="182"/>
        <v>0</v>
      </c>
      <c r="BW197" s="192"/>
      <c r="BX197" s="192"/>
      <c r="BY197" s="192" t="str">
        <f t="shared" ca="1" si="177"/>
        <v>Dustin Sverige AB</v>
      </c>
      <c r="BZ197" s="192" t="str">
        <f t="shared" ca="1" si="177"/>
        <v>Samsung</v>
      </c>
      <c r="CE197" s="101"/>
    </row>
    <row r="198" spans="2:94" ht="30" customHeight="1" outlineLevel="1" x14ac:dyDescent="0.35">
      <c r="B198" s="69" t="s">
        <v>340</v>
      </c>
      <c r="C198" s="96" t="s">
        <v>51</v>
      </c>
      <c r="D198" s="131" t="str">
        <f>IF("Ska Ingå"=D197,"Ska Ingå","")</f>
        <v/>
      </c>
      <c r="F198" s="84" t="str">
        <f t="shared" si="183"/>
        <v/>
      </c>
      <c r="G198" s="85" t="str">
        <f t="shared" ca="1" si="184"/>
        <v>Phonelife</v>
      </c>
      <c r="H198" s="85" t="str">
        <f t="shared" ca="1" si="184"/>
        <v>eSTUFF</v>
      </c>
      <c r="I198" s="85" t="str">
        <f t="shared" ca="1" si="184"/>
        <v>Otterbox Defender Series</v>
      </c>
      <c r="J198" s="62"/>
      <c r="Q198" s="185">
        <f t="shared" si="158"/>
        <v>0</v>
      </c>
      <c r="R198" s="185">
        <f t="shared" si="159"/>
        <v>0</v>
      </c>
      <c r="S198" s="185">
        <f t="shared" si="160"/>
        <v>0</v>
      </c>
      <c r="T198" s="185">
        <f t="shared" si="161"/>
        <v>0</v>
      </c>
      <c r="U198" s="185">
        <f t="shared" si="162"/>
        <v>0</v>
      </c>
      <c r="V198" s="185">
        <f t="shared" si="163"/>
        <v>0</v>
      </c>
      <c r="W198" s="185">
        <f t="shared" si="164"/>
        <v>0</v>
      </c>
      <c r="X198" s="185">
        <f t="shared" si="165"/>
        <v>0</v>
      </c>
      <c r="Y198" s="185">
        <f t="shared" si="166"/>
        <v>0</v>
      </c>
      <c r="Z198" s="196">
        <f t="shared" ca="1" si="167"/>
        <v>4068</v>
      </c>
      <c r="AA198" s="185" t="str">
        <f t="shared" si="168"/>
        <v>Offererad produktnr. 07Foxway Education AB</v>
      </c>
      <c r="AB198" s="185" t="b">
        <f>IF(D187="",TRUE,IF(COUNTIF(Processor!$M$2:$M$3,D187)=0,IF(AN198=D187,TRUE,FALSE),IF(COUNTIF(AN198,INDEX(Processor!$N$2:$N$3,MATCH(Surfplattor!D187,Processor!$M$2:$M$3,0)))&gt;0,TRUE,FALSE)))</f>
        <v>1</v>
      </c>
      <c r="AC198" s="185" t="b">
        <f>IF($D$188="",TRUE,IF(COUNTIF(Processor!$I$2:$I$9,$D$188)&gt;0,AND(AO198&gt;INDEX(Processor!$J$2:$J$9,MATCH($D$188,Processor!$I$2:$I$9,0)),AO198&lt;INDEX(Processor!$K$2:$K$9,MATCH($D$188,Processor!$I$2:$I$9,0))),IF(AO198=$D$188,TRUE,FALSE)))</f>
        <v>1</v>
      </c>
      <c r="AD198" s="185" t="b">
        <f t="shared" si="169"/>
        <v>1</v>
      </c>
      <c r="AE198" s="185" t="b">
        <f t="shared" si="170"/>
        <v>1</v>
      </c>
      <c r="AF198" s="185" t="b">
        <f t="shared" si="171"/>
        <v>1</v>
      </c>
      <c r="AG198" s="185" t="b">
        <f t="shared" si="172"/>
        <v>1</v>
      </c>
      <c r="AH198" s="185" t="b">
        <f>IF($D$193="",TRUE,IF(INDEX(Processor!$C$14:$C$20,MATCH(LEFT(AT198,10)&amp;"",Processor!$A$14:$A$20,0))&gt;=INDEX(Processor!$C$14:$C$20,MATCH(LEFT($D$193,10)&amp;"",Processor!$A$14:$A$20,0)),TRUE,FALSE))</f>
        <v>1</v>
      </c>
      <c r="AI198" s="185" t="b">
        <f t="shared" si="173"/>
        <v>1</v>
      </c>
      <c r="AJ198" s="185"/>
      <c r="AK198" s="185"/>
      <c r="AL198" s="185" t="s">
        <v>216</v>
      </c>
      <c r="AM198" s="185">
        <v>1</v>
      </c>
      <c r="AN198" s="185" t="str">
        <f t="shared" ca="1" si="180"/>
        <v>iPadOS 15</v>
      </c>
      <c r="AO198" s="185">
        <f t="shared" ca="1" si="180"/>
        <v>10.199999999999999</v>
      </c>
      <c r="AP198" s="185" t="str">
        <f t="shared" ca="1" si="180"/>
        <v>2160x1620</v>
      </c>
      <c r="AQ198" s="185">
        <f t="shared" ca="1" si="180"/>
        <v>64</v>
      </c>
      <c r="AR198" s="185">
        <f t="shared" ca="1" si="180"/>
        <v>4.2</v>
      </c>
      <c r="AS198" s="185" t="str">
        <f t="shared" ca="1" si="180"/>
        <v>802.11a/b/g/n/ac</v>
      </c>
      <c r="AT198" s="185">
        <f t="shared" ca="1" si="180"/>
        <v>10</v>
      </c>
      <c r="AU198" s="185" t="str">
        <f t="shared" ca="1" si="180"/>
        <v>EPEAT Gold</v>
      </c>
      <c r="AV198" s="185" t="str">
        <f t="shared" ca="1" si="180"/>
        <v>802.11a/b/g/n/ac</v>
      </c>
      <c r="AW198" s="185">
        <f t="shared" ca="1" si="180"/>
        <v>4.2</v>
      </c>
      <c r="AX198" s="185">
        <f t="shared" ca="1" si="181"/>
        <v>10</v>
      </c>
      <c r="AY198" s="185" t="str">
        <f t="shared" ca="1" si="181"/>
        <v>10.2-inch (9th-gen) iPad Wi-Fi 64GB</v>
      </c>
      <c r="AZ198" s="185">
        <f t="shared" ca="1" si="181"/>
        <v>0</v>
      </c>
      <c r="BA198" s="185" t="str">
        <f t="shared" ca="1" si="181"/>
        <v>iPadOS 15</v>
      </c>
      <c r="BB198" s="185">
        <f t="shared" ca="1" si="181"/>
        <v>4068</v>
      </c>
      <c r="BC198" s="185">
        <f t="shared" ca="1" si="181"/>
        <v>4068</v>
      </c>
      <c r="BD198" s="192" t="str">
        <f t="shared" ca="1" si="181"/>
        <v>Targus</v>
      </c>
      <c r="BE198" s="192" t="str">
        <f t="shared" ca="1" si="181"/>
        <v>Screenor</v>
      </c>
      <c r="BF198" s="192" t="str">
        <f t="shared" ca="1" si="181"/>
        <v>Apple</v>
      </c>
      <c r="BG198" s="192" t="str">
        <f t="shared" ca="1" si="181"/>
        <v>Deltaco</v>
      </c>
      <c r="BH198" s="192" t="str">
        <f t="shared" ca="1" si="182"/>
        <v>Apple</v>
      </c>
      <c r="BI198" s="192" t="str">
        <f t="shared" ca="1" si="182"/>
        <v>Targus SafePORT Rugged</v>
      </c>
      <c r="BJ198" s="192" t="str">
        <f t="shared" ca="1" si="182"/>
        <v>SCREENOR TEMPERED IPAD 10.2</v>
      </c>
      <c r="BK198" s="192" t="str">
        <f t="shared" ca="1" si="182"/>
        <v>Laddkit iPad</v>
      </c>
      <c r="BL198" s="192" t="str">
        <f t="shared" ca="1" si="182"/>
        <v>DELTACO trådlöst minitangentbord, 78 tangenter, Bluetooth, nordisk layout, dämpade tangenter, svart</v>
      </c>
      <c r="BM198" s="192" t="str">
        <f t="shared" ca="1" si="182"/>
        <v>Apple Pencil</v>
      </c>
      <c r="BN198" s="192">
        <f t="shared" ca="1" si="182"/>
        <v>210</v>
      </c>
      <c r="BO198" s="192">
        <f t="shared" ca="1" si="182"/>
        <v>240</v>
      </c>
      <c r="BP198" s="192">
        <f t="shared" ca="1" si="182"/>
        <v>372</v>
      </c>
      <c r="BQ198" s="192">
        <f t="shared" ca="1" si="182"/>
        <v>156</v>
      </c>
      <c r="BR198" s="192">
        <f t="shared" ca="1" si="182"/>
        <v>1080</v>
      </c>
      <c r="BS198" s="192">
        <f t="shared" ca="1" si="182"/>
        <v>480</v>
      </c>
      <c r="BT198" s="192">
        <f t="shared" ca="1" si="182"/>
        <v>60</v>
      </c>
      <c r="BU198" s="192">
        <f t="shared" ca="1" si="182"/>
        <v>50</v>
      </c>
      <c r="BV198" s="192">
        <f t="shared" ca="1" si="182"/>
        <v>0</v>
      </c>
      <c r="BW198" s="192"/>
      <c r="BX198" s="192"/>
      <c r="BY198" s="192" t="str">
        <f t="shared" ca="1" si="177"/>
        <v>Foxway Education AB</v>
      </c>
      <c r="BZ198" s="192" t="str">
        <f t="shared" ca="1" si="177"/>
        <v>Apple</v>
      </c>
      <c r="CB198" s="63"/>
      <c r="CC198" s="63"/>
      <c r="CD198" s="63"/>
      <c r="CE198" s="102"/>
      <c r="CF198" s="63"/>
      <c r="CG198" s="63"/>
      <c r="CH198" s="63"/>
      <c r="CI198" s="63"/>
      <c r="CJ198" s="63"/>
      <c r="CK198" s="63"/>
      <c r="CL198" s="63"/>
      <c r="CM198" s="63"/>
      <c r="CN198" s="63"/>
      <c r="CO198" s="63"/>
      <c r="CP198" s="63"/>
    </row>
    <row r="199" spans="2:94" ht="67.5" customHeight="1" outlineLevel="1" x14ac:dyDescent="0.35">
      <c r="B199" s="69" t="s">
        <v>345</v>
      </c>
      <c r="C199" s="97" t="s">
        <v>52</v>
      </c>
      <c r="D199" s="132" t="str">
        <f>IF("Ska Ingå"=D197,"Ska Ingå","")</f>
        <v/>
      </c>
      <c r="F199" s="86" t="str">
        <f t="shared" si="183"/>
        <v/>
      </c>
      <c r="G199" s="87" t="str">
        <f t="shared" ca="1" si="184"/>
        <v>GBXRUGGEDLENTAB-V1</v>
      </c>
      <c r="H199" s="87" t="str">
        <f t="shared" ca="1" si="184"/>
        <v>ES685307-BULK - Vikbart fodral för surfplatta - polyuretan, polykarbonat, konstläder, mikrofiber - svart - för Lenovo Tab M10 (3rd Gen)</v>
      </c>
      <c r="I199" s="87" t="str">
        <f t="shared" ca="1" si="184"/>
        <v>GBX77-62032</v>
      </c>
      <c r="J199" s="62"/>
      <c r="Q199" s="185">
        <f t="shared" si="158"/>
        <v>0</v>
      </c>
      <c r="R199" s="185">
        <f t="shared" si="159"/>
        <v>0</v>
      </c>
      <c r="S199" s="185">
        <f t="shared" si="160"/>
        <v>0</v>
      </c>
      <c r="T199" s="185">
        <f t="shared" si="161"/>
        <v>0</v>
      </c>
      <c r="U199" s="185">
        <f t="shared" si="162"/>
        <v>0</v>
      </c>
      <c r="V199" s="185">
        <f t="shared" si="163"/>
        <v>0</v>
      </c>
      <c r="W199" s="185">
        <f t="shared" si="164"/>
        <v>0</v>
      </c>
      <c r="X199" s="185">
        <f t="shared" si="165"/>
        <v>0</v>
      </c>
      <c r="Y199" s="185">
        <f t="shared" si="166"/>
        <v>0</v>
      </c>
      <c r="Z199" s="196">
        <f t="shared" ca="1" si="167"/>
        <v>3894</v>
      </c>
      <c r="AA199" s="185" t="str">
        <f t="shared" si="168"/>
        <v>Offererad produktnr. 08Foxway Education AB</v>
      </c>
      <c r="AB199" s="185" t="b">
        <f>IF(D187="",TRUE,IF(COUNTIF(Processor!$M$2:$M$3,D187)=0,IF(AN199=D187,TRUE,FALSE),IF(COUNTIF(AN199,INDEX(Processor!$N$2:$N$3,MATCH(Surfplattor!D187,Processor!$M$2:$M$3,0)))&gt;0,TRUE,FALSE)))</f>
        <v>1</v>
      </c>
      <c r="AC199" s="185" t="b">
        <f>IF($D$188="",TRUE,IF(COUNTIF(Processor!$I$2:$I$9,$D$188)&gt;0,AND(AO199&gt;INDEX(Processor!$J$2:$J$9,MATCH($D$188,Processor!$I$2:$I$9,0)),AO199&lt;INDEX(Processor!$K$2:$K$9,MATCH($D$188,Processor!$I$2:$I$9,0))),IF(AO199=$D$188,TRUE,FALSE)))</f>
        <v>1</v>
      </c>
      <c r="AD199" s="185" t="b">
        <f t="shared" si="169"/>
        <v>1</v>
      </c>
      <c r="AE199" s="185" t="b">
        <f t="shared" si="170"/>
        <v>1</v>
      </c>
      <c r="AF199" s="185" t="b">
        <f t="shared" si="171"/>
        <v>1</v>
      </c>
      <c r="AG199" s="185" t="b">
        <f t="shared" si="172"/>
        <v>1</v>
      </c>
      <c r="AH199" s="185" t="b">
        <f>IF($D$193="",TRUE,IF(INDEX(Processor!$C$14:$C$20,MATCH(LEFT(AT199,10)&amp;"",Processor!$A$14:$A$20,0))&gt;=INDEX(Processor!$C$14:$C$20,MATCH(LEFT($D$193,10)&amp;"",Processor!$A$14:$A$20,0)),TRUE,FALSE))</f>
        <v>1</v>
      </c>
      <c r="AI199" s="185" t="b">
        <f t="shared" si="173"/>
        <v>1</v>
      </c>
      <c r="AJ199" s="185"/>
      <c r="AK199" s="185"/>
      <c r="AL199" s="185" t="s">
        <v>217</v>
      </c>
      <c r="AM199" s="185">
        <v>1</v>
      </c>
      <c r="AN199" s="185" t="str">
        <f t="shared" ca="1" si="180"/>
        <v>Android 11</v>
      </c>
      <c r="AO199" s="185">
        <f t="shared" ca="1" si="180"/>
        <v>10.4</v>
      </c>
      <c r="AP199" s="185" t="str">
        <f t="shared" ca="1" si="180"/>
        <v>2000x1200</v>
      </c>
      <c r="AQ199" s="185">
        <f t="shared" ca="1" si="180"/>
        <v>64</v>
      </c>
      <c r="AR199" s="185">
        <f t="shared" ca="1" si="180"/>
        <v>5</v>
      </c>
      <c r="AS199" s="185" t="str">
        <f t="shared" ca="1" si="180"/>
        <v>802.11a/b/g/n/ac</v>
      </c>
      <c r="AT199" s="185">
        <f t="shared" ca="1" si="180"/>
        <v>12</v>
      </c>
      <c r="AU199" s="185" t="str">
        <f t="shared" ca="1" si="180"/>
        <v>Epeat Bronze</v>
      </c>
      <c r="AV199" s="185" t="str">
        <f t="shared" ca="1" si="180"/>
        <v>802.11a/b/g/n/ac</v>
      </c>
      <c r="AW199" s="185">
        <f t="shared" ca="1" si="180"/>
        <v>5</v>
      </c>
      <c r="AX199" s="185">
        <f t="shared" ca="1" si="181"/>
        <v>12</v>
      </c>
      <c r="AY199" s="185" t="str">
        <f t="shared" ca="1" si="181"/>
        <v>Galaxy Tab S6 Lite WiFi (64GB)</v>
      </c>
      <c r="AZ199" s="185">
        <f t="shared" ca="1" si="181"/>
        <v>0</v>
      </c>
      <c r="BA199" s="185" t="str">
        <f t="shared" ca="1" si="181"/>
        <v>Android 11</v>
      </c>
      <c r="BB199" s="185">
        <f t="shared" ca="1" si="181"/>
        <v>3894</v>
      </c>
      <c r="BC199" s="185">
        <f t="shared" ca="1" si="181"/>
        <v>3894</v>
      </c>
      <c r="BD199" s="192" t="str">
        <f t="shared" ca="1" si="181"/>
        <v>Tolerate</v>
      </c>
      <c r="BE199" s="192" t="str">
        <f t="shared" ca="1" si="181"/>
        <v xml:space="preserve">Insmat </v>
      </c>
      <c r="BF199" s="192" t="str">
        <f t="shared" ca="1" si="181"/>
        <v>Samsung</v>
      </c>
      <c r="BG199" s="192" t="str">
        <f t="shared" ca="1" si="181"/>
        <v>Deltaco</v>
      </c>
      <c r="BH199" s="192" t="str">
        <f t="shared" ca="1" si="182"/>
        <v>Samsung</v>
      </c>
      <c r="BI199" s="192" t="str">
        <f t="shared" ca="1" si="182"/>
        <v xml:space="preserve">TOLERATE ARMOR FOLIO SAMSUNG TAB S6 LITE BLACK </v>
      </c>
      <c r="BJ199" s="192" t="str">
        <f t="shared" ca="1" si="182"/>
        <v>Insmat Brilliant</v>
      </c>
      <c r="BK199" s="192" t="str">
        <f t="shared" ca="1" si="182"/>
        <v>SAMSUNG FAST TRAVEL CHARGER USB-C BLACK</v>
      </c>
      <c r="BL199" s="192" t="str">
        <f t="shared" ca="1" si="182"/>
        <v>DELTACO trådlöst minitangentbord, 78 tangenter, Bluetooth, nordisk layout, dämpade tangenter, svart</v>
      </c>
      <c r="BM199" s="192" t="str">
        <f t="shared" ca="1" si="182"/>
        <v xml:space="preserve">SAMSUNG S-PEN GALAXY TAB S6 LITE GREY </v>
      </c>
      <c r="BN199" s="192">
        <f t="shared" ca="1" si="182"/>
        <v>350</v>
      </c>
      <c r="BO199" s="192">
        <f t="shared" ca="1" si="182"/>
        <v>165</v>
      </c>
      <c r="BP199" s="192">
        <f t="shared" ca="1" si="182"/>
        <v>114</v>
      </c>
      <c r="BQ199" s="192">
        <f t="shared" ca="1" si="182"/>
        <v>156</v>
      </c>
      <c r="BR199" s="192">
        <f t="shared" ca="1" si="182"/>
        <v>306</v>
      </c>
      <c r="BS199" s="192">
        <f t="shared" ca="1" si="182"/>
        <v>1</v>
      </c>
      <c r="BT199" s="192">
        <f t="shared" ca="1" si="182"/>
        <v>60</v>
      </c>
      <c r="BU199" s="192">
        <f t="shared" ca="1" si="182"/>
        <v>50</v>
      </c>
      <c r="BV199" s="192">
        <f t="shared" ca="1" si="182"/>
        <v>0</v>
      </c>
      <c r="BW199" s="192"/>
      <c r="BX199" s="192"/>
      <c r="BY199" s="192" t="str">
        <f t="shared" ca="1" si="177"/>
        <v>Foxway Education AB</v>
      </c>
      <c r="BZ199" s="192" t="str">
        <f t="shared" ca="1" si="177"/>
        <v>Samsung</v>
      </c>
      <c r="CA199" s="63"/>
      <c r="CB199" s="63"/>
      <c r="CC199" s="63"/>
      <c r="CD199" s="63"/>
      <c r="CE199" s="63"/>
      <c r="CF199" s="63"/>
      <c r="CG199" s="63"/>
      <c r="CH199" s="63"/>
      <c r="CI199" s="63"/>
      <c r="CJ199" s="63"/>
      <c r="CK199" s="63"/>
      <c r="CL199" s="63"/>
      <c r="CM199" s="63"/>
      <c r="CN199" s="63"/>
    </row>
    <row r="200" spans="2:94" ht="30" customHeight="1" outlineLevel="1" x14ac:dyDescent="0.35">
      <c r="B200" s="69" t="s">
        <v>54</v>
      </c>
      <c r="C200" s="98" t="s">
        <v>373</v>
      </c>
      <c r="D200" s="70"/>
      <c r="F200" s="157" t="str">
        <f t="shared" si="183"/>
        <v/>
      </c>
      <c r="G200" s="158">
        <f t="shared" ca="1" si="184"/>
        <v>180</v>
      </c>
      <c r="H200" s="158">
        <f t="shared" ca="1" si="184"/>
        <v>251</v>
      </c>
      <c r="I200" s="158">
        <f t="shared" ca="1" si="184"/>
        <v>189</v>
      </c>
      <c r="J200" s="62"/>
      <c r="Q200" s="185">
        <f t="shared" si="158"/>
        <v>0</v>
      </c>
      <c r="R200" s="185">
        <f t="shared" si="159"/>
        <v>0</v>
      </c>
      <c r="S200" s="185">
        <f t="shared" si="160"/>
        <v>0</v>
      </c>
      <c r="T200" s="185">
        <f t="shared" si="161"/>
        <v>0</v>
      </c>
      <c r="U200" s="185">
        <f t="shared" si="162"/>
        <v>0</v>
      </c>
      <c r="V200" s="185">
        <f t="shared" si="163"/>
        <v>0</v>
      </c>
      <c r="W200" s="185">
        <f t="shared" si="164"/>
        <v>0</v>
      </c>
      <c r="X200" s="185">
        <f t="shared" si="165"/>
        <v>0</v>
      </c>
      <c r="Y200" s="185">
        <f t="shared" si="166"/>
        <v>0</v>
      </c>
      <c r="Z200" s="196">
        <f t="shared" ca="1" si="167"/>
        <v>7350</v>
      </c>
      <c r="AA200" s="185" t="str">
        <f t="shared" si="168"/>
        <v>Offererad produktnr. 09Foxway Education AB</v>
      </c>
      <c r="AB200" s="185" t="b">
        <f>IF(D187="",TRUE,IF(COUNTIF(Processor!$M$2:$M$3,D187)=0,IF(AN200=D187,TRUE,FALSE),IF(COUNTIF(AN200,INDEX(Processor!$N$2:$N$3,MATCH(Surfplattor!D187,Processor!$M$2:$M$3,0)))&gt;0,TRUE,FALSE)))</f>
        <v>1</v>
      </c>
      <c r="AC200" s="185" t="b">
        <f>IF($D$188="",TRUE,IF(COUNTIF(Processor!$I$2:$I$9,$D$188)&gt;0,AND(AO200&gt;INDEX(Processor!$J$2:$J$9,MATCH($D$188,Processor!$I$2:$I$9,0)),AO200&lt;INDEX(Processor!$K$2:$K$9,MATCH($D$188,Processor!$I$2:$I$9,0))),IF(AO200=$D$188,TRUE,FALSE)))</f>
        <v>1</v>
      </c>
      <c r="AD200" s="185" t="b">
        <f t="shared" si="169"/>
        <v>1</v>
      </c>
      <c r="AE200" s="185" t="b">
        <f t="shared" si="170"/>
        <v>1</v>
      </c>
      <c r="AF200" s="185" t="b">
        <f t="shared" si="171"/>
        <v>1</v>
      </c>
      <c r="AG200" s="185" t="b">
        <f t="shared" si="172"/>
        <v>1</v>
      </c>
      <c r="AH200" s="185" t="b">
        <f>IF($D$193="",TRUE,IF(INDEX(Processor!$C$14:$C$20,MATCH(LEFT(AT200,10)&amp;"",Processor!$A$14:$A$20,0))&gt;=INDEX(Processor!$C$14:$C$20,MATCH(LEFT($D$193,10)&amp;"",Processor!$A$14:$A$20,0)),TRUE,FALSE))</f>
        <v>1</v>
      </c>
      <c r="AI200" s="185" t="b">
        <f t="shared" si="173"/>
        <v>1</v>
      </c>
      <c r="AJ200" s="185"/>
      <c r="AK200" s="185"/>
      <c r="AL200" s="185" t="s">
        <v>218</v>
      </c>
      <c r="AM200" s="185">
        <v>1</v>
      </c>
      <c r="AN200" s="185" t="str">
        <f t="shared" ca="1" si="180"/>
        <v>Android 11</v>
      </c>
      <c r="AO200" s="185">
        <f t="shared" ca="1" si="180"/>
        <v>11</v>
      </c>
      <c r="AP200" s="185" t="str">
        <f t="shared" ca="1" si="180"/>
        <v>2560x1600</v>
      </c>
      <c r="AQ200" s="185">
        <f t="shared" ca="1" si="180"/>
        <v>128</v>
      </c>
      <c r="AR200" s="185">
        <f t="shared" ca="1" si="180"/>
        <v>5</v>
      </c>
      <c r="AS200" s="185" t="str">
        <f t="shared" ca="1" si="180"/>
        <v>802.11a/b/g/n/ac/ax</v>
      </c>
      <c r="AT200" s="185">
        <f t="shared" ca="1" si="180"/>
        <v>13</v>
      </c>
      <c r="AU200" s="185" t="str">
        <f t="shared" ca="1" si="180"/>
        <v>Epeat Bronze</v>
      </c>
      <c r="AV200" s="185" t="str">
        <f t="shared" ca="1" si="180"/>
        <v>802.11a/b/g/n/ac/ax</v>
      </c>
      <c r="AW200" s="185">
        <f t="shared" ca="1" si="180"/>
        <v>5</v>
      </c>
      <c r="AX200" s="185">
        <f t="shared" ca="1" si="181"/>
        <v>13</v>
      </c>
      <c r="AY200" s="185" t="str">
        <f t="shared" ca="1" si="181"/>
        <v>Galaxy Tab S8 Wifi (128GB)</v>
      </c>
      <c r="AZ200" s="185">
        <f t="shared" ca="1" si="181"/>
        <v>0</v>
      </c>
      <c r="BA200" s="185" t="str">
        <f t="shared" ca="1" si="181"/>
        <v>Android 11</v>
      </c>
      <c r="BB200" s="185">
        <f t="shared" ca="1" si="181"/>
        <v>7350</v>
      </c>
      <c r="BC200" s="185">
        <f t="shared" ca="1" si="181"/>
        <v>7350</v>
      </c>
      <c r="BD200" s="192" t="str">
        <f t="shared" ca="1" si="181"/>
        <v>Insmat</v>
      </c>
      <c r="BE200" s="192" t="str">
        <f t="shared" ca="1" si="181"/>
        <v>Tolerate</v>
      </c>
      <c r="BF200" s="192" t="str">
        <f t="shared" ca="1" si="181"/>
        <v>Samsung</v>
      </c>
      <c r="BG200" s="192" t="str">
        <f t="shared" ca="1" si="181"/>
        <v>Deltaco</v>
      </c>
      <c r="BH200" s="192" t="str">
        <f t="shared" ca="1" si="182"/>
        <v>Samsung</v>
      </c>
      <c r="BI200" s="192" t="str">
        <f t="shared" ca="1" si="182"/>
        <v>Insmat Rugged Armor S8</v>
      </c>
      <c r="BJ200" s="192" t="str">
        <f t="shared" ca="1" si="182"/>
        <v>TOLERATE GLASS SCREEN PROTECTOR SAMSUNG TAB S8</v>
      </c>
      <c r="BK200" s="192" t="str">
        <f t="shared" ca="1" si="182"/>
        <v>SAMSUNG FAST TRAVEL CHARGER USB-C BLACK</v>
      </c>
      <c r="BL200" s="192" t="str">
        <f t="shared" ca="1" si="182"/>
        <v>DELTACO trådlöst minitangentbord, 78 tangenter, Bluetooth, nordisk layout, dämpade tangenter, svart</v>
      </c>
      <c r="BM200" s="192" t="str">
        <f t="shared" ca="1" si="182"/>
        <v>SAMSUNG S-PEN GALAXY TAB S7</v>
      </c>
      <c r="BN200" s="192">
        <f t="shared" ca="1" si="182"/>
        <v>340</v>
      </c>
      <c r="BO200" s="185">
        <f t="shared" ca="1" si="182"/>
        <v>205</v>
      </c>
      <c r="BP200" s="192">
        <f t="shared" ca="1" si="182"/>
        <v>114</v>
      </c>
      <c r="BQ200" s="192">
        <f t="shared" ca="1" si="182"/>
        <v>156</v>
      </c>
      <c r="BR200" s="192">
        <f t="shared" ca="1" si="182"/>
        <v>360</v>
      </c>
      <c r="BS200" s="185">
        <f t="shared" ca="1" si="182"/>
        <v>1</v>
      </c>
      <c r="BT200" s="185">
        <f t="shared" ca="1" si="182"/>
        <v>60</v>
      </c>
      <c r="BU200" s="185">
        <f t="shared" ca="1" si="182"/>
        <v>50</v>
      </c>
      <c r="BV200" s="185">
        <f t="shared" ca="1" si="182"/>
        <v>0</v>
      </c>
      <c r="BW200" s="185"/>
      <c r="BX200" s="185"/>
      <c r="BY200" s="185" t="str">
        <f t="shared" ca="1" si="177"/>
        <v>Foxway Education AB</v>
      </c>
      <c r="BZ200" s="185" t="str">
        <f t="shared" ca="1" si="177"/>
        <v>Samsung</v>
      </c>
      <c r="CA200" s="63"/>
      <c r="CB200" s="63"/>
      <c r="CC200" s="63"/>
      <c r="CD200" s="63"/>
      <c r="CE200" s="63"/>
      <c r="CF200" s="63"/>
      <c r="CG200" s="63"/>
      <c r="CH200" s="63"/>
      <c r="CI200" s="63"/>
      <c r="CJ200" s="63"/>
      <c r="CK200" s="63"/>
      <c r="CL200" s="63"/>
      <c r="CM200" s="63"/>
      <c r="CN200" s="63"/>
    </row>
    <row r="201" spans="2:94" ht="30" customHeight="1" outlineLevel="1" x14ac:dyDescent="0.35">
      <c r="B201" s="69" t="s">
        <v>341</v>
      </c>
      <c r="C201" s="61" t="s">
        <v>51</v>
      </c>
      <c r="D201" s="131" t="str">
        <f>IF("Ska Ingå"=D200,"Ska Ingå","")</f>
        <v/>
      </c>
      <c r="F201" s="88" t="str">
        <f t="shared" si="183"/>
        <v/>
      </c>
      <c r="G201" s="89" t="str">
        <f t="shared" ca="1" si="184"/>
        <v>Lenovo</v>
      </c>
      <c r="H201" s="89" t="str">
        <f t="shared" ca="1" si="184"/>
        <v>eSTUFF</v>
      </c>
      <c r="I201" s="89" t="str">
        <f t="shared" ca="1" si="184"/>
        <v>ZAGG</v>
      </c>
      <c r="J201" s="62"/>
      <c r="Q201" s="185">
        <f t="shared" si="158"/>
        <v>0</v>
      </c>
      <c r="R201" s="185">
        <f t="shared" si="159"/>
        <v>0</v>
      </c>
      <c r="S201" s="185">
        <f t="shared" si="160"/>
        <v>0</v>
      </c>
      <c r="T201" s="185">
        <f t="shared" si="161"/>
        <v>0</v>
      </c>
      <c r="U201" s="185">
        <f t="shared" si="162"/>
        <v>0</v>
      </c>
      <c r="V201" s="185">
        <f t="shared" si="163"/>
        <v>0</v>
      </c>
      <c r="W201" s="185">
        <f t="shared" si="164"/>
        <v>0</v>
      </c>
      <c r="X201" s="185">
        <f t="shared" si="165"/>
        <v>0</v>
      </c>
      <c r="Y201" s="185">
        <f t="shared" si="166"/>
        <v>0</v>
      </c>
      <c r="Z201" s="196">
        <f t="shared" ca="1" si="167"/>
        <v>5256</v>
      </c>
      <c r="AA201" s="185" t="str">
        <f t="shared" si="168"/>
        <v>Offererad produktnr. 10Foxway Education AB</v>
      </c>
      <c r="AB201" s="185" t="b">
        <f>IF(D187="",TRUE,IF(COUNTIF(Processor!$M$2:$M$3,D187)=0,IF(AN201=D187,TRUE,FALSE),IF(COUNTIF(AN201,INDEX(Processor!$N$2:$N$3,MATCH(Surfplattor!D187,Processor!$M$2:$M$3,0)))&gt;0,TRUE,FALSE)))</f>
        <v>1</v>
      </c>
      <c r="AC201" s="185" t="b">
        <f>IF($D$188="",TRUE,IF(COUNTIF(Processor!$I$2:$I$9,$D$188)&gt;0,AND(AO201&gt;INDEX(Processor!$J$2:$J$9,MATCH($D$188,Processor!$I$2:$I$9,0)),AO201&lt;INDEX(Processor!$K$2:$K$9,MATCH($D$188,Processor!$I$2:$I$9,0))),IF(AO201=$D$188,TRUE,FALSE)))</f>
        <v>1</v>
      </c>
      <c r="AD201" s="185" t="b">
        <f t="shared" si="169"/>
        <v>1</v>
      </c>
      <c r="AE201" s="185" t="b">
        <f t="shared" si="170"/>
        <v>1</v>
      </c>
      <c r="AF201" s="185" t="b">
        <f t="shared" si="171"/>
        <v>1</v>
      </c>
      <c r="AG201" s="185" t="b">
        <f t="shared" si="172"/>
        <v>1</v>
      </c>
      <c r="AH201" s="185" t="b">
        <f>IF($D$193="",TRUE,IF(INDEX(Processor!$C$14:$C$20,MATCH(LEFT(AT201,10)&amp;"",Processor!$A$14:$A$20,0))&gt;=INDEX(Processor!$C$14:$C$20,MATCH(LEFT($D$193,10)&amp;"",Processor!$A$14:$A$20,0)),TRUE,FALSE))</f>
        <v>1</v>
      </c>
      <c r="AI201" s="185" t="b">
        <f t="shared" si="173"/>
        <v>1</v>
      </c>
      <c r="AJ201" s="185"/>
      <c r="AK201" s="185"/>
      <c r="AL201" s="185" t="s">
        <v>219</v>
      </c>
      <c r="AM201" s="185">
        <v>1</v>
      </c>
      <c r="AN201" s="185" t="str">
        <f t="shared" ca="1" si="180"/>
        <v>Android 10</v>
      </c>
      <c r="AO201" s="185">
        <f t="shared" ca="1" si="180"/>
        <v>11.5</v>
      </c>
      <c r="AP201" s="185" t="str">
        <f t="shared" ca="1" si="180"/>
        <v>2560x1600</v>
      </c>
      <c r="AQ201" s="185">
        <f t="shared" ca="1" si="180"/>
        <v>128</v>
      </c>
      <c r="AR201" s="185">
        <f t="shared" ca="1" si="180"/>
        <v>5</v>
      </c>
      <c r="AS201" s="185" t="str">
        <f t="shared" ca="1" si="180"/>
        <v>802.11a/b/g/n/ac</v>
      </c>
      <c r="AT201" s="185">
        <f t="shared" ca="1" si="180"/>
        <v>8</v>
      </c>
      <c r="AU201" s="185" t="str">
        <f t="shared" ca="1" si="180"/>
        <v>Ej miljömärkt</v>
      </c>
      <c r="AV201" s="185" t="str">
        <f t="shared" ca="1" si="180"/>
        <v>802.11a/b/g/n/ac</v>
      </c>
      <c r="AW201" s="185">
        <f t="shared" ca="1" si="180"/>
        <v>5</v>
      </c>
      <c r="AX201" s="185">
        <f t="shared" ca="1" si="181"/>
        <v>8</v>
      </c>
      <c r="AY201" s="185" t="str">
        <f t="shared" ca="1" si="181"/>
        <v>Tab P11 Pro</v>
      </c>
      <c r="AZ201" s="185">
        <f t="shared" ca="1" si="181"/>
        <v>0</v>
      </c>
      <c r="BA201" s="185" t="str">
        <f t="shared" ca="1" si="181"/>
        <v>Android 10</v>
      </c>
      <c r="BB201" s="185">
        <f t="shared" ca="1" si="181"/>
        <v>5256</v>
      </c>
      <c r="BC201" s="185">
        <f t="shared" ca="1" si="181"/>
        <v>5256</v>
      </c>
      <c r="BD201" s="192" t="str">
        <f t="shared" ca="1" si="181"/>
        <v>Lenovo</v>
      </c>
      <c r="BE201" s="192" t="str">
        <f t="shared" ca="1" si="181"/>
        <v>Lenovo</v>
      </c>
      <c r="BF201" s="192" t="str">
        <f t="shared" ca="1" si="181"/>
        <v>Lenovo</v>
      </c>
      <c r="BG201" s="192" t="str">
        <f t="shared" ca="1" si="181"/>
        <v>Deltaco</v>
      </c>
      <c r="BH201" s="192" t="str">
        <f t="shared" ca="1" si="182"/>
        <v>Lenovo</v>
      </c>
      <c r="BI201" s="192" t="str">
        <f t="shared" ca="1" si="182"/>
        <v>P11 Pro Folio Case &amp; Film Grey</v>
      </c>
      <c r="BJ201" s="192" t="str">
        <f t="shared" ca="1" si="182"/>
        <v>Skyddsfilm</v>
      </c>
      <c r="BK201" s="192" t="str">
        <f t="shared" ca="1" si="182"/>
        <v xml:space="preserve">Lenovo Smart Charge station </v>
      </c>
      <c r="BL201" s="192" t="str">
        <f t="shared" ca="1" si="182"/>
        <v>DELTACO trådlöst minitangentbord, 78 tangenter, Bluetooth, nordisk layout, dämpade tangenter, svart</v>
      </c>
      <c r="BM201" s="192" t="str">
        <f t="shared" ca="1" si="182"/>
        <v>Lenovo Precision Pen 2</v>
      </c>
      <c r="BN201" s="192">
        <f t="shared" ca="1" si="182"/>
        <v>210</v>
      </c>
      <c r="BO201" s="185">
        <f t="shared" ca="1" si="182"/>
        <v>276</v>
      </c>
      <c r="BP201" s="192">
        <f t="shared" ca="1" si="182"/>
        <v>240</v>
      </c>
      <c r="BQ201" s="192">
        <f t="shared" ca="1" si="182"/>
        <v>156</v>
      </c>
      <c r="BR201" s="192">
        <f t="shared" ca="1" si="182"/>
        <v>564</v>
      </c>
      <c r="BS201" s="185">
        <f t="shared" ca="1" si="182"/>
        <v>550</v>
      </c>
      <c r="BT201" s="185">
        <f t="shared" ca="1" si="182"/>
        <v>60</v>
      </c>
      <c r="BU201" s="185">
        <f t="shared" ca="1" si="182"/>
        <v>50</v>
      </c>
      <c r="BV201" s="185">
        <f t="shared" ca="1" si="182"/>
        <v>0</v>
      </c>
      <c r="BW201" s="185"/>
      <c r="BX201" s="185"/>
      <c r="BY201" s="185" t="str">
        <f t="shared" ca="1" si="177"/>
        <v>Foxway Education AB</v>
      </c>
      <c r="BZ201" s="185" t="str">
        <f t="shared" ca="1" si="177"/>
        <v>Lenovo</v>
      </c>
      <c r="CA201" s="63"/>
      <c r="CB201" s="63"/>
      <c r="CC201" s="63"/>
      <c r="CD201" s="63"/>
      <c r="CE201" s="63"/>
      <c r="CF201" s="63"/>
      <c r="CG201" s="63"/>
      <c r="CH201" s="63"/>
      <c r="CI201" s="63"/>
      <c r="CJ201" s="63"/>
      <c r="CK201" s="63"/>
      <c r="CL201" s="63"/>
      <c r="CM201" s="63"/>
      <c r="CN201" s="63"/>
    </row>
    <row r="202" spans="2:94" ht="68.25" customHeight="1" outlineLevel="1" x14ac:dyDescent="0.35">
      <c r="B202" s="69" t="s">
        <v>346</v>
      </c>
      <c r="C202" s="99" t="s">
        <v>52</v>
      </c>
      <c r="D202" s="132" t="str">
        <f>IF("Ska Ingå"=D200,"Ska Ingå","")</f>
        <v/>
      </c>
      <c r="F202" s="90" t="str">
        <f t="shared" si="183"/>
        <v/>
      </c>
      <c r="G202" s="91" t="str">
        <f t="shared" ca="1" si="184"/>
        <v>GBXLENFILM</v>
      </c>
      <c r="H202" s="91" t="str">
        <f t="shared" ca="1" si="184"/>
        <v>ES517003 - Skärmskydd för surfplatta - glas - klar - för Lenovo Tab M10 (3rd Gen)</v>
      </c>
      <c r="I202" s="91" t="str">
        <f t="shared" ca="1" si="184"/>
        <v>gbx200106077</v>
      </c>
      <c r="J202" s="73"/>
      <c r="Q202" s="185">
        <f t="shared" si="158"/>
        <v>0</v>
      </c>
      <c r="R202" s="185">
        <f t="shared" si="159"/>
        <v>0</v>
      </c>
      <c r="S202" s="185">
        <f t="shared" si="160"/>
        <v>0</v>
      </c>
      <c r="T202" s="185">
        <f t="shared" si="161"/>
        <v>0</v>
      </c>
      <c r="U202" s="185">
        <f t="shared" si="162"/>
        <v>0</v>
      </c>
      <c r="V202" s="185">
        <f t="shared" si="163"/>
        <v>0</v>
      </c>
      <c r="W202" s="185">
        <f t="shared" si="164"/>
        <v>0</v>
      </c>
      <c r="X202" s="185">
        <f t="shared" si="165"/>
        <v>0</v>
      </c>
      <c r="Y202" s="185">
        <f t="shared" si="166"/>
        <v>0</v>
      </c>
      <c r="Z202" s="196">
        <f t="shared" ca="1" si="167"/>
        <v>1700</v>
      </c>
      <c r="AA202" s="185" t="str">
        <f t="shared" si="168"/>
        <v>Offererad produktnr. 07Qlosr Göteborg AB</v>
      </c>
      <c r="AB202" s="185" t="b">
        <f>IF(D187="",TRUE,IF(COUNTIF(Processor!$M$2:$M$3,D187)=0,IF(AN202=D187,TRUE,FALSE),IF(COUNTIF(AN202,INDEX(Processor!$N$2:$N$3,MATCH(Surfplattor!D187,Processor!$M$2:$M$3,0)))&gt;0,TRUE,FALSE)))</f>
        <v>1</v>
      </c>
      <c r="AC202" s="185" t="b">
        <f>IF($D$188="",TRUE,IF(COUNTIF(Processor!$I$2:$I$9,$D$188)&gt;0,AND(AO202&gt;INDEX(Processor!$J$2:$J$9,MATCH($D$188,Processor!$I$2:$I$9,0)),AO202&lt;INDEX(Processor!$K$2:$K$9,MATCH($D$188,Processor!$I$2:$I$9,0))),IF(AO202=$D$188,TRUE,FALSE)))</f>
        <v>1</v>
      </c>
      <c r="AD202" s="185" t="b">
        <f t="shared" si="169"/>
        <v>1</v>
      </c>
      <c r="AE202" s="185" t="b">
        <f t="shared" si="170"/>
        <v>1</v>
      </c>
      <c r="AF202" s="185" t="b">
        <f t="shared" si="171"/>
        <v>1</v>
      </c>
      <c r="AG202" s="185" t="b">
        <f t="shared" si="172"/>
        <v>1</v>
      </c>
      <c r="AH202" s="185" t="b">
        <f>IF($D$193="",TRUE,IF(INDEX(Processor!$C$14:$C$20,MATCH(LEFT(AT202,10)&amp;"",Processor!$A$14:$A$20,0))&gt;=INDEX(Processor!$C$14:$C$20,MATCH(LEFT($D$193,10)&amp;"",Processor!$A$14:$A$20,0)),TRUE,FALSE))</f>
        <v>1</v>
      </c>
      <c r="AI202" s="185" t="b">
        <f t="shared" si="173"/>
        <v>1</v>
      </c>
      <c r="AJ202" s="185"/>
      <c r="AK202" s="185"/>
      <c r="AL202" s="185" t="s">
        <v>558</v>
      </c>
      <c r="AM202" s="185">
        <v>1</v>
      </c>
      <c r="AN202" s="185" t="str">
        <f t="shared" ca="1" si="180"/>
        <v>Android 9</v>
      </c>
      <c r="AO202" s="185">
        <f t="shared" ca="1" si="180"/>
        <v>10.3</v>
      </c>
      <c r="AP202" s="185" t="str">
        <f t="shared" ca="1" si="180"/>
        <v>1920x1200</v>
      </c>
      <c r="AQ202" s="185">
        <f t="shared" ca="1" si="180"/>
        <v>64</v>
      </c>
      <c r="AR202" s="185">
        <f t="shared" ca="1" si="180"/>
        <v>5</v>
      </c>
      <c r="AS202" s="185" t="str">
        <f t="shared" ca="1" si="180"/>
        <v>802.11a/b/g/n/ac</v>
      </c>
      <c r="AT202" s="185">
        <f t="shared" ca="1" si="180"/>
        <v>9</v>
      </c>
      <c r="AU202" s="185" t="str">
        <f t="shared" ca="1" si="180"/>
        <v>Ej miljömärkt</v>
      </c>
      <c r="AV202" s="185" t="str">
        <f t="shared" ca="1" si="180"/>
        <v>802.11a/b/g/n/ac</v>
      </c>
      <c r="AW202" s="185">
        <f t="shared" ca="1" si="180"/>
        <v>5</v>
      </c>
      <c r="AX202" s="185">
        <f t="shared" ca="1" si="181"/>
        <v>9</v>
      </c>
      <c r="AY202" s="185" t="str">
        <f t="shared" ca="1" si="181"/>
        <v>M10 FHD G2</v>
      </c>
      <c r="AZ202" s="185">
        <f t="shared" ca="1" si="181"/>
        <v>0</v>
      </c>
      <c r="BA202" s="185" t="str">
        <f t="shared" ca="1" si="181"/>
        <v>Android 9</v>
      </c>
      <c r="BB202" s="185">
        <f t="shared" ca="1" si="181"/>
        <v>1700</v>
      </c>
      <c r="BC202" s="185">
        <f t="shared" ca="1" si="181"/>
        <v>1700</v>
      </c>
      <c r="BD202" s="192" t="str">
        <f t="shared" ca="1" si="181"/>
        <v>Phonelife</v>
      </c>
      <c r="BE202" s="192" t="str">
        <f t="shared" ca="1" si="181"/>
        <v>Lenovo</v>
      </c>
      <c r="BF202" s="192" t="str">
        <f t="shared" ca="1" si="181"/>
        <v>Lenovo</v>
      </c>
      <c r="BG202" s="192" t="str">
        <f t="shared" ca="1" si="181"/>
        <v>DELTACO</v>
      </c>
      <c r="BH202" s="192" t="str">
        <f t="shared" ca="1" si="182"/>
        <v>Kecow</v>
      </c>
      <c r="BI202" s="192" t="str">
        <f t="shared" ca="1" si="182"/>
        <v>GBXRUGGEDLENTAB-V1</v>
      </c>
      <c r="BJ202" s="192" t="str">
        <f t="shared" ca="1" si="182"/>
        <v>GBXLENFILM</v>
      </c>
      <c r="BK202" s="192" t="str">
        <f t="shared" ca="1" si="182"/>
        <v>GBXLENCHARGE</v>
      </c>
      <c r="BL202" s="192" t="str">
        <f t="shared" ca="1" si="182"/>
        <v>GBX TB-631</v>
      </c>
      <c r="BM202" s="192" t="str">
        <f t="shared" ca="1" si="182"/>
        <v>GBXPP2PENMAGNETIC</v>
      </c>
      <c r="BN202" s="192">
        <f t="shared" ca="1" si="182"/>
        <v>325</v>
      </c>
      <c r="BO202" s="185">
        <f t="shared" ca="1" si="182"/>
        <v>180</v>
      </c>
      <c r="BP202" s="192">
        <f t="shared" ca="1" si="182"/>
        <v>220</v>
      </c>
      <c r="BQ202" s="192">
        <f t="shared" ca="1" si="182"/>
        <v>150</v>
      </c>
      <c r="BR202" s="192">
        <f t="shared" ca="1" si="182"/>
        <v>399</v>
      </c>
      <c r="BS202" s="185">
        <f t="shared" ca="1" si="182"/>
        <v>570</v>
      </c>
      <c r="BT202" s="185">
        <f t="shared" ca="1" si="182"/>
        <v>25</v>
      </c>
      <c r="BU202" s="185">
        <f t="shared" ca="1" si="182"/>
        <v>25</v>
      </c>
      <c r="BV202" s="185">
        <f t="shared" ca="1" si="182"/>
        <v>0</v>
      </c>
      <c r="BW202" s="185"/>
      <c r="BX202" s="185"/>
      <c r="BY202" s="185" t="str">
        <f t="shared" ca="1" si="177"/>
        <v>Qlosr Göteborg AB</v>
      </c>
      <c r="BZ202" s="185" t="str">
        <f t="shared" ca="1" si="177"/>
        <v>Lenovo</v>
      </c>
      <c r="CA202" s="63"/>
      <c r="CB202" s="63"/>
      <c r="CC202" s="63"/>
      <c r="CD202" s="63"/>
      <c r="CE202" s="63"/>
      <c r="CF202" s="63"/>
      <c r="CG202" s="63"/>
      <c r="CH202" s="63"/>
      <c r="CI202" s="63"/>
      <c r="CJ202" s="63"/>
      <c r="CK202" s="63"/>
      <c r="CL202" s="63"/>
      <c r="CM202" s="63"/>
      <c r="CN202" s="63"/>
    </row>
    <row r="203" spans="2:94" ht="30" customHeight="1" outlineLevel="1" x14ac:dyDescent="0.35">
      <c r="B203" s="69" t="s">
        <v>55</v>
      </c>
      <c r="C203" s="95" t="s">
        <v>371</v>
      </c>
      <c r="D203" s="70"/>
      <c r="F203" s="159" t="str">
        <f t="shared" si="183"/>
        <v/>
      </c>
      <c r="G203" s="160">
        <f t="shared" ca="1" si="184"/>
        <v>220</v>
      </c>
      <c r="H203" s="160">
        <f t="shared" ca="1" si="184"/>
        <v>108</v>
      </c>
      <c r="I203" s="160">
        <f t="shared" ca="1" si="184"/>
        <v>279</v>
      </c>
      <c r="J203" s="54"/>
      <c r="Q203" s="185">
        <f t="shared" si="158"/>
        <v>0</v>
      </c>
      <c r="R203" s="185">
        <f t="shared" si="159"/>
        <v>0</v>
      </c>
      <c r="S203" s="185">
        <f t="shared" si="160"/>
        <v>0</v>
      </c>
      <c r="T203" s="185">
        <f t="shared" si="161"/>
        <v>0</v>
      </c>
      <c r="U203" s="185">
        <f t="shared" si="162"/>
        <v>0</v>
      </c>
      <c r="V203" s="185">
        <f t="shared" si="163"/>
        <v>0</v>
      </c>
      <c r="W203" s="185">
        <f t="shared" si="164"/>
        <v>0</v>
      </c>
      <c r="X203" s="185">
        <f t="shared" si="165"/>
        <v>0</v>
      </c>
      <c r="Y203" s="185">
        <f t="shared" si="166"/>
        <v>0</v>
      </c>
      <c r="Z203" s="196">
        <f t="shared" ca="1" si="167"/>
        <v>3205</v>
      </c>
      <c r="AA203" s="185" t="str">
        <f t="shared" si="168"/>
        <v>Offererad produktnr. 08Qlosr Göteborg AB</v>
      </c>
      <c r="AB203" s="185" t="b">
        <f>IF(D187="",TRUE,IF(COUNTIF(Processor!$M$2:$M$3,D187)=0,IF(AN203=D187,TRUE,FALSE),IF(COUNTIF(AN203,INDEX(Processor!$N$2:$N$3,MATCH(Surfplattor!D187,Processor!$M$2:$M$3,0)))&gt;0,TRUE,FALSE)))</f>
        <v>1</v>
      </c>
      <c r="AC203" s="185" t="b">
        <f>IF($D$188="",TRUE,IF(COUNTIF(Processor!$I$2:$I$9,$D$188)&gt;0,AND(AO203&gt;INDEX(Processor!$J$2:$J$9,MATCH($D$188,Processor!$I$2:$I$9,0)),AO203&lt;INDEX(Processor!$K$2:$K$9,MATCH($D$188,Processor!$I$2:$I$9,0))),IF(AO203=$D$188,TRUE,FALSE)))</f>
        <v>1</v>
      </c>
      <c r="AD203" s="185" t="b">
        <f t="shared" si="169"/>
        <v>1</v>
      </c>
      <c r="AE203" s="185" t="b">
        <f t="shared" si="170"/>
        <v>1</v>
      </c>
      <c r="AF203" s="185" t="b">
        <f t="shared" si="171"/>
        <v>1</v>
      </c>
      <c r="AG203" s="185" t="b">
        <f t="shared" si="172"/>
        <v>1</v>
      </c>
      <c r="AH203" s="185" t="b">
        <f>IF($D$193="",TRUE,IF(INDEX(Processor!$C$14:$C$20,MATCH(LEFT(AT203,10)&amp;"",Processor!$A$14:$A$20,0))&gt;=INDEX(Processor!$C$14:$C$20,MATCH(LEFT($D$193,10)&amp;"",Processor!$A$14:$A$20,0)),TRUE,FALSE))</f>
        <v>1</v>
      </c>
      <c r="AI203" s="185" t="b">
        <f t="shared" si="173"/>
        <v>1</v>
      </c>
      <c r="AJ203" s="185"/>
      <c r="AK203" s="185"/>
      <c r="AL203" s="185" t="s">
        <v>559</v>
      </c>
      <c r="AM203" s="185">
        <v>1</v>
      </c>
      <c r="AN203" s="185" t="str">
        <f t="shared" ca="1" si="180"/>
        <v>iPadOS 15</v>
      </c>
      <c r="AO203" s="185">
        <f t="shared" ca="1" si="180"/>
        <v>10.199999999999999</v>
      </c>
      <c r="AP203" s="185" t="str">
        <f t="shared" ca="1" si="180"/>
        <v>2160x1620</v>
      </c>
      <c r="AQ203" s="185">
        <f t="shared" ca="1" si="180"/>
        <v>64</v>
      </c>
      <c r="AR203" s="185">
        <f t="shared" ca="1" si="180"/>
        <v>4.2</v>
      </c>
      <c r="AS203" s="185" t="str">
        <f t="shared" ca="1" si="180"/>
        <v>802.11a/b/g/n/ac</v>
      </c>
      <c r="AT203" s="185">
        <f t="shared" ca="1" si="180"/>
        <v>10</v>
      </c>
      <c r="AU203" s="185" t="str">
        <f t="shared" ca="1" si="180"/>
        <v>Ej miljömärkt</v>
      </c>
      <c r="AV203" s="185" t="str">
        <f t="shared" ca="1" si="180"/>
        <v>802.11a/b/g/n/ac</v>
      </c>
      <c r="AW203" s="185">
        <f t="shared" ca="1" si="180"/>
        <v>4.2</v>
      </c>
      <c r="AX203" s="185">
        <f t="shared" ca="1" si="181"/>
        <v>10</v>
      </c>
      <c r="AY203" s="185" t="str">
        <f t="shared" ca="1" si="181"/>
        <v>iPad 9th gen (2021)</v>
      </c>
      <c r="AZ203" s="185">
        <f t="shared" ca="1" si="181"/>
        <v>0</v>
      </c>
      <c r="BA203" s="185" t="str">
        <f t="shared" ca="1" si="181"/>
        <v>iPadOS 15</v>
      </c>
      <c r="BB203" s="185">
        <f t="shared" ca="1" si="181"/>
        <v>3205</v>
      </c>
      <c r="BC203" s="185">
        <f t="shared" ca="1" si="181"/>
        <v>3205</v>
      </c>
      <c r="BD203" s="192" t="str">
        <f t="shared" ca="1" si="181"/>
        <v>Otterbox Defender Series</v>
      </c>
      <c r="BE203" s="192" t="str">
        <f t="shared" ca="1" si="181"/>
        <v>ZAGG</v>
      </c>
      <c r="BF203" s="192" t="str">
        <f t="shared" ca="1" si="181"/>
        <v>Belkin</v>
      </c>
      <c r="BG203" s="192" t="str">
        <f t="shared" ca="1" si="181"/>
        <v>DELTACO</v>
      </c>
      <c r="BH203" s="192" t="str">
        <f t="shared" ca="1" si="182"/>
        <v>Apple</v>
      </c>
      <c r="BI203" s="192" t="str">
        <f t="shared" ca="1" si="182"/>
        <v>GBX77-62032</v>
      </c>
      <c r="BJ203" s="192" t="str">
        <f t="shared" ca="1" si="182"/>
        <v>gbx200106077</v>
      </c>
      <c r="BK203" s="192" t="str">
        <f t="shared" ca="1" si="182"/>
        <v>GBXWCA003VF04WH</v>
      </c>
      <c r="BL203" s="192" t="str">
        <f t="shared" ca="1" si="182"/>
        <v>GBX TB-631</v>
      </c>
      <c r="BM203" s="192" t="str">
        <f t="shared" ca="1" si="182"/>
        <v>MK0C2ZM/A</v>
      </c>
      <c r="BN203" s="192">
        <f t="shared" ca="1" si="182"/>
        <v>460</v>
      </c>
      <c r="BO203" s="185">
        <f t="shared" ca="1" si="182"/>
        <v>189</v>
      </c>
      <c r="BP203" s="192">
        <f t="shared" ca="1" si="182"/>
        <v>279</v>
      </c>
      <c r="BQ203" s="192">
        <f t="shared" ca="1" si="182"/>
        <v>150</v>
      </c>
      <c r="BR203" s="192">
        <f t="shared" ca="1" si="182"/>
        <v>839</v>
      </c>
      <c r="BS203" s="185">
        <f t="shared" ca="1" si="182"/>
        <v>514</v>
      </c>
      <c r="BT203" s="185">
        <f t="shared" ca="1" si="182"/>
        <v>25</v>
      </c>
      <c r="BU203" s="185">
        <f t="shared" ca="1" si="182"/>
        <v>25</v>
      </c>
      <c r="BV203" s="185">
        <f t="shared" ca="1" si="182"/>
        <v>0</v>
      </c>
      <c r="BW203" s="185"/>
      <c r="BX203" s="185"/>
      <c r="BY203" s="185" t="str">
        <f t="shared" ca="1" si="177"/>
        <v>Qlosr Göteborg AB</v>
      </c>
      <c r="BZ203" s="185" t="str">
        <f t="shared" ca="1" si="177"/>
        <v>Apple</v>
      </c>
      <c r="CA203" s="63"/>
      <c r="CB203" s="63"/>
      <c r="CC203" s="63"/>
      <c r="CD203" s="63"/>
      <c r="CE203" s="63"/>
      <c r="CF203" s="63"/>
      <c r="CG203" s="63"/>
      <c r="CH203" s="63"/>
      <c r="CI203" s="63"/>
      <c r="CJ203" s="63"/>
      <c r="CK203" s="63"/>
      <c r="CL203" s="63"/>
      <c r="CM203" s="63"/>
      <c r="CN203" s="63"/>
    </row>
    <row r="204" spans="2:94" ht="30" customHeight="1" outlineLevel="1" x14ac:dyDescent="0.35">
      <c r="B204" s="69" t="s">
        <v>342</v>
      </c>
      <c r="C204" s="96" t="s">
        <v>51</v>
      </c>
      <c r="D204" s="131" t="str">
        <f>IF("Ska Ingå"=D203,"Ska Ingå","")</f>
        <v/>
      </c>
      <c r="F204" s="84" t="str">
        <f t="shared" si="183"/>
        <v/>
      </c>
      <c r="G204" s="85" t="str">
        <f t="shared" ca="1" si="184"/>
        <v>Lenovo</v>
      </c>
      <c r="H204" s="85" t="str">
        <f t="shared" ca="1" si="184"/>
        <v>CoreParts</v>
      </c>
      <c r="I204" s="85" t="str">
        <f t="shared" ca="1" si="184"/>
        <v>Belkin</v>
      </c>
      <c r="J204" s="73"/>
      <c r="Q204" s="185">
        <f t="shared" si="158"/>
        <v>0</v>
      </c>
      <c r="R204" s="185">
        <f t="shared" si="159"/>
        <v>0</v>
      </c>
      <c r="S204" s="185">
        <f t="shared" si="160"/>
        <v>0</v>
      </c>
      <c r="T204" s="185">
        <f t="shared" si="161"/>
        <v>0</v>
      </c>
      <c r="U204" s="185">
        <f t="shared" si="162"/>
        <v>0</v>
      </c>
      <c r="V204" s="185">
        <f t="shared" si="163"/>
        <v>0</v>
      </c>
      <c r="W204" s="185">
        <f t="shared" si="164"/>
        <v>0</v>
      </c>
      <c r="X204" s="185">
        <f t="shared" si="165"/>
        <v>0</v>
      </c>
      <c r="Y204" s="185">
        <f t="shared" si="166"/>
        <v>0</v>
      </c>
      <c r="Z204" s="196">
        <f t="shared" ca="1" si="167"/>
        <v>7256</v>
      </c>
      <c r="AA204" s="185" t="str">
        <f t="shared" si="168"/>
        <v>Offererad produktnr. 09Qlosr Göteborg AB</v>
      </c>
      <c r="AB204" s="185" t="b">
        <f>IF(D187="",TRUE,IF(COUNTIF(Processor!$M$2:$M$3,D187)=0,IF(AN204=D187,TRUE,FALSE),IF(COUNTIF(AN204,INDEX(Processor!$N$2:$N$3,MATCH(Surfplattor!D187,Processor!$M$2:$M$3,0)))&gt;0,TRUE,FALSE)))</f>
        <v>1</v>
      </c>
      <c r="AC204" s="185" t="b">
        <f>IF($D$188="",TRUE,IF(COUNTIF(Processor!$I$2:$I$9,$D$188)&gt;0,AND(AO204&gt;INDEX(Processor!$J$2:$J$9,MATCH($D$188,Processor!$I$2:$I$9,0)),AO204&lt;INDEX(Processor!$K$2:$K$9,MATCH($D$188,Processor!$I$2:$I$9,0))),IF(AO204=$D$188,TRUE,FALSE)))</f>
        <v>1</v>
      </c>
      <c r="AD204" s="185" t="b">
        <f t="shared" si="169"/>
        <v>1</v>
      </c>
      <c r="AE204" s="185" t="b">
        <f t="shared" si="170"/>
        <v>1</v>
      </c>
      <c r="AF204" s="185" t="b">
        <f t="shared" si="171"/>
        <v>1</v>
      </c>
      <c r="AG204" s="185" t="b">
        <f t="shared" si="172"/>
        <v>1</v>
      </c>
      <c r="AH204" s="185" t="b">
        <f>IF($D$193="",TRUE,IF(INDEX(Processor!$C$14:$C$20,MATCH(LEFT(AT204,10)&amp;"",Processor!$A$14:$A$20,0))&gt;=INDEX(Processor!$C$14:$C$20,MATCH(LEFT($D$193,10)&amp;"",Processor!$A$14:$A$20,0)),TRUE,FALSE))</f>
        <v>1</v>
      </c>
      <c r="AI204" s="185" t="b">
        <f t="shared" si="173"/>
        <v>1</v>
      </c>
      <c r="AJ204" s="185"/>
      <c r="AK204" s="185"/>
      <c r="AL204" s="185" t="s">
        <v>560</v>
      </c>
      <c r="AM204" s="185">
        <v>1</v>
      </c>
      <c r="AN204" s="185" t="str">
        <f t="shared" ca="1" si="180"/>
        <v>iPadOS 14</v>
      </c>
      <c r="AO204" s="185">
        <f t="shared" ca="1" si="180"/>
        <v>11</v>
      </c>
      <c r="AP204" s="185" t="str">
        <f t="shared" ca="1" si="180"/>
        <v>2388x1668</v>
      </c>
      <c r="AQ204" s="185">
        <f t="shared" ca="1" si="180"/>
        <v>128</v>
      </c>
      <c r="AR204" s="185">
        <f t="shared" ca="1" si="180"/>
        <v>5</v>
      </c>
      <c r="AS204" s="185" t="str">
        <f t="shared" ca="1" si="180"/>
        <v>802.11a/b/g/n/ac/ax</v>
      </c>
      <c r="AT204" s="185">
        <f t="shared" ca="1" si="180"/>
        <v>10</v>
      </c>
      <c r="AU204" s="185" t="str">
        <f t="shared" ca="1" si="180"/>
        <v>Ej miljömärkt</v>
      </c>
      <c r="AV204" s="185" t="str">
        <f t="shared" ca="1" si="180"/>
        <v>802.11a/b/g/n/ac/ax</v>
      </c>
      <c r="AW204" s="185">
        <f t="shared" ca="1" si="180"/>
        <v>5</v>
      </c>
      <c r="AX204" s="185">
        <f t="shared" ca="1" si="181"/>
        <v>10</v>
      </c>
      <c r="AY204" s="185" t="str">
        <f t="shared" ca="1" si="181"/>
        <v>Ipad Pro 11 tum</v>
      </c>
      <c r="AZ204" s="185">
        <f t="shared" ca="1" si="181"/>
        <v>0</v>
      </c>
      <c r="BA204" s="185" t="str">
        <f t="shared" ca="1" si="181"/>
        <v>iPadOS 14</v>
      </c>
      <c r="BB204" s="185">
        <f t="shared" ca="1" si="181"/>
        <v>7256</v>
      </c>
      <c r="BC204" s="185">
        <f t="shared" ca="1" si="181"/>
        <v>7256</v>
      </c>
      <c r="BD204" s="192" t="str">
        <f t="shared" ca="1" si="181"/>
        <v>Otterbox Defender Series</v>
      </c>
      <c r="BE204" s="192" t="str">
        <f t="shared" ca="1" si="181"/>
        <v>ZAGG</v>
      </c>
      <c r="BF204" s="192" t="str">
        <f t="shared" ca="1" si="181"/>
        <v>Belkin</v>
      </c>
      <c r="BG204" s="192" t="str">
        <f t="shared" ca="1" si="181"/>
        <v>DELTACO</v>
      </c>
      <c r="BH204" s="192" t="str">
        <f t="shared" ca="1" si="182"/>
        <v>Apple</v>
      </c>
      <c r="BI204" s="192" t="str">
        <f t="shared" ca="1" si="182"/>
        <v>GBX77-82261</v>
      </c>
      <c r="BJ204" s="192" t="str">
        <f t="shared" ca="1" si="182"/>
        <v>GBX200108138</v>
      </c>
      <c r="BK204" s="192" t="str">
        <f t="shared" ca="1" si="182"/>
        <v>GBXF7U074vf04-SLV</v>
      </c>
      <c r="BL204" s="192" t="str">
        <f t="shared" ca="1" si="182"/>
        <v>GBX TB-631</v>
      </c>
      <c r="BM204" s="192" t="str">
        <f t="shared" ca="1" si="182"/>
        <v>MU8F2ZM/A</v>
      </c>
      <c r="BN204" s="192">
        <f t="shared" ca="1" si="182"/>
        <v>435</v>
      </c>
      <c r="BO204" s="185">
        <f t="shared" ca="1" si="182"/>
        <v>179</v>
      </c>
      <c r="BP204" s="192">
        <f t="shared" ca="1" si="182"/>
        <v>355</v>
      </c>
      <c r="BQ204" s="192">
        <f t="shared" ca="1" si="182"/>
        <v>150</v>
      </c>
      <c r="BR204" s="192">
        <f t="shared" ca="1" si="182"/>
        <v>1145</v>
      </c>
      <c r="BS204" s="185">
        <f t="shared" ca="1" si="182"/>
        <v>724</v>
      </c>
      <c r="BT204" s="185">
        <f t="shared" ca="1" si="182"/>
        <v>25</v>
      </c>
      <c r="BU204" s="185">
        <f t="shared" ca="1" si="182"/>
        <v>25</v>
      </c>
      <c r="BV204" s="185">
        <f t="shared" ca="1" si="182"/>
        <v>0</v>
      </c>
      <c r="BW204" s="185"/>
      <c r="BX204" s="185"/>
      <c r="BY204" s="185" t="str">
        <f t="shared" ca="1" si="177"/>
        <v>Qlosr Göteborg AB</v>
      </c>
      <c r="BZ204" s="185" t="str">
        <f t="shared" ca="1" si="177"/>
        <v>Apple</v>
      </c>
      <c r="CA204" s="63"/>
      <c r="CB204" s="63"/>
      <c r="CC204" s="63"/>
      <c r="CD204" s="63"/>
      <c r="CE204" s="63"/>
      <c r="CF204" s="63"/>
      <c r="CG204" s="63"/>
      <c r="CH204" s="63"/>
      <c r="CI204" s="63"/>
      <c r="CJ204" s="63"/>
      <c r="CK204" s="63"/>
      <c r="CL204" s="63"/>
      <c r="CM204" s="63"/>
      <c r="CN204" s="63"/>
    </row>
    <row r="205" spans="2:94" ht="67.5" customHeight="1" outlineLevel="1" x14ac:dyDescent="0.35">
      <c r="B205" s="69" t="s">
        <v>347</v>
      </c>
      <c r="C205" s="97" t="s">
        <v>52</v>
      </c>
      <c r="D205" s="132" t="str">
        <f>IF("Ska Ingå"=D203,"Ska Ingå","")</f>
        <v/>
      </c>
      <c r="F205" s="86" t="str">
        <f t="shared" si="183"/>
        <v/>
      </c>
      <c r="G205" s="87" t="str">
        <f t="shared" ca="1" si="184"/>
        <v>GBXLENCHARGE</v>
      </c>
      <c r="H205" s="87" t="str">
        <f t="shared" ca="1" si="184"/>
        <v>MBXUSB-AC0011 - Strömadapter - 12 Watt - 2.4 A (USB) - på kabel: USB-C - vit - med USB-C cable (2m)</v>
      </c>
      <c r="I205" s="87" t="str">
        <f t="shared" ca="1" si="184"/>
        <v>GBXWCA003VF04WH</v>
      </c>
      <c r="J205" s="54"/>
      <c r="Q205" s="185">
        <f t="shared" si="158"/>
        <v>0</v>
      </c>
      <c r="R205" s="185">
        <f t="shared" si="159"/>
        <v>0</v>
      </c>
      <c r="S205" s="185">
        <f t="shared" si="160"/>
        <v>0</v>
      </c>
      <c r="T205" s="185">
        <f t="shared" si="161"/>
        <v>0</v>
      </c>
      <c r="U205" s="185">
        <f t="shared" si="162"/>
        <v>0</v>
      </c>
      <c r="V205" s="185">
        <f t="shared" si="163"/>
        <v>0</v>
      </c>
      <c r="W205" s="185">
        <f t="shared" si="164"/>
        <v>0</v>
      </c>
      <c r="X205" s="185">
        <f t="shared" si="165"/>
        <v>0</v>
      </c>
      <c r="Y205" s="185">
        <f t="shared" si="166"/>
        <v>0</v>
      </c>
      <c r="Z205" s="196">
        <f t="shared" ca="1" si="167"/>
        <v>4710</v>
      </c>
      <c r="AA205" s="185" t="str">
        <f t="shared" si="168"/>
        <v>Offererad produktnr. 10Qlosr Göteborg AB</v>
      </c>
      <c r="AB205" s="185" t="b">
        <f>IF(D187="",TRUE,IF(COUNTIF(Processor!$M$2:$M$3,D187)=0,IF(AN205=D187,TRUE,FALSE),IF(COUNTIF(AN205,INDEX(Processor!$N$2:$N$3,MATCH(Surfplattor!D187,Processor!$M$2:$M$3,0)))&gt;0,TRUE,FALSE)))</f>
        <v>1</v>
      </c>
      <c r="AC205" s="185" t="b">
        <f>IF($D$188="",TRUE,IF(COUNTIF(Processor!$I$2:$I$9,$D$188)&gt;0,AND(AO205&gt;INDEX(Processor!$J$2:$J$9,MATCH($D$188,Processor!$I$2:$I$9,0)),AO205&lt;INDEX(Processor!$K$2:$K$9,MATCH($D$188,Processor!$I$2:$I$9,0))),IF(AO205=$D$188,TRUE,FALSE)))</f>
        <v>1</v>
      </c>
      <c r="AD205" s="185" t="b">
        <f t="shared" si="169"/>
        <v>1</v>
      </c>
      <c r="AE205" s="185" t="b">
        <f t="shared" si="170"/>
        <v>1</v>
      </c>
      <c r="AF205" s="185" t="b">
        <f t="shared" si="171"/>
        <v>1</v>
      </c>
      <c r="AG205" s="185" t="b">
        <f t="shared" si="172"/>
        <v>1</v>
      </c>
      <c r="AH205" s="185" t="b">
        <f>IF($D$193="",TRUE,IF(INDEX(Processor!$C$14:$C$20,MATCH(LEFT(AT205,10)&amp;"",Processor!$A$14:$A$20,0))&gt;=INDEX(Processor!$C$14:$C$20,MATCH(LEFT($D$193,10)&amp;"",Processor!$A$14:$A$20,0)),TRUE,FALSE))</f>
        <v>1</v>
      </c>
      <c r="AI205" s="185" t="b">
        <f t="shared" si="173"/>
        <v>1</v>
      </c>
      <c r="AJ205" s="185"/>
      <c r="AK205" s="185"/>
      <c r="AL205" s="185" t="s">
        <v>561</v>
      </c>
      <c r="AM205" s="185">
        <v>1</v>
      </c>
      <c r="AN205" s="185" t="str">
        <f t="shared" ca="1" si="180"/>
        <v>Android 10</v>
      </c>
      <c r="AO205" s="185">
        <f t="shared" ca="1" si="180"/>
        <v>11.5</v>
      </c>
      <c r="AP205" s="185" t="str">
        <f t="shared" ca="1" si="180"/>
        <v>2560x1600</v>
      </c>
      <c r="AQ205" s="185">
        <f t="shared" ca="1" si="180"/>
        <v>128</v>
      </c>
      <c r="AR205" s="185">
        <f t="shared" ca="1" si="180"/>
        <v>5</v>
      </c>
      <c r="AS205" s="185" t="str">
        <f t="shared" ca="1" si="180"/>
        <v>802.11a/b/g/n/ac</v>
      </c>
      <c r="AT205" s="185">
        <f t="shared" ca="1" si="180"/>
        <v>8</v>
      </c>
      <c r="AU205" s="185" t="str">
        <f t="shared" ca="1" si="180"/>
        <v>Ej miljömärkt</v>
      </c>
      <c r="AV205" s="185" t="str">
        <f t="shared" ca="1" si="180"/>
        <v>802.11a/b/g/n/ac</v>
      </c>
      <c r="AW205" s="185">
        <f t="shared" ca="1" si="180"/>
        <v>5</v>
      </c>
      <c r="AX205" s="185">
        <f t="shared" ca="1" si="181"/>
        <v>8</v>
      </c>
      <c r="AY205" s="185" t="str">
        <f t="shared" ca="1" si="181"/>
        <v>Lenovo Tab P11 Pro ZA7C 128GB</v>
      </c>
      <c r="AZ205" s="185">
        <f t="shared" ca="1" si="181"/>
        <v>0</v>
      </c>
      <c r="BA205" s="185" t="str">
        <f t="shared" ca="1" si="181"/>
        <v>Android 10</v>
      </c>
      <c r="BB205" s="185">
        <f t="shared" ca="1" si="181"/>
        <v>4710</v>
      </c>
      <c r="BC205" s="185">
        <f t="shared" ca="1" si="181"/>
        <v>4710</v>
      </c>
      <c r="BD205" s="192" t="str">
        <f t="shared" ca="1" si="181"/>
        <v>Phonelife</v>
      </c>
      <c r="BE205" s="192" t="str">
        <f t="shared" ca="1" si="181"/>
        <v>Lenovo</v>
      </c>
      <c r="BF205" s="192" t="str">
        <f t="shared" ca="1" si="181"/>
        <v>Lenovo</v>
      </c>
      <c r="BG205" s="192" t="str">
        <f t="shared" ca="1" si="181"/>
        <v>DELTACO</v>
      </c>
      <c r="BH205" s="192" t="str">
        <f t="shared" ca="1" si="182"/>
        <v>Kecow</v>
      </c>
      <c r="BI205" s="192" t="str">
        <f t="shared" ca="1" si="182"/>
        <v>GBXRUGGEDLENTAB-V2</v>
      </c>
      <c r="BJ205" s="192" t="str">
        <f t="shared" ca="1" si="182"/>
        <v>GBXLENFILM</v>
      </c>
      <c r="BK205" s="192" t="str">
        <f t="shared" ca="1" si="182"/>
        <v>GBXLENCHARGE</v>
      </c>
      <c r="BL205" s="192" t="str">
        <f t="shared" ca="1" si="182"/>
        <v>GBX TB-631</v>
      </c>
      <c r="BM205" s="192" t="str">
        <f t="shared" ca="1" si="182"/>
        <v>GBXPP2PENMAGNETIC</v>
      </c>
      <c r="BN205" s="192">
        <f t="shared" ca="1" si="182"/>
        <v>330</v>
      </c>
      <c r="BO205" s="185">
        <f t="shared" ca="1" si="182"/>
        <v>180</v>
      </c>
      <c r="BP205" s="192">
        <f t="shared" ca="1" si="182"/>
        <v>220</v>
      </c>
      <c r="BQ205" s="192">
        <f t="shared" ca="1" si="182"/>
        <v>150</v>
      </c>
      <c r="BR205" s="192">
        <f t="shared" ca="1" si="182"/>
        <v>399</v>
      </c>
      <c r="BS205" s="185">
        <f t="shared" ca="1" si="182"/>
        <v>560</v>
      </c>
      <c r="BT205" s="185">
        <f t="shared" ca="1" si="182"/>
        <v>25</v>
      </c>
      <c r="BU205" s="185">
        <f t="shared" ca="1" si="182"/>
        <v>25</v>
      </c>
      <c r="BV205" s="185">
        <f t="shared" ca="1" si="182"/>
        <v>0</v>
      </c>
      <c r="BW205" s="185"/>
      <c r="BX205" s="185"/>
      <c r="BY205" s="185" t="str">
        <f t="shared" ca="1" si="177"/>
        <v>Qlosr Göteborg AB</v>
      </c>
      <c r="BZ205" s="185" t="str">
        <f t="shared" ca="1" si="177"/>
        <v>Lenovo</v>
      </c>
      <c r="CA205" s="63"/>
      <c r="CB205" s="63"/>
      <c r="CC205" s="63"/>
      <c r="CD205" s="63"/>
      <c r="CE205" s="63"/>
      <c r="CF205" s="63"/>
      <c r="CG205" s="63"/>
      <c r="CH205" s="63"/>
      <c r="CI205" s="63"/>
      <c r="CJ205" s="63"/>
      <c r="CK205" s="63"/>
      <c r="CL205" s="63"/>
      <c r="CM205" s="63"/>
      <c r="CN205" s="63"/>
    </row>
    <row r="206" spans="2:94" ht="30" customHeight="1" outlineLevel="1" x14ac:dyDescent="0.35">
      <c r="B206" s="69" t="s">
        <v>59</v>
      </c>
      <c r="C206" s="98" t="s">
        <v>374</v>
      </c>
      <c r="D206" s="70"/>
      <c r="F206" s="157" t="str">
        <f t="shared" si="183"/>
        <v/>
      </c>
      <c r="G206" s="158">
        <f t="shared" ca="1" si="184"/>
        <v>150</v>
      </c>
      <c r="H206" s="158">
        <f t="shared" ca="1" si="184"/>
        <v>169</v>
      </c>
      <c r="I206" s="158">
        <f t="shared" ca="1" si="184"/>
        <v>150</v>
      </c>
      <c r="J206" s="73"/>
      <c r="BD206" s="63"/>
      <c r="BE206" s="63"/>
      <c r="BF206" s="63"/>
      <c r="BG206" s="63"/>
      <c r="BH206" s="63"/>
      <c r="BI206" s="63"/>
      <c r="BJ206" s="63"/>
      <c r="BK206" s="63"/>
      <c r="BL206" s="63"/>
      <c r="BM206" s="63"/>
      <c r="BN206" s="63"/>
      <c r="BP206" s="63"/>
      <c r="BQ206" s="63"/>
      <c r="BR206" s="63"/>
    </row>
    <row r="207" spans="2:94" ht="30" customHeight="1" outlineLevel="1" x14ac:dyDescent="0.35">
      <c r="B207" s="69" t="s">
        <v>343</v>
      </c>
      <c r="C207" s="61" t="s">
        <v>51</v>
      </c>
      <c r="D207" s="131" t="str">
        <f>IF("Ska Ingå"=D206,"Ska Ingå","")</f>
        <v/>
      </c>
      <c r="F207" s="88" t="str">
        <f t="shared" si="183"/>
        <v/>
      </c>
      <c r="G207" s="89" t="str">
        <f t="shared" ca="1" si="184"/>
        <v>DELTACO</v>
      </c>
      <c r="H207" s="89" t="str">
        <f t="shared" ca="1" si="184"/>
        <v>DELTACO</v>
      </c>
      <c r="I207" s="89" t="str">
        <f t="shared" ca="1" si="184"/>
        <v>DELTACO</v>
      </c>
      <c r="J207" s="54"/>
      <c r="BD207" s="63"/>
      <c r="BE207" s="63"/>
      <c r="BF207" s="63"/>
      <c r="BG207" s="63"/>
      <c r="BH207" s="63"/>
      <c r="BI207" s="63"/>
      <c r="BJ207" s="63"/>
      <c r="BK207" s="63"/>
      <c r="BL207" s="63"/>
      <c r="BM207" s="63"/>
      <c r="BN207" s="63"/>
      <c r="BP207" s="63"/>
      <c r="BQ207" s="63"/>
      <c r="BR207" s="63"/>
    </row>
    <row r="208" spans="2:94" ht="45" customHeight="1" outlineLevel="1" x14ac:dyDescent="0.35">
      <c r="B208" s="69" t="s">
        <v>348</v>
      </c>
      <c r="C208" s="99" t="s">
        <v>52</v>
      </c>
      <c r="D208" s="132" t="str">
        <f>IF("Ska Ingå"=D206,"Ska Ingå","")</f>
        <v/>
      </c>
      <c r="F208" s="90" t="str">
        <f t="shared" si="183"/>
        <v/>
      </c>
      <c r="G208" s="91" t="str">
        <f t="shared" ca="1" si="184"/>
        <v>GBX TB-631</v>
      </c>
      <c r="H208" s="91" t="str">
        <f t="shared" ca="1" si="184"/>
        <v>TB-631</v>
      </c>
      <c r="I208" s="91" t="str">
        <f t="shared" ca="1" si="184"/>
        <v>GBX TB-631</v>
      </c>
      <c r="BD208" s="63"/>
      <c r="BE208" s="63"/>
      <c r="BF208" s="63"/>
      <c r="BG208" s="63"/>
      <c r="BH208" s="63"/>
      <c r="BI208" s="63"/>
      <c r="BJ208" s="63"/>
      <c r="BK208" s="63"/>
      <c r="BL208" s="63"/>
      <c r="BM208" s="63"/>
      <c r="BN208" s="63"/>
      <c r="BP208" s="63"/>
      <c r="BQ208" s="63"/>
      <c r="BR208" s="63"/>
    </row>
    <row r="209" spans="2:92" ht="30" customHeight="1" outlineLevel="1" x14ac:dyDescent="0.35">
      <c r="B209" s="69" t="s">
        <v>227</v>
      </c>
      <c r="C209" s="95" t="s">
        <v>375</v>
      </c>
      <c r="D209" s="70"/>
      <c r="F209" s="159" t="str">
        <f t="shared" si="183"/>
        <v/>
      </c>
      <c r="G209" s="160">
        <f t="shared" ca="1" si="184"/>
        <v>399</v>
      </c>
      <c r="H209" s="160">
        <f t="shared" ca="1" si="184"/>
        <v>595</v>
      </c>
      <c r="I209" s="160">
        <f t="shared" ca="1" si="184"/>
        <v>839</v>
      </c>
      <c r="BD209" s="63"/>
      <c r="BE209" s="63"/>
      <c r="BF209" s="63"/>
      <c r="BG209" s="63"/>
      <c r="BH209" s="63"/>
      <c r="BI209" s="63"/>
      <c r="BJ209" s="63"/>
      <c r="BK209" s="63"/>
      <c r="BL209" s="63"/>
      <c r="BM209" s="63"/>
      <c r="BN209" s="63"/>
      <c r="BP209" s="63"/>
      <c r="BQ209" s="63"/>
      <c r="BR209" s="63"/>
    </row>
    <row r="210" spans="2:92" ht="30" customHeight="1" outlineLevel="1" x14ac:dyDescent="0.35">
      <c r="B210" s="69" t="s">
        <v>344</v>
      </c>
      <c r="C210" s="96" t="s">
        <v>51</v>
      </c>
      <c r="D210" s="131" t="str">
        <f>IF("Ska Ingå"=D209,"Ska Ingå","")</f>
        <v/>
      </c>
      <c r="F210" s="84" t="str">
        <f t="shared" si="183"/>
        <v/>
      </c>
      <c r="G210" s="85" t="str">
        <f t="shared" ca="1" si="184"/>
        <v>Kecow</v>
      </c>
      <c r="H210" s="85" t="str">
        <f t="shared" ca="1" si="184"/>
        <v xml:space="preserve">ZAGG </v>
      </c>
      <c r="I210" s="85" t="str">
        <f t="shared" ca="1" si="184"/>
        <v>Apple</v>
      </c>
      <c r="BD210" s="63"/>
      <c r="BE210" s="63"/>
      <c r="BF210" s="63"/>
      <c r="BG210" s="63"/>
      <c r="BH210" s="63"/>
      <c r="BI210" s="63"/>
      <c r="BJ210" s="63"/>
      <c r="BK210" s="63"/>
      <c r="BL210" s="63"/>
      <c r="BM210" s="63"/>
      <c r="BN210" s="63"/>
      <c r="BP210" s="63"/>
      <c r="BQ210" s="63"/>
      <c r="BR210" s="63"/>
    </row>
    <row r="211" spans="2:92" ht="67.5" customHeight="1" outlineLevel="1" x14ac:dyDescent="0.35">
      <c r="B211" s="69" t="s">
        <v>349</v>
      </c>
      <c r="C211" s="116" t="s">
        <v>52</v>
      </c>
      <c r="D211" s="132" t="str">
        <f>IF("Ska Ingå"=D209,"Ska Ingå","")</f>
        <v/>
      </c>
      <c r="F211" s="117" t="str">
        <f t="shared" si="183"/>
        <v/>
      </c>
      <c r="G211" s="118" t="str">
        <f t="shared" ca="1" si="184"/>
        <v>GBXPP2PENMAGNETIC</v>
      </c>
      <c r="H211" s="118" t="str">
        <f t="shared" ca="1" si="184"/>
        <v>109912139 - Pro Stylus 2 - Aktiv penna - grå</v>
      </c>
      <c r="I211" s="118" t="str">
        <f t="shared" ca="1" si="184"/>
        <v>MK0C2ZM/A</v>
      </c>
      <c r="BD211" s="63"/>
      <c r="BE211" s="63"/>
      <c r="BF211" s="63"/>
      <c r="BG211" s="63"/>
      <c r="BH211" s="63"/>
      <c r="BI211" s="63"/>
      <c r="BJ211" s="63"/>
      <c r="BK211" s="63"/>
      <c r="BL211" s="63"/>
      <c r="BM211" s="63"/>
      <c r="BN211" s="63"/>
      <c r="BP211" s="63"/>
      <c r="BQ211" s="63"/>
      <c r="BR211" s="63"/>
    </row>
    <row r="212" spans="2:92" ht="22.5" customHeight="1" outlineLevel="1" x14ac:dyDescent="0.35">
      <c r="B212" s="69"/>
      <c r="C212" s="212" t="s">
        <v>365</v>
      </c>
      <c r="D212" s="215"/>
      <c r="E212" s="213"/>
      <c r="F212" s="213"/>
      <c r="G212" s="213"/>
      <c r="H212" s="213"/>
      <c r="I212" s="214"/>
    </row>
    <row r="213" spans="2:92" ht="22.5" customHeight="1" outlineLevel="1" x14ac:dyDescent="0.35">
      <c r="B213" s="71" t="s">
        <v>228</v>
      </c>
      <c r="C213" s="115" t="s">
        <v>367</v>
      </c>
      <c r="D213" s="70"/>
      <c r="F213" s="161" t="str">
        <f>IF(F$184="Inget antal angivet","",IFERROR(INDEX($AN$185:$BZ$211,MATCH(F$181,$AL$185:$AL$211,0),MATCH($B213,$AN$185:$BZ$185,0)),""))</f>
        <v/>
      </c>
      <c r="G213" s="162">
        <f t="shared" ref="G213:I215" ca="1" si="185">IFERROR(INDEX($AN$185:$BZ$211,MATCH(G$181,$AL$185:$AL$211,0),MATCH($B213,$AN$185:$BZ$185,0)),"")</f>
        <v>570</v>
      </c>
      <c r="H213" s="162">
        <f t="shared" ca="1" si="185"/>
        <v>781</v>
      </c>
      <c r="I213" s="162">
        <f t="shared" ca="1" si="185"/>
        <v>514</v>
      </c>
    </row>
    <row r="214" spans="2:92" ht="22.5" customHeight="1" outlineLevel="1" x14ac:dyDescent="0.35">
      <c r="B214" s="71" t="s">
        <v>229</v>
      </c>
      <c r="C214" s="61" t="s">
        <v>369</v>
      </c>
      <c r="D214" s="70"/>
      <c r="F214" s="165" t="str">
        <f>IF(F$184="Inget antal angivet","",IFERROR(INDEX($AN$185:$BZ$211,MATCH(F$181,$AL$185:$AL$211,0),MATCH($B214,$AN$185:$BZ$185,0)),""))</f>
        <v/>
      </c>
      <c r="G214" s="166">
        <f t="shared" ca="1" si="185"/>
        <v>25</v>
      </c>
      <c r="H214" s="166">
        <f t="shared" ca="1" si="185"/>
        <v>50</v>
      </c>
      <c r="I214" s="166">
        <f t="shared" ca="1" si="185"/>
        <v>25</v>
      </c>
    </row>
    <row r="215" spans="2:92" ht="22.5" customHeight="1" outlineLevel="1" x14ac:dyDescent="0.35">
      <c r="B215" s="71" t="s">
        <v>230</v>
      </c>
      <c r="C215" s="96" t="s">
        <v>370</v>
      </c>
      <c r="D215" s="70"/>
      <c r="F215" s="163" t="str">
        <f>IF(F$184="Inget antal angivet","",IFERROR(INDEX($AN$185:$BZ$211,MATCH(F$181,$AL$185:$AL$211,0),MATCH($B215,$AN$185:$BZ$185,0)),""))</f>
        <v/>
      </c>
      <c r="G215" s="164">
        <f t="shared" ca="1" si="185"/>
        <v>25</v>
      </c>
      <c r="H215" s="164">
        <f t="shared" ca="1" si="185"/>
        <v>50</v>
      </c>
      <c r="I215" s="164">
        <f t="shared" ca="1" si="185"/>
        <v>25</v>
      </c>
    </row>
    <row r="216" spans="2:92" ht="22.5" customHeight="1" outlineLevel="1" x14ac:dyDescent="0.35"/>
    <row r="217" spans="2:92" ht="22.5" customHeight="1" x14ac:dyDescent="0.35"/>
    <row r="218" spans="2:92" ht="22.5" customHeight="1" x14ac:dyDescent="0.35">
      <c r="D218" s="72" t="s">
        <v>233</v>
      </c>
      <c r="F218" s="221" t="s">
        <v>252</v>
      </c>
      <c r="G218" s="221"/>
      <c r="H218" s="221"/>
      <c r="I218" s="222"/>
    </row>
    <row r="219" spans="2:92" ht="22.5" customHeight="1" x14ac:dyDescent="0.35">
      <c r="D219" s="74"/>
      <c r="F219" s="202" t="str">
        <f ca="1">IFERROR(INDEX($Z$186:$Z$209,MATCH(F181,$AA$186:$AA$209,0))*D219,"")</f>
        <v/>
      </c>
      <c r="G219" s="202">
        <f ca="1">IFERROR(P186 *D219,"")</f>
        <v>0</v>
      </c>
      <c r="H219" s="202">
        <f ca="1">IFERROR(P187 *D219,"")</f>
        <v>0</v>
      </c>
      <c r="I219" s="202">
        <f ca="1">IFERROR(P188 * D219,"")</f>
        <v>0</v>
      </c>
    </row>
    <row r="221" spans="2:92" ht="15" thickBot="1" x14ac:dyDescent="0.4">
      <c r="C221" s="174"/>
      <c r="D221" s="174"/>
      <c r="E221" s="174"/>
      <c r="F221" s="174"/>
      <c r="G221" s="174"/>
      <c r="H221" s="174"/>
      <c r="I221" s="174"/>
    </row>
    <row r="222" spans="2:92" ht="71.25" customHeight="1" collapsed="1" thickTop="1" x14ac:dyDescent="0.35">
      <c r="C222" s="53"/>
      <c r="D222" s="53"/>
      <c r="F222" s="50" t="e">
        <f ca="1">N226</f>
        <v>#N/A</v>
      </c>
      <c r="G222" s="50" t="str">
        <f ca="1">INDEX(AA227:AA252,MATCH(P227,Z227:Z252,0))</f>
        <v>Offererad produktnr. 07Qlosr Göteborg AB</v>
      </c>
      <c r="H222" s="50" t="str">
        <f ca="1">INDEX(AA226:AA251,MATCH(P228,Z226:Z251,0))</f>
        <v>Offererad produktnr. 07Advania Sverige AB</v>
      </c>
      <c r="I222" s="50" t="str">
        <f ca="1">INDEX(AA226:AA251,MATCH(P229,Z226:Z251,0))</f>
        <v>Offererad produktnr. 08Qlosr Göteborg AB</v>
      </c>
      <c r="AN222" s="12" t="s">
        <v>124</v>
      </c>
      <c r="AO222" s="12" t="s">
        <v>124</v>
      </c>
      <c r="AP222" s="12" t="s">
        <v>124</v>
      </c>
      <c r="AQ222" s="12" t="s">
        <v>124</v>
      </c>
      <c r="AR222" s="12" t="s">
        <v>124</v>
      </c>
      <c r="AS222" s="12" t="s">
        <v>124</v>
      </c>
      <c r="AT222" s="12" t="s">
        <v>124</v>
      </c>
      <c r="AU222" s="12" t="s">
        <v>124</v>
      </c>
      <c r="AV222" s="12" t="s">
        <v>124</v>
      </c>
      <c r="AW222" s="12" t="s">
        <v>124</v>
      </c>
      <c r="AX222" s="12" t="s">
        <v>124</v>
      </c>
      <c r="AY222" s="12" t="s">
        <v>124</v>
      </c>
      <c r="AZ222" s="12" t="s">
        <v>124</v>
      </c>
      <c r="BA222" s="12" t="s">
        <v>124</v>
      </c>
      <c r="BB222" s="12" t="s">
        <v>124</v>
      </c>
      <c r="BC222" s="12" t="s">
        <v>124</v>
      </c>
      <c r="BD222" s="12" t="s">
        <v>124</v>
      </c>
      <c r="BE222" s="12" t="s">
        <v>124</v>
      </c>
      <c r="BF222" s="12" t="s">
        <v>124</v>
      </c>
      <c r="BG222" s="12" t="s">
        <v>124</v>
      </c>
      <c r="BH222" s="12" t="s">
        <v>124</v>
      </c>
      <c r="BI222" s="12" t="s">
        <v>124</v>
      </c>
      <c r="BJ222" s="12" t="s">
        <v>124</v>
      </c>
      <c r="BK222" s="12" t="s">
        <v>124</v>
      </c>
      <c r="BL222" s="12" t="s">
        <v>124</v>
      </c>
      <c r="BM222" s="12" t="s">
        <v>124</v>
      </c>
      <c r="BN222" s="12" t="s">
        <v>124</v>
      </c>
      <c r="BO222" s="12" t="s">
        <v>124</v>
      </c>
      <c r="BP222" s="12" t="s">
        <v>124</v>
      </c>
      <c r="BQ222" s="12" t="s">
        <v>124</v>
      </c>
      <c r="BR222" s="12" t="s">
        <v>124</v>
      </c>
      <c r="BS222" s="12" t="s">
        <v>124</v>
      </c>
      <c r="BT222" s="12" t="s">
        <v>124</v>
      </c>
      <c r="BU222" s="12" t="s">
        <v>124</v>
      </c>
      <c r="BV222" s="12" t="s">
        <v>124</v>
      </c>
      <c r="BW222" s="12"/>
      <c r="BX222" s="12"/>
      <c r="BY222" s="12" t="s">
        <v>124</v>
      </c>
      <c r="BZ222" s="12" t="s">
        <v>124</v>
      </c>
      <c r="CA222" s="12"/>
      <c r="CB222" s="12"/>
      <c r="CC222" s="12"/>
      <c r="CD222" s="12"/>
      <c r="CE222" s="12"/>
      <c r="CF222" s="12"/>
      <c r="CG222" s="12"/>
      <c r="CH222" s="12"/>
      <c r="CI222" s="12"/>
      <c r="CJ222" s="12"/>
      <c r="CK222" s="12"/>
      <c r="CL222" s="12"/>
      <c r="CM222" s="12"/>
      <c r="CN222" s="12"/>
    </row>
    <row r="223" spans="2:92" ht="25.5" customHeight="1" thickBot="1" x14ac:dyDescent="0.4">
      <c r="C223" s="53"/>
      <c r="D223" s="53"/>
      <c r="F223" s="140" t="s">
        <v>446</v>
      </c>
      <c r="G223" s="205" t="s">
        <v>447</v>
      </c>
      <c r="H223" s="205"/>
      <c r="I223" s="205"/>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row>
    <row r="224" spans="2:92" ht="22.5" customHeight="1" thickBot="1" x14ac:dyDescent="0.4">
      <c r="B224" t="str">
        <f ca="1" xml:space="preserve"> "Produkt "  &amp; B225</f>
        <v>Produkt 6</v>
      </c>
      <c r="C224" s="206" t="str">
        <f>IF(F225="Ingen produkt motsvarar","Felmeddelande",IF(COUNTIF($P$1:$P$6,TRUE)&gt;0,"","Felmeddelande"))</f>
        <v/>
      </c>
      <c r="D224" s="207"/>
      <c r="F224" s="218" t="s">
        <v>271</v>
      </c>
      <c r="G224" s="218"/>
      <c r="H224" s="218"/>
      <c r="I224" s="219"/>
      <c r="O224">
        <v>1</v>
      </c>
      <c r="AN224" s="13" t="str">
        <f t="shared" ref="AN224:AX224" si="186">AN226</f>
        <v>Operativsystem</v>
      </c>
      <c r="AO224" s="13" t="str">
        <f t="shared" si="186"/>
        <v>Skärmstorlek (tum)</v>
      </c>
      <c r="AP224" s="13" t="str">
        <f t="shared" si="186"/>
        <v>Upplösning</v>
      </c>
      <c r="AQ224" s="13" t="str">
        <f t="shared" si="186"/>
        <v>Lagringsutrymme</v>
      </c>
      <c r="AR224" s="13" t="str">
        <f t="shared" si="186"/>
        <v>Kommunikation Bluetooth</v>
      </c>
      <c r="AS224" s="13" t="str">
        <f t="shared" si="186"/>
        <v>Kommunikation WLAN</v>
      </c>
      <c r="AT224" s="13" t="str">
        <f t="shared" si="186"/>
        <v>Batteritid (tim)</v>
      </c>
      <c r="AU224" s="13" t="str">
        <f t="shared" si="186"/>
        <v>Miljömärkning</v>
      </c>
      <c r="AV224" s="13" t="str">
        <f t="shared" si="186"/>
        <v>Kommunikation WLAN</v>
      </c>
      <c r="AW224" s="13" t="str">
        <f t="shared" si="186"/>
        <v>Kommunikation Bluetooth</v>
      </c>
      <c r="AX224" s="13" t="str">
        <f t="shared" si="186"/>
        <v>Batteritid (tim)</v>
      </c>
      <c r="AY224" s="13" t="s">
        <v>52</v>
      </c>
      <c r="AZ224" s="13" t="str">
        <f>AZ226</f>
        <v>Låsskydd</v>
      </c>
      <c r="BA224" s="13" t="str">
        <f>BA226</f>
        <v>Operativsystem</v>
      </c>
      <c r="BB224" s="13" t="str">
        <f>BB226</f>
        <v>Pris</v>
      </c>
      <c r="BC224" t="s">
        <v>224</v>
      </c>
      <c r="BD224" s="100" t="s">
        <v>340</v>
      </c>
      <c r="BE224" s="100" t="s">
        <v>341</v>
      </c>
      <c r="BF224" s="100" t="s">
        <v>342</v>
      </c>
      <c r="BG224" s="100" t="s">
        <v>343</v>
      </c>
      <c r="BH224" s="100" t="s">
        <v>344</v>
      </c>
      <c r="BI224" s="100" t="s">
        <v>345</v>
      </c>
      <c r="BJ224" s="100" t="s">
        <v>346</v>
      </c>
      <c r="BK224" s="100" t="s">
        <v>347</v>
      </c>
      <c r="BL224" s="100" t="s">
        <v>348</v>
      </c>
      <c r="BM224" s="100" t="s">
        <v>349</v>
      </c>
      <c r="BN224" s="56" t="s">
        <v>53</v>
      </c>
      <c r="BO224" s="56" t="s">
        <v>54</v>
      </c>
      <c r="BP224" s="56" t="s">
        <v>55</v>
      </c>
      <c r="BQ224" s="56" t="s">
        <v>59</v>
      </c>
      <c r="BR224" s="56" t="s">
        <v>227</v>
      </c>
      <c r="BS224" s="57" t="s">
        <v>228</v>
      </c>
      <c r="BT224" s="57" t="s">
        <v>229</v>
      </c>
      <c r="BU224" s="57" t="s">
        <v>230</v>
      </c>
      <c r="BV224" s="57" t="s">
        <v>231</v>
      </c>
      <c r="BW224" s="57"/>
      <c r="BX224" s="57"/>
      <c r="BY224" s="57" t="s">
        <v>6</v>
      </c>
      <c r="BZ224" s="4" t="s">
        <v>51</v>
      </c>
      <c r="CA224" s="13"/>
      <c r="CB224" s="13"/>
      <c r="CC224" s="13"/>
      <c r="CD224" s="13"/>
      <c r="CE224" s="13"/>
      <c r="CF224" s="13"/>
      <c r="CG224" s="13"/>
      <c r="CH224" s="13"/>
      <c r="CI224" s="13"/>
      <c r="CJ224" s="13"/>
      <c r="CK224" s="13"/>
      <c r="CL224" s="13"/>
      <c r="CM224" s="13"/>
      <c r="CN224" s="13"/>
    </row>
    <row r="225" spans="2:94" ht="22.5" customHeight="1" x14ac:dyDescent="0.35">
      <c r="B225">
        <f ca="1">COUNTIF($F$7:F228,"Produkt I varukorg*")</f>
        <v>6</v>
      </c>
      <c r="F225" s="51" t="str">
        <f>IF(D260&lt;1,"Inget antal angivet",IFERROR(INDEX($Z$227:$Z$250,MATCH(F222,$AA$227:$AA$250,0)),"Ingen produkt motsvarar"))</f>
        <v>Inget antal angivet</v>
      </c>
      <c r="G225" s="52">
        <f ca="1">IFERROR(P227,"Ingen produkt motsvarar")</f>
        <v>1700</v>
      </c>
      <c r="H225" s="52">
        <f ca="1">IFERROR(P228,"")</f>
        <v>2084</v>
      </c>
      <c r="I225" s="52">
        <f ca="1">IFERROR(P229,"")</f>
        <v>3205</v>
      </c>
      <c r="AA225" t="str">
        <f>IF(COUNTIF(AB225:AI225,FALSE)&gt;0,AL225,"")</f>
        <v/>
      </c>
      <c r="AB225" t="b">
        <f>IF($D$230="",TRUE,IF(AN225=$D$230,TRUE,FALSE))</f>
        <v>1</v>
      </c>
      <c r="AC225" t="b">
        <f>IF(D227="",TRUE,IF(AO225=$D$231,TRUE,FALSE))</f>
        <v>1</v>
      </c>
      <c r="AD225" t="b">
        <f>IF(D230="",TRUE,IF(AP225=D230,TRUE,FALSE))</f>
        <v>1</v>
      </c>
      <c r="AE225" t="b">
        <f>IF(D231="",TRUE,IF(AQ225=D231,TRUE,FALSE))</f>
        <v>1</v>
      </c>
      <c r="AF225" t="b">
        <f>IF(D232="",TRUE,IF(AR225=D232,TRUE,FALSE))</f>
        <v>1</v>
      </c>
      <c r="AG225" t="b">
        <f>IF(D233="",TRUE,IF(AS225=D233,TRUE,FALSE))</f>
        <v>1</v>
      </c>
      <c r="AH225" t="b">
        <f>IF(D229="",TRUE,IF(AT225=D229,TRUE,FALSE))</f>
        <v>1</v>
      </c>
      <c r="AI225" t="b">
        <f>IF(D228="",TRUE,IF(AV225=D228,TRUE,FALSE))</f>
        <v>1</v>
      </c>
      <c r="AL225" t="s">
        <v>126</v>
      </c>
      <c r="AN225" s="58" t="str">
        <f t="shared" ref="AN225:BL225" ca="1" si="187">IFERROR(INDEX(INDIRECT(AN$222&amp;"!$A$10:CC100000"),MATCH($AL225,INDIRECT(AN$222&amp;"!BH$10:BH100000"),0),MATCH(AN$224,INDIRECT(AN$222&amp;"!a10:CC10"),0)),"False")</f>
        <v>False</v>
      </c>
      <c r="AO225" s="58" t="str">
        <f t="shared" ca="1" si="187"/>
        <v>False</v>
      </c>
      <c r="AP225" s="58" t="str">
        <f t="shared" ca="1" si="187"/>
        <v>False</v>
      </c>
      <c r="AQ225" s="58" t="str">
        <f t="shared" ca="1" si="187"/>
        <v>False</v>
      </c>
      <c r="AR225" s="58" t="str">
        <f t="shared" ca="1" si="187"/>
        <v>False</v>
      </c>
      <c r="AS225" s="58" t="str">
        <f t="shared" ca="1" si="187"/>
        <v>False</v>
      </c>
      <c r="AT225" s="58" t="str">
        <f t="shared" ca="1" si="187"/>
        <v>False</v>
      </c>
      <c r="AU225" s="58" t="str">
        <f t="shared" ca="1" si="187"/>
        <v>False</v>
      </c>
      <c r="AV225" s="58" t="str">
        <f t="shared" ca="1" si="187"/>
        <v>False</v>
      </c>
      <c r="AW225" s="58" t="str">
        <f t="shared" ca="1" si="187"/>
        <v>False</v>
      </c>
      <c r="AX225" s="58" t="str">
        <f t="shared" ca="1" si="187"/>
        <v>False</v>
      </c>
      <c r="AY225" s="58" t="str">
        <f t="shared" ca="1" si="187"/>
        <v>False</v>
      </c>
      <c r="AZ225" s="58" t="str">
        <f t="shared" ca="1" si="187"/>
        <v>False</v>
      </c>
      <c r="BA225" s="58" t="str">
        <f t="shared" ca="1" si="187"/>
        <v>False</v>
      </c>
      <c r="BB225" s="58" t="str">
        <f t="shared" ca="1" si="187"/>
        <v>False</v>
      </c>
      <c r="BC225" s="58" t="str">
        <f t="shared" ca="1" si="187"/>
        <v>False</v>
      </c>
      <c r="BD225" s="58" t="str">
        <f t="shared" ca="1" si="187"/>
        <v>False</v>
      </c>
      <c r="BE225" s="58" t="str">
        <f t="shared" ca="1" si="187"/>
        <v>False</v>
      </c>
      <c r="BF225" s="58" t="str">
        <f t="shared" ca="1" si="187"/>
        <v>False</v>
      </c>
      <c r="BG225" s="58" t="str">
        <f t="shared" ca="1" si="187"/>
        <v>False</v>
      </c>
      <c r="BH225" s="58" t="str">
        <f t="shared" ca="1" si="187"/>
        <v>False</v>
      </c>
      <c r="BI225" s="58" t="str">
        <f t="shared" ca="1" si="187"/>
        <v>False</v>
      </c>
      <c r="BJ225" s="58" t="str">
        <f t="shared" ca="1" si="187"/>
        <v>False</v>
      </c>
      <c r="BK225" s="58" t="str">
        <f t="shared" ca="1" si="187"/>
        <v>False</v>
      </c>
      <c r="BL225" s="58" t="str">
        <f t="shared" ca="1" si="187"/>
        <v>False</v>
      </c>
      <c r="BM225" s="58"/>
      <c r="BN225" s="58" t="str">
        <f t="shared" ref="BN225:BV225" ca="1" si="188">IFERROR(INDEX(INDIRECT(BN$222&amp;"!$A$10:CC100000"),MATCH($AL225,INDIRECT(BN$222&amp;"!BH$10:BH100000"),0),MATCH(BN$224,INDIRECT(BN$222&amp;"!a10:CC10"),0)),"False")</f>
        <v>False</v>
      </c>
      <c r="BO225" s="58" t="str">
        <f t="shared" ca="1" si="188"/>
        <v>False</v>
      </c>
      <c r="BP225" s="58" t="str">
        <f t="shared" ca="1" si="188"/>
        <v>False</v>
      </c>
      <c r="BQ225" s="58" t="str">
        <f t="shared" ca="1" si="188"/>
        <v>False</v>
      </c>
      <c r="BR225" s="58" t="str">
        <f t="shared" ca="1" si="188"/>
        <v>False</v>
      </c>
      <c r="BS225" s="58" t="str">
        <f t="shared" ca="1" si="188"/>
        <v>False</v>
      </c>
      <c r="BT225" s="58" t="str">
        <f t="shared" ca="1" si="188"/>
        <v>False</v>
      </c>
      <c r="BU225" s="58" t="str">
        <f t="shared" ca="1" si="188"/>
        <v>False</v>
      </c>
      <c r="BV225" s="58" t="str">
        <f t="shared" ca="1" si="188"/>
        <v>False</v>
      </c>
      <c r="BW225" s="58"/>
      <c r="BX225" s="58"/>
      <c r="BY225" s="58" t="str">
        <f ca="1">IFERROR(INDEX(INDIRECT(BY$222&amp;"!$A$10:CC100000"),MATCH($AL225,INDIRECT(BY$222&amp;"!BH$10:BH100000"),0),MATCH(BY$224,INDIRECT(BY$222&amp;"!a10:CC10"),0)),"False")</f>
        <v>False</v>
      </c>
      <c r="BZ225" s="58" t="str">
        <f ca="1">IFERROR(INDEX(INDIRECT(BZ$222&amp;"!$A$10:CC100000"),MATCH($AL225,INDIRECT(BZ$222&amp;"!BH$10:BH100000"),0),MATCH(BZ$224,INDIRECT(BZ$222&amp;"!a10:CC10"),0)),"False")</f>
        <v>False</v>
      </c>
      <c r="CA225" s="58"/>
      <c r="CB225" s="58"/>
      <c r="CC225" s="58"/>
      <c r="CD225" s="58"/>
      <c r="CE225" s="58"/>
      <c r="CF225" s="58"/>
      <c r="CG225" s="58"/>
      <c r="CH225" s="58"/>
      <c r="CI225" s="58"/>
      <c r="CJ225" s="58"/>
      <c r="CK225" s="58"/>
      <c r="CL225" s="58"/>
      <c r="CM225" s="58"/>
      <c r="CN225" s="58"/>
    </row>
    <row r="226" spans="2:94" ht="22.5" customHeight="1" x14ac:dyDescent="0.35">
      <c r="C226" s="210" t="str">
        <f ca="1" xml:space="preserve"> "Surfplatta "  &amp; RIGHT("00" &amp; B225,2)</f>
        <v>Surfplatta 06</v>
      </c>
      <c r="D226" s="211"/>
      <c r="F226" s="92" t="str">
        <f>IF(F225="Inget antal angivet","",IFERROR(INDEX($AN$226:$BZ$252,MATCH(F$222,$AL$226:$AL$252,0),MATCH("Modellbenämning",$AN$226:$BZ$226,0)),""))</f>
        <v/>
      </c>
      <c r="G226" s="92" t="str">
        <f ca="1">IFERROR(INDEX($AN$226:$BZ$252,MATCH(G$222,$AL$226:$AL$252,0),MATCH("Modellbenämning",$AN$226:$BZ$226,0)),"")</f>
        <v>M10 FHD G2</v>
      </c>
      <c r="H226" s="92" t="str">
        <f ca="1">IFERROR(INDEX($AN$226:$BZ$252,MATCH(H$222,$AL$226:$AL$252,0),MATCH("Modellbenämning",$AN$226:$BZ$226,0)),"")</f>
        <v>Tab M10 (3rd Gen)</v>
      </c>
      <c r="I226" s="92" t="str">
        <f ca="1">IFERROR(INDEX($AN$226:$BZ$252,MATCH(I$222,$AL$226:$AL$252,0),MATCH("Modellbenämning",$AN$226:$BZ$226,0)),"")</f>
        <v>iPad 9th gen (2021)</v>
      </c>
      <c r="J226" s="93"/>
      <c r="K226" s="92"/>
      <c r="L226" s="92"/>
      <c r="M226" s="92"/>
      <c r="N226" s="92" t="e">
        <f ca="1">INDEX($N$227:$N$232,MATCH(Överblick!$L$2,$M$227:$M$232,0))</f>
        <v>#N/A</v>
      </c>
      <c r="O226" s="92"/>
      <c r="P226" s="92"/>
      <c r="Q226" s="92"/>
      <c r="R226" s="92">
        <v>1</v>
      </c>
      <c r="S226" s="92">
        <v>2</v>
      </c>
      <c r="T226" s="92">
        <v>3</v>
      </c>
      <c r="U226" s="92">
        <v>5</v>
      </c>
      <c r="V226" s="92">
        <v>6</v>
      </c>
      <c r="W226" s="92">
        <v>7</v>
      </c>
      <c r="X226" s="92">
        <v>8</v>
      </c>
      <c r="Y226" s="92">
        <v>9</v>
      </c>
      <c r="Z226" s="92"/>
      <c r="AA226" s="92" t="s">
        <v>122</v>
      </c>
      <c r="AB226" s="92" t="s">
        <v>3</v>
      </c>
      <c r="AC226" s="92" t="s">
        <v>7</v>
      </c>
      <c r="AD226" s="92" t="s">
        <v>2</v>
      </c>
      <c r="AE226" s="92" t="s">
        <v>17</v>
      </c>
      <c r="AF226" s="92" t="s">
        <v>75</v>
      </c>
      <c r="AG226" s="92" t="s">
        <v>103</v>
      </c>
      <c r="AH226" s="92" t="s">
        <v>120</v>
      </c>
      <c r="AI226" s="92" t="s">
        <v>39</v>
      </c>
      <c r="AJ226" s="92"/>
      <c r="AK226" s="92"/>
      <c r="AL226" s="92" t="s">
        <v>222</v>
      </c>
      <c r="AM226" s="92">
        <v>1</v>
      </c>
      <c r="AN226" s="92" t="s">
        <v>3</v>
      </c>
      <c r="AO226" s="92" t="s">
        <v>7</v>
      </c>
      <c r="AP226" s="92" t="s">
        <v>2</v>
      </c>
      <c r="AQ226" s="92" t="s">
        <v>17</v>
      </c>
      <c r="AR226" s="92" t="s">
        <v>75</v>
      </c>
      <c r="AS226" s="92" t="s">
        <v>103</v>
      </c>
      <c r="AT226" s="92" t="s">
        <v>120</v>
      </c>
      <c r="AU226" s="92" t="s">
        <v>39</v>
      </c>
      <c r="AV226" s="92" t="s">
        <v>103</v>
      </c>
      <c r="AW226" s="92" t="s">
        <v>75</v>
      </c>
      <c r="AX226" s="92" t="s">
        <v>120</v>
      </c>
      <c r="AY226" s="92" t="s">
        <v>52</v>
      </c>
      <c r="AZ226" s="92" t="s">
        <v>37</v>
      </c>
      <c r="BA226" s="92" t="s">
        <v>3</v>
      </c>
      <c r="BB226" s="92" t="s">
        <v>25</v>
      </c>
      <c r="BC226" s="92" t="s">
        <v>25</v>
      </c>
      <c r="BD226" s="92" t="s">
        <v>340</v>
      </c>
      <c r="BE226" s="92" t="s">
        <v>341</v>
      </c>
      <c r="BF226" s="92" t="s">
        <v>342</v>
      </c>
      <c r="BG226" s="92" t="s">
        <v>343</v>
      </c>
      <c r="BH226" s="92" t="s">
        <v>344</v>
      </c>
      <c r="BI226" s="92" t="s">
        <v>345</v>
      </c>
      <c r="BJ226" s="92" t="s">
        <v>346</v>
      </c>
      <c r="BK226" s="92" t="s">
        <v>347</v>
      </c>
      <c r="BL226" s="92" t="s">
        <v>348</v>
      </c>
      <c r="BM226" s="92" t="s">
        <v>349</v>
      </c>
      <c r="BN226" s="92" t="s">
        <v>53</v>
      </c>
      <c r="BO226" s="92" t="s">
        <v>54</v>
      </c>
      <c r="BP226" s="92" t="s">
        <v>55</v>
      </c>
      <c r="BQ226" s="92" t="s">
        <v>59</v>
      </c>
      <c r="BR226" s="92" t="s">
        <v>227</v>
      </c>
      <c r="BS226" s="92" t="s">
        <v>228</v>
      </c>
      <c r="BT226" s="92" t="s">
        <v>229</v>
      </c>
      <c r="BU226" s="92" t="s">
        <v>230</v>
      </c>
      <c r="BV226" s="92" t="s">
        <v>231</v>
      </c>
      <c r="BW226" s="92"/>
      <c r="BX226" s="92"/>
      <c r="BY226" s="92" t="s">
        <v>6</v>
      </c>
      <c r="BZ226" s="92" t="s">
        <v>51</v>
      </c>
      <c r="CA226" s="92" t="s">
        <v>2</v>
      </c>
      <c r="CB226" s="92" t="s">
        <v>17</v>
      </c>
      <c r="CC226" s="92" t="s">
        <v>75</v>
      </c>
      <c r="CD226" s="92" t="s">
        <v>103</v>
      </c>
      <c r="CE226" s="92" t="s">
        <v>7</v>
      </c>
      <c r="CF226" s="92" t="s">
        <v>120</v>
      </c>
      <c r="CG226" s="92" t="s">
        <v>3</v>
      </c>
      <c r="CH226" s="92" t="s">
        <v>39</v>
      </c>
      <c r="CI226" s="92" t="s">
        <v>103</v>
      </c>
      <c r="CJ226" s="92" t="s">
        <v>75</v>
      </c>
      <c r="CK226" s="92" t="s">
        <v>120</v>
      </c>
      <c r="CL226" s="92" t="s">
        <v>38</v>
      </c>
      <c r="CM226" s="92" t="s">
        <v>37</v>
      </c>
      <c r="CN226" s="92" t="s">
        <v>3</v>
      </c>
    </row>
    <row r="227" spans="2:94" ht="22.5" customHeight="1" outlineLevel="1" x14ac:dyDescent="0.35">
      <c r="C227" s="210" t="s">
        <v>261</v>
      </c>
      <c r="D227" s="211"/>
      <c r="F227" s="76" t="str">
        <f>IF(F225="Inget antal angivet","",IFERROR(INDEX($AN$226:$BZ$252,MATCH(F$222,$AL$226:$AL$252,0),MATCH("Varumärke",$AN$226:$BZ$226,0)),""))</f>
        <v/>
      </c>
      <c r="G227" s="77" t="str">
        <f ca="1">IFERROR(INDEX($AN$226:$BZ$252,MATCH(G$222,$AL$226:$AL$252,0),MATCH("Varumärke",$AN$226:$BZ$226,0)),"")</f>
        <v>Lenovo</v>
      </c>
      <c r="H227" s="77" t="str">
        <f ca="1">IFERROR(INDEX($AN$226:$BZ$252,MATCH(H$222,$AL$226:$AL$252,0),MATCH("Varumärke",$AN$226:$BZ$226,0)),"")</f>
        <v>Lenovo</v>
      </c>
      <c r="I227" s="119" t="str">
        <f ca="1">IFERROR(INDEX($AN$226:$BZ$252,MATCH(I$222,$AL$226:$AL$252,0),MATCH("Varumärke",$AN$226:$BZ$226,0)),"")</f>
        <v>Apple</v>
      </c>
      <c r="K227" s="185">
        <f t="shared" ref="K227:K232" ca="1" si="189">O227*$D$260</f>
        <v>0</v>
      </c>
      <c r="L227" s="185" t="b">
        <f t="shared" ref="L227:L232" si="190">IF($D$260=0,TRUE,IF(K227=0,FALSE,TRUE))</f>
        <v>1</v>
      </c>
      <c r="M227" s="185" t="s">
        <v>162</v>
      </c>
      <c r="N227" s="185" t="str">
        <f t="shared" ref="N227:N232" ca="1" si="191">IFERROR(INDEX($AA$227:$AA$252,MATCH(O227,$Z$227:$Z$252,0)),"")</f>
        <v>Offererad produktnr. 07Advania Sverige AB</v>
      </c>
      <c r="O227" s="185" cm="1">
        <f t="array" aca="1" ref="O227" ca="1">MIN(IF(($BY$227:$BY$250=M227)*($AM$227:$AM$250=$O$224),$Z$227:$Z$250))</f>
        <v>2084</v>
      </c>
      <c r="P227" s="197">
        <f ca="1">SMALL($Z$227:$Z$252,1)</f>
        <v>1700</v>
      </c>
      <c r="Q227" s="185">
        <f t="shared" ref="Q227:Q246" si="192">SUM(R227:Y227)</f>
        <v>0</v>
      </c>
      <c r="R227" s="185">
        <f t="shared" ref="R227:R246" si="193">IF($D$238="",0,BN227)</f>
        <v>0</v>
      </c>
      <c r="S227" s="185">
        <f t="shared" ref="S227:S246" si="194">IF($D$241="",0,BO227)</f>
        <v>0</v>
      </c>
      <c r="T227" s="185">
        <f t="shared" ref="T227:T246" si="195">IF($D$244="",0,BP227)</f>
        <v>0</v>
      </c>
      <c r="U227" s="185">
        <f t="shared" ref="U227:U246" si="196">IF($D$247="",0,BQ227)</f>
        <v>0</v>
      </c>
      <c r="V227" s="185">
        <f t="shared" ref="V227:V246" si="197">IF($D$250="",0,BR227)</f>
        <v>0</v>
      </c>
      <c r="W227" s="185">
        <f t="shared" ref="W227:W246" si="198">IF($D$254="",0,BS227)</f>
        <v>0</v>
      </c>
      <c r="X227" s="185">
        <f t="shared" ref="X227:X246" si="199">IF($D$255="",0,BT227)</f>
        <v>0</v>
      </c>
      <c r="Y227" s="185">
        <f t="shared" ref="Y227:Y246" si="200">IF($D$256="",0,BU227)</f>
        <v>0</v>
      </c>
      <c r="Z227" s="196">
        <f t="shared" ref="Z227:Z246" ca="1" si="201">IF(AA227="","",SUM(BC227,R227:Y227))</f>
        <v>2084</v>
      </c>
      <c r="AA227" s="185" t="str">
        <f t="shared" ref="AA227:AA246" si="202">IF(COUNTIF(AB227:AK227,FALSE)&gt;0,"",AL227)</f>
        <v>Offererad produktnr. 07Advania Sverige AB</v>
      </c>
      <c r="AB227" s="185" t="b">
        <f>IF(D228="",TRUE,IF(COUNTIF(Processor!$M$2:$M$3,D228)=0,IF(AN227=D228,TRUE,FALSE),IF(COUNTIF(AN227,INDEX(Processor!$N$2:$N$3,MATCH(Surfplattor!D228,Processor!$M$2:$M$3,0)))&gt;0,TRUE,FALSE)))</f>
        <v>1</v>
      </c>
      <c r="AC227" s="185" t="b">
        <f>IF($D$229="",TRUE,IF(COUNTIF(Processor!$I$2:$I$9,$D$229)&gt;0,AND(AO227&gt;INDEX(Processor!$J$2:$J$9,MATCH($D$229,Processor!$I$2:$I$9,0)),AO227&lt;INDEX(Processor!$K$2:$K$9,MATCH($D$229,Processor!$I$2:$I$9,0))),IF(AO227=$D$229,TRUE,FALSE)))</f>
        <v>1</v>
      </c>
      <c r="AD227" s="185" t="b">
        <f t="shared" ref="AD227:AD246" si="203">IFERROR(IF($D$230="",TRUE,IF(AND(IF(LEFT($D$230,4)*1&lt;=1*LEFT(AP227,4),TRUE,FALSE),IF(RIGHT(AP227,4)*1&gt;=1*RIGHT($D$230,4),TRUE,FALSE)),TRUE,FALSE)),0)</f>
        <v>1</v>
      </c>
      <c r="AE227" s="185" t="b">
        <f t="shared" ref="AE227:AE246" si="204">IF($D$231="",TRUE,IF(AQ227&gt;=$D$231,TRUE,FALSE))</f>
        <v>1</v>
      </c>
      <c r="AF227" s="185" t="b">
        <f t="shared" ref="AF227:AF246" si="205">IF($D$232="",TRUE,IF(AR227&gt;=$D$232,TRUE,FALSE))</f>
        <v>1</v>
      </c>
      <c r="AG227" s="185" t="b">
        <f t="shared" ref="AG227:AG246" si="206">IF($D$233="",TRUE,IF($D$233="802.11a/b/g/n/ac",TRUE,IF(AS227&gt;=$D$233,TRUE,FALSE)))</f>
        <v>1</v>
      </c>
      <c r="AH227" s="185" t="b">
        <f>IF($D$234="",TRUE,IF(INDEX(Processor!$C$14:$C$20,MATCH(LEFT(AT227,10)&amp;"",Processor!$A$14:$A$20,0))&gt;=INDEX(Processor!$C$14:$C$20,MATCH(LEFT($D$234,10)&amp;"",Processor!$A$14:$A$20,0)),TRUE,FALSE))</f>
        <v>1</v>
      </c>
      <c r="AI227" s="185" t="b">
        <f t="shared" ref="AI227:AI246" si="207">IF($D$235="",TRUE,IF($D$235="Miljömärkt",IF(AU227="Ej miljömärkt",FALSE,TRUE),IF(AU227=$D$235,TRUE,FALSE)))</f>
        <v>1</v>
      </c>
      <c r="AJ227" s="185"/>
      <c r="AK227" s="185"/>
      <c r="AL227" s="185" t="s">
        <v>204</v>
      </c>
      <c r="AM227" s="185">
        <v>1</v>
      </c>
      <c r="AN227" s="185" t="str">
        <f t="shared" ref="AN227:AW236" ca="1" si="208">IFERROR(INDEX(INDIRECT(AN$222&amp;"!$A$10:CC100000"),MATCH($AL227,INDIRECT(AN$222&amp;"!BH$10:BH100000"),0),MATCH(AN$224,INDIRECT(AN$222&amp;"!a10:CC10"),0)),"False")</f>
        <v>Android 11</v>
      </c>
      <c r="AO227" s="185">
        <f t="shared" ca="1" si="208"/>
        <v>10.1</v>
      </c>
      <c r="AP227" s="185" t="str">
        <f t="shared" ca="1" si="208"/>
        <v>1920x1200</v>
      </c>
      <c r="AQ227" s="185">
        <f t="shared" ca="1" si="208"/>
        <v>64</v>
      </c>
      <c r="AR227" s="185">
        <f t="shared" ca="1" si="208"/>
        <v>5</v>
      </c>
      <c r="AS227" s="185" t="str">
        <f t="shared" ca="1" si="208"/>
        <v>802.11a/b/g/n/ac</v>
      </c>
      <c r="AT227" s="185">
        <f t="shared" ca="1" si="208"/>
        <v>9</v>
      </c>
      <c r="AU227" s="185" t="str">
        <f t="shared" ca="1" si="208"/>
        <v>Ej miljömärkt</v>
      </c>
      <c r="AV227" s="185" t="str">
        <f t="shared" ca="1" si="208"/>
        <v>802.11a/b/g/n/ac</v>
      </c>
      <c r="AW227" s="185">
        <f t="shared" ca="1" si="208"/>
        <v>5</v>
      </c>
      <c r="AX227" s="185">
        <f t="shared" ref="AX227:BG236" ca="1" si="209">IFERROR(INDEX(INDIRECT(AX$222&amp;"!$A$10:CC100000"),MATCH($AL227,INDIRECT(AX$222&amp;"!BH$10:BH100000"),0),MATCH(AX$224,INDIRECT(AX$222&amp;"!a10:CC10"),0)),"False")</f>
        <v>9</v>
      </c>
      <c r="AY227" s="185" t="str">
        <f t="shared" ca="1" si="209"/>
        <v>Tab M10 (3rd Gen)</v>
      </c>
      <c r="AZ227" s="185">
        <f t="shared" ca="1" si="209"/>
        <v>0</v>
      </c>
      <c r="BA227" s="185" t="str">
        <f t="shared" ca="1" si="209"/>
        <v>Android 11</v>
      </c>
      <c r="BB227" s="185">
        <f t="shared" ca="1" si="209"/>
        <v>2084</v>
      </c>
      <c r="BC227" s="185">
        <f t="shared" ca="1" si="209"/>
        <v>2084</v>
      </c>
      <c r="BD227" s="192" t="str">
        <f t="shared" ca="1" si="209"/>
        <v>eSTUFF</v>
      </c>
      <c r="BE227" s="192" t="str">
        <f t="shared" ca="1" si="209"/>
        <v>eSTUFF</v>
      </c>
      <c r="BF227" s="192" t="str">
        <f t="shared" ca="1" si="209"/>
        <v>CoreParts</v>
      </c>
      <c r="BG227" s="192" t="str">
        <f t="shared" ca="1" si="209"/>
        <v>DELTACO</v>
      </c>
      <c r="BH227" s="192" t="str">
        <f t="shared" ref="BH227:BV236" ca="1" si="210">IFERROR(INDEX(INDIRECT(BH$222&amp;"!$A$10:CC100000"),MATCH($AL227,INDIRECT(BH$222&amp;"!BH$10:BH100000"),0),MATCH(BH$224,INDIRECT(BH$222&amp;"!a10:CC10"),0)),"False")</f>
        <v xml:space="preserve">ZAGG </v>
      </c>
      <c r="BI227" s="192" t="str">
        <f t="shared" ca="1" si="210"/>
        <v>ES685307-BULK - Vikbart fodral för surfplatta - polyuretan, polykarbonat, konstläder, mikrofiber - svart - för Lenovo Tab M10 (3rd Gen)</v>
      </c>
      <c r="BJ227" s="192" t="str">
        <f t="shared" ca="1" si="210"/>
        <v>ES517003 - Skärmskydd för surfplatta - glas - klar - för Lenovo Tab M10 (3rd Gen)</v>
      </c>
      <c r="BK227" s="192" t="str">
        <f t="shared" ca="1" si="210"/>
        <v>MBXUSB-AC0011 - Strömadapter - 12 Watt - 2.4 A (USB) - på kabel: USB-C - vit - med USB-C cable (2m)</v>
      </c>
      <c r="BL227" s="192" t="str">
        <f t="shared" ca="1" si="210"/>
        <v>TB-631</v>
      </c>
      <c r="BM227" s="192" t="str">
        <f t="shared" ca="1" si="210"/>
        <v>109912139 - Pro Stylus 2 - Aktiv penna - grå</v>
      </c>
      <c r="BN227" s="192">
        <f t="shared" ca="1" si="210"/>
        <v>251</v>
      </c>
      <c r="BO227" s="192">
        <f t="shared" ca="1" si="210"/>
        <v>251</v>
      </c>
      <c r="BP227" s="192">
        <f t="shared" ca="1" si="210"/>
        <v>108</v>
      </c>
      <c r="BQ227" s="192">
        <f t="shared" ca="1" si="210"/>
        <v>169</v>
      </c>
      <c r="BR227" s="192">
        <f t="shared" ca="1" si="210"/>
        <v>595</v>
      </c>
      <c r="BS227" s="192">
        <f t="shared" ca="1" si="210"/>
        <v>781</v>
      </c>
      <c r="BT227" s="192">
        <f t="shared" ca="1" si="210"/>
        <v>50</v>
      </c>
      <c r="BU227" s="192">
        <f t="shared" ca="1" si="210"/>
        <v>50</v>
      </c>
      <c r="BV227" s="192">
        <f t="shared" ca="1" si="210"/>
        <v>0</v>
      </c>
      <c r="BW227" s="192"/>
      <c r="BX227" s="192"/>
      <c r="BY227" s="192" t="str">
        <f t="shared" ref="BY227:BZ246" ca="1" si="211">IFERROR(INDEX(INDIRECT(BY$222&amp;"!$A$10:CC100000"),MATCH($AL227,INDIRECT(BY$222&amp;"!BH$10:BH100000"),0),MATCH(BY$224,INDIRECT(BY$222&amp;"!a10:CC10"),0)),"False")</f>
        <v>Advania Sverige AB</v>
      </c>
      <c r="BZ227" s="192" t="str">
        <f t="shared" ca="1" si="211"/>
        <v>Lenovo</v>
      </c>
      <c r="CA227" s="199" t="s">
        <v>163</v>
      </c>
      <c r="CB227" s="192">
        <v>64</v>
      </c>
      <c r="CC227" s="185">
        <v>4</v>
      </c>
      <c r="CD227" s="192" t="s">
        <v>79</v>
      </c>
      <c r="CE227" s="185" t="s">
        <v>356</v>
      </c>
      <c r="CF227" s="185" t="s">
        <v>148</v>
      </c>
      <c r="CG227" s="185" t="s">
        <v>469</v>
      </c>
      <c r="CH227" s="192" t="s">
        <v>273</v>
      </c>
      <c r="CI227" s="192" t="s">
        <v>79</v>
      </c>
      <c r="CJ227" s="185">
        <v>4</v>
      </c>
      <c r="CK227" s="185" t="s">
        <v>148</v>
      </c>
      <c r="CL227" s="192">
        <v>0</v>
      </c>
      <c r="CM227" s="192">
        <v>0</v>
      </c>
      <c r="CN227" s="185" t="s">
        <v>165</v>
      </c>
    </row>
    <row r="228" spans="2:94" ht="22.5" customHeight="1" outlineLevel="1" x14ac:dyDescent="0.35">
      <c r="C228" s="61" t="s">
        <v>3</v>
      </c>
      <c r="D228" s="64"/>
      <c r="F228" s="78" t="str">
        <f t="shared" ref="F228:F235" si="212">IF(F$225="Inget antal angivet","",IFERROR(INDEX($AN$226:$BZ$252,MATCH(F$222,$AL$226:$AL$252,0),MATCH($C228,$AN$226:$BZ$226,0)),""))</f>
        <v/>
      </c>
      <c r="G228" s="79" t="str">
        <f t="shared" ref="G228:I235" ca="1" si="213">IFERROR(INDEX($AN$226:$BZ$252,MATCH(G$222,$AL$226:$AL$252,0),MATCH($C228,$AN$226:$BZ$226,0)),"")</f>
        <v>Android 9</v>
      </c>
      <c r="H228" s="79" t="str">
        <f t="shared" ca="1" si="213"/>
        <v>Android 11</v>
      </c>
      <c r="I228" s="120" t="str">
        <f t="shared" ca="1" si="213"/>
        <v>iPadOS 15</v>
      </c>
      <c r="J228" s="62"/>
      <c r="K228" s="185">
        <f t="shared" ca="1" si="189"/>
        <v>0</v>
      </c>
      <c r="L228" s="185" t="b">
        <f t="shared" si="190"/>
        <v>1</v>
      </c>
      <c r="M228" s="185" t="s">
        <v>150</v>
      </c>
      <c r="N228" s="185" t="str">
        <f t="shared" ca="1" si="191"/>
        <v>Offererad produktnr. 08Atea Sverige AB</v>
      </c>
      <c r="O228" s="185" cm="1">
        <f t="array" aca="1" ref="O228" ca="1">MIN(IF(($BY$227:$BY$250=M228)*($AM$227:$AM$250=$O$224),$Z$227:$Z$250))</f>
        <v>5254</v>
      </c>
      <c r="P228" s="197">
        <f ca="1">SMALL($Z$227:$Z$252,2)</f>
        <v>2084</v>
      </c>
      <c r="Q228" s="185">
        <f t="shared" si="192"/>
        <v>0</v>
      </c>
      <c r="R228" s="185">
        <f t="shared" si="193"/>
        <v>0</v>
      </c>
      <c r="S228" s="185">
        <f t="shared" si="194"/>
        <v>0</v>
      </c>
      <c r="T228" s="185">
        <f t="shared" si="195"/>
        <v>0</v>
      </c>
      <c r="U228" s="185">
        <f t="shared" si="196"/>
        <v>0</v>
      </c>
      <c r="V228" s="185">
        <f t="shared" si="197"/>
        <v>0</v>
      </c>
      <c r="W228" s="185">
        <f t="shared" si="198"/>
        <v>0</v>
      </c>
      <c r="X228" s="185">
        <f t="shared" si="199"/>
        <v>0</v>
      </c>
      <c r="Y228" s="185">
        <f t="shared" si="200"/>
        <v>0</v>
      </c>
      <c r="Z228" s="196">
        <f t="shared" ca="1" si="201"/>
        <v>4238</v>
      </c>
      <c r="AA228" s="185" t="str">
        <f t="shared" si="202"/>
        <v>Offererad produktnr. 08Advania Sverige AB</v>
      </c>
      <c r="AB228" s="185" t="b">
        <f>IF(D228="",TRUE,IF(COUNTIF(Processor!$M$2:$M$3,D228)=0,IF(AN228=D228,TRUE,FALSE),IF(COUNTIF(AN228,INDEX(Processor!$N$2:$N$3,MATCH(Surfplattor!D228,Processor!$M$2:$M$3,0)))&gt;0,TRUE,FALSE)))</f>
        <v>1</v>
      </c>
      <c r="AC228" s="185" t="b">
        <f>IF($D$229="",TRUE,IF(COUNTIF(Processor!$I$2:$I$9,$D$229)&gt;0,AND(AO228&gt;INDEX(Processor!$J$2:$J$9,MATCH($D$229,Processor!$I$2:$I$9,0)),AO228&lt;INDEX(Processor!$K$2:$K$9,MATCH($D$229,Processor!$I$2:$I$9,0))),IF(AO228=$D$229,TRUE,FALSE)))</f>
        <v>1</v>
      </c>
      <c r="AD228" s="185" t="b">
        <f t="shared" si="203"/>
        <v>1</v>
      </c>
      <c r="AE228" s="185" t="b">
        <f t="shared" si="204"/>
        <v>1</v>
      </c>
      <c r="AF228" s="185" t="b">
        <f t="shared" si="205"/>
        <v>1</v>
      </c>
      <c r="AG228" s="185" t="b">
        <f t="shared" si="206"/>
        <v>1</v>
      </c>
      <c r="AH228" s="185" t="b">
        <f>IF($D$234="",TRUE,IF(INDEX(Processor!$C$14:$C$20,MATCH(LEFT(AT228,10)&amp;"",Processor!$A$14:$A$20,0))&gt;=INDEX(Processor!$C$14:$C$20,MATCH(LEFT($D$234,10)&amp;"",Processor!$A$14:$A$20,0)),TRUE,FALSE))</f>
        <v>1</v>
      </c>
      <c r="AI228" s="185" t="b">
        <f t="shared" si="207"/>
        <v>1</v>
      </c>
      <c r="AJ228" s="185"/>
      <c r="AK228" s="185"/>
      <c r="AL228" s="185" t="s">
        <v>205</v>
      </c>
      <c r="AM228" s="185">
        <v>1</v>
      </c>
      <c r="AN228" s="185" t="str">
        <f t="shared" ca="1" si="208"/>
        <v>iPadOS 14</v>
      </c>
      <c r="AO228" s="185">
        <f t="shared" ca="1" si="208"/>
        <v>10.199999999999999</v>
      </c>
      <c r="AP228" s="185" t="str">
        <f t="shared" ca="1" si="208"/>
        <v>2160x1620</v>
      </c>
      <c r="AQ228" s="185">
        <f t="shared" ca="1" si="208"/>
        <v>64</v>
      </c>
      <c r="AR228" s="185">
        <f t="shared" ca="1" si="208"/>
        <v>4.2</v>
      </c>
      <c r="AS228" s="185" t="str">
        <f t="shared" ca="1" si="208"/>
        <v>802.11a/b/g/n/ac</v>
      </c>
      <c r="AT228" s="185">
        <f t="shared" ca="1" si="208"/>
        <v>10</v>
      </c>
      <c r="AU228" s="185" t="str">
        <f t="shared" ca="1" si="208"/>
        <v>EPEAT Gold</v>
      </c>
      <c r="AV228" s="185" t="str">
        <f t="shared" ca="1" si="208"/>
        <v>802.11a/b/g/n/ac</v>
      </c>
      <c r="AW228" s="185">
        <f t="shared" ca="1" si="208"/>
        <v>4.2</v>
      </c>
      <c r="AX228" s="185">
        <f t="shared" ca="1" si="209"/>
        <v>10</v>
      </c>
      <c r="AY228" s="185" t="str">
        <f t="shared" ca="1" si="209"/>
        <v>10.2-inch iPad Wi-Fi 64GB</v>
      </c>
      <c r="AZ228" s="185">
        <f t="shared" ca="1" si="209"/>
        <v>0</v>
      </c>
      <c r="BA228" s="185" t="str">
        <f t="shared" ca="1" si="209"/>
        <v>iPadOS 14</v>
      </c>
      <c r="BB228" s="185">
        <f t="shared" ca="1" si="209"/>
        <v>4238</v>
      </c>
      <c r="BC228" s="185">
        <f t="shared" ca="1" si="209"/>
        <v>4238</v>
      </c>
      <c r="BD228" s="192" t="str">
        <f t="shared" ca="1" si="209"/>
        <v>eSTUFF</v>
      </c>
      <c r="BE228" s="192" t="str">
        <f t="shared" ca="1" si="209"/>
        <v>eSTUFF</v>
      </c>
      <c r="BF228" s="192" t="str">
        <f t="shared" ca="1" si="209"/>
        <v>DELTACO</v>
      </c>
      <c r="BG228" s="192" t="str">
        <f t="shared" ca="1" si="209"/>
        <v>DELTACO</v>
      </c>
      <c r="BH228" s="192" t="str">
        <f t="shared" ca="1" si="210"/>
        <v xml:space="preserve">ZAGG </v>
      </c>
      <c r="BI228" s="192" t="str">
        <f t="shared" ca="1" si="210"/>
        <v>ES682335-BULK - Baksidesskydd för surfplatta</v>
      </c>
      <c r="BJ228" s="192" t="str">
        <f t="shared" ca="1" si="210"/>
        <v>ES503200 - Titan Shield - skärmskydd för mobiltelefon</v>
      </c>
      <c r="BK228" s="192" t="str">
        <f t="shared" ca="1" si="210"/>
        <v xml:space="preserve">USBC-AC141 </v>
      </c>
      <c r="BL228" s="192" t="str">
        <f t="shared" ca="1" si="210"/>
        <v>TB-631</v>
      </c>
      <c r="BM228" s="192" t="str">
        <f t="shared" ca="1" si="210"/>
        <v>109912139 - Pro Stylus 2 - Aktiv penna - grå</v>
      </c>
      <c r="BN228" s="192">
        <f t="shared" ca="1" si="210"/>
        <v>181</v>
      </c>
      <c r="BO228" s="192">
        <f t="shared" ca="1" si="210"/>
        <v>219</v>
      </c>
      <c r="BP228" s="192">
        <f t="shared" ca="1" si="210"/>
        <v>144</v>
      </c>
      <c r="BQ228" s="192">
        <f t="shared" ca="1" si="210"/>
        <v>169</v>
      </c>
      <c r="BR228" s="192">
        <f t="shared" ca="1" si="210"/>
        <v>595</v>
      </c>
      <c r="BS228" s="192">
        <f t="shared" ca="1" si="210"/>
        <v>781</v>
      </c>
      <c r="BT228" s="192">
        <f t="shared" ca="1" si="210"/>
        <v>50</v>
      </c>
      <c r="BU228" s="192">
        <f t="shared" ca="1" si="210"/>
        <v>50</v>
      </c>
      <c r="BV228" s="192">
        <f t="shared" ca="1" si="210"/>
        <v>0</v>
      </c>
      <c r="BW228" s="192"/>
      <c r="BX228" s="192"/>
      <c r="BY228" s="192" t="str">
        <f t="shared" ca="1" si="211"/>
        <v>Advania Sverige AB</v>
      </c>
      <c r="BZ228" s="192" t="str">
        <f t="shared" ca="1" si="211"/>
        <v>Apple</v>
      </c>
      <c r="CA228" s="200" t="s">
        <v>141</v>
      </c>
      <c r="CB228" s="185">
        <v>128</v>
      </c>
      <c r="CC228" s="185">
        <v>4.2</v>
      </c>
      <c r="CD228" s="185" t="s">
        <v>86</v>
      </c>
      <c r="CE228" s="185" t="s">
        <v>353</v>
      </c>
      <c r="CF228" s="185" t="s">
        <v>164</v>
      </c>
      <c r="CG228" s="185" t="s">
        <v>470</v>
      </c>
      <c r="CH228" s="192" t="s">
        <v>142</v>
      </c>
      <c r="CI228" s="185" t="s">
        <v>86</v>
      </c>
      <c r="CJ228" s="185">
        <v>4.2</v>
      </c>
      <c r="CK228" s="185" t="s">
        <v>164</v>
      </c>
      <c r="CL228" s="185" t="s">
        <v>352</v>
      </c>
      <c r="CM228" s="185" t="s">
        <v>69</v>
      </c>
      <c r="CN228" s="185" t="s">
        <v>83</v>
      </c>
    </row>
    <row r="229" spans="2:94" ht="22.5" customHeight="1" outlineLevel="1" x14ac:dyDescent="0.35">
      <c r="C229" s="61" t="s">
        <v>7</v>
      </c>
      <c r="D229" s="64"/>
      <c r="F229" s="78" t="str">
        <f t="shared" si="212"/>
        <v/>
      </c>
      <c r="G229" s="79">
        <f t="shared" ca="1" si="213"/>
        <v>10.3</v>
      </c>
      <c r="H229" s="79">
        <f t="shared" ca="1" si="213"/>
        <v>10.1</v>
      </c>
      <c r="I229" s="120">
        <f t="shared" ca="1" si="213"/>
        <v>10.199999999999999</v>
      </c>
      <c r="J229" s="62"/>
      <c r="K229" s="185">
        <f t="shared" ca="1" si="189"/>
        <v>0</v>
      </c>
      <c r="L229" s="185" t="b">
        <f t="shared" si="190"/>
        <v>1</v>
      </c>
      <c r="M229" s="185" t="s">
        <v>128</v>
      </c>
      <c r="N229" s="185" t="str">
        <f t="shared" ca="1" si="191"/>
        <v>Offererad produktnr. 07Dustin Sverige AB</v>
      </c>
      <c r="O229" s="185" cm="1">
        <f t="array" aca="1" ref="O229" ca="1">MIN(IF(($BY$227:$BY$250=M229)*($AM$227:$AM$250=$O$224),$Z$227:$Z$250))</f>
        <v>3261</v>
      </c>
      <c r="P229" s="197">
        <f ca="1">SMALL($Z$227:$Z$252,3)</f>
        <v>3205</v>
      </c>
      <c r="Q229" s="185">
        <f t="shared" si="192"/>
        <v>0</v>
      </c>
      <c r="R229" s="185">
        <f t="shared" si="193"/>
        <v>0</v>
      </c>
      <c r="S229" s="185">
        <f t="shared" si="194"/>
        <v>0</v>
      </c>
      <c r="T229" s="185">
        <f t="shared" si="195"/>
        <v>0</v>
      </c>
      <c r="U229" s="185">
        <f t="shared" si="196"/>
        <v>0</v>
      </c>
      <c r="V229" s="185">
        <f t="shared" si="197"/>
        <v>0</v>
      </c>
      <c r="W229" s="185">
        <f t="shared" si="198"/>
        <v>0</v>
      </c>
      <c r="X229" s="185">
        <f t="shared" si="199"/>
        <v>0</v>
      </c>
      <c r="Y229" s="185">
        <f t="shared" si="200"/>
        <v>0</v>
      </c>
      <c r="Z229" s="196">
        <f t="shared" ca="1" si="201"/>
        <v>8671</v>
      </c>
      <c r="AA229" s="185" t="str">
        <f t="shared" si="202"/>
        <v>Offererad produktnr. 09Advania Sverige AB</v>
      </c>
      <c r="AB229" s="185" t="b">
        <f>IF(D228="",TRUE,IF(COUNTIF(Processor!$M$2:$M$3,D228)=0,IF(AN229=D228,TRUE,FALSE),IF(COUNTIF(AN229,INDEX(Processor!$N$2:$N$3,MATCH(Surfplattor!D228,Processor!$M$2:$M$3,0)))&gt;0,TRUE,FALSE)))</f>
        <v>1</v>
      </c>
      <c r="AC229" s="185" t="b">
        <f>IF($D$229="",TRUE,IF(COUNTIF(Processor!$I$2:$I$9,$D$229)&gt;0,AND(AO229&gt;INDEX(Processor!$J$2:$J$9,MATCH($D$229,Processor!$I$2:$I$9,0)),AO229&lt;INDEX(Processor!$K$2:$K$9,MATCH($D$229,Processor!$I$2:$I$9,0))),IF(AO229=$D$229,TRUE,FALSE)))</f>
        <v>1</v>
      </c>
      <c r="AD229" s="185" t="b">
        <f t="shared" si="203"/>
        <v>1</v>
      </c>
      <c r="AE229" s="185" t="b">
        <f t="shared" si="204"/>
        <v>1</v>
      </c>
      <c r="AF229" s="185" t="b">
        <f t="shared" si="205"/>
        <v>1</v>
      </c>
      <c r="AG229" s="185" t="b">
        <f t="shared" si="206"/>
        <v>1</v>
      </c>
      <c r="AH229" s="185" t="b">
        <f>IF($D$234="",TRUE,IF(INDEX(Processor!$C$14:$C$20,MATCH(LEFT(AT229,10)&amp;"",Processor!$A$14:$A$20,0))&gt;=INDEX(Processor!$C$14:$C$20,MATCH(LEFT($D$234,10)&amp;"",Processor!$A$14:$A$20,0)),TRUE,FALSE))</f>
        <v>1</v>
      </c>
      <c r="AI229" s="185" t="b">
        <f t="shared" si="207"/>
        <v>1</v>
      </c>
      <c r="AJ229" s="185"/>
      <c r="AK229" s="185"/>
      <c r="AL229" s="185" t="s">
        <v>206</v>
      </c>
      <c r="AM229" s="185">
        <v>1</v>
      </c>
      <c r="AN229" s="185" t="str">
        <f t="shared" ca="1" si="208"/>
        <v>Android 11</v>
      </c>
      <c r="AO229" s="185">
        <f t="shared" ca="1" si="208"/>
        <v>11</v>
      </c>
      <c r="AP229" s="185" t="str">
        <f t="shared" ca="1" si="208"/>
        <v>2560x1600</v>
      </c>
      <c r="AQ229" s="185">
        <f t="shared" ca="1" si="208"/>
        <v>128</v>
      </c>
      <c r="AR229" s="185">
        <f t="shared" ca="1" si="208"/>
        <v>5.3</v>
      </c>
      <c r="AS229" s="185" t="str">
        <f t="shared" ca="1" si="208"/>
        <v>802.11a/b/g/n/ac/ax</v>
      </c>
      <c r="AT229" s="185">
        <f t="shared" ca="1" si="208"/>
        <v>13</v>
      </c>
      <c r="AU229" s="185" t="str">
        <f t="shared" ca="1" si="208"/>
        <v>Ej miljömärkt</v>
      </c>
      <c r="AV229" s="185" t="str">
        <f t="shared" ca="1" si="208"/>
        <v>802.11a/b/g/n/ac/ax</v>
      </c>
      <c r="AW229" s="185">
        <f t="shared" ca="1" si="208"/>
        <v>5.3</v>
      </c>
      <c r="AX229" s="185">
        <f t="shared" ca="1" si="209"/>
        <v>13</v>
      </c>
      <c r="AY229" s="185" t="str">
        <f t="shared" ca="1" si="209"/>
        <v>Samsung Galaxy Tab S9</v>
      </c>
      <c r="AZ229" s="185">
        <f t="shared" ca="1" si="209"/>
        <v>0</v>
      </c>
      <c r="BA229" s="185" t="str">
        <f t="shared" ca="1" si="209"/>
        <v>Android 11</v>
      </c>
      <c r="BB229" s="185">
        <f t="shared" ca="1" si="209"/>
        <v>8671</v>
      </c>
      <c r="BC229" s="185">
        <f t="shared" ca="1" si="209"/>
        <v>8671</v>
      </c>
      <c r="BD229" s="192" t="str">
        <f t="shared" ca="1" si="209"/>
        <v>Insmat</v>
      </c>
      <c r="BE229" s="192" t="str">
        <f t="shared" ca="1" si="209"/>
        <v>Samsung</v>
      </c>
      <c r="BF229" s="192" t="str">
        <f t="shared" ca="1" si="209"/>
        <v>CoreParts</v>
      </c>
      <c r="BG229" s="192" t="str">
        <f t="shared" ca="1" si="209"/>
        <v>DELTACO</v>
      </c>
      <c r="BH229" s="192" t="str">
        <f t="shared" ca="1" si="210"/>
        <v>Samsung</v>
      </c>
      <c r="BI229" s="192" t="str">
        <f t="shared" ca="1" si="210"/>
        <v xml:space="preserve">652-1287 - Baksidesskydd för surfplatta - robust - rugged armor </v>
      </c>
      <c r="BJ229" s="192" t="str">
        <f t="shared" ca="1" si="210"/>
        <v>EF-UX710CTEGWW - EF-UX710 - Skärmskydd för surfplatta</v>
      </c>
      <c r="BK229" s="192" t="str">
        <f t="shared" ca="1" si="210"/>
        <v>MBXUSB-AC0011 - Strömadapter - 12 Watt - 2.4 A (USB) - på kabel: USB-C - vit - med USB-C cable (2m)</v>
      </c>
      <c r="BL229" s="192" t="str">
        <f t="shared" ca="1" si="210"/>
        <v>TB-631</v>
      </c>
      <c r="BM229" s="192" t="str">
        <f t="shared" ca="1" si="210"/>
        <v>EJ-PX710BBEGEU - S Pen - Aktiv penna - Bluetooth</v>
      </c>
      <c r="BN229" s="192">
        <f t="shared" ca="1" si="210"/>
        <v>174</v>
      </c>
      <c r="BO229" s="192">
        <f t="shared" ca="1" si="210"/>
        <v>219</v>
      </c>
      <c r="BP229" s="192">
        <f t="shared" ca="1" si="210"/>
        <v>108</v>
      </c>
      <c r="BQ229" s="192">
        <f t="shared" ca="1" si="210"/>
        <v>169</v>
      </c>
      <c r="BR229" s="192">
        <f t="shared" ca="1" si="210"/>
        <v>295</v>
      </c>
      <c r="BS229" s="192">
        <f t="shared" ca="1" si="210"/>
        <v>269</v>
      </c>
      <c r="BT229" s="192">
        <f t="shared" ca="1" si="210"/>
        <v>50</v>
      </c>
      <c r="BU229" s="192">
        <f t="shared" ca="1" si="210"/>
        <v>50</v>
      </c>
      <c r="BV229" s="192">
        <f t="shared" ca="1" si="210"/>
        <v>0</v>
      </c>
      <c r="BW229" s="192"/>
      <c r="BX229" s="192"/>
      <c r="BY229" s="192" t="str">
        <f t="shared" ca="1" si="211"/>
        <v>Advania Sverige AB</v>
      </c>
      <c r="BZ229" s="192" t="str">
        <f t="shared" ca="1" si="211"/>
        <v>Samsung</v>
      </c>
      <c r="CA229" s="199" t="s">
        <v>90</v>
      </c>
      <c r="CB229" s="185">
        <v>0</v>
      </c>
      <c r="CC229" s="186">
        <v>5</v>
      </c>
      <c r="CD229" s="185"/>
      <c r="CE229" s="185">
        <v>10.199999999999999</v>
      </c>
      <c r="CF229" s="185" t="s">
        <v>144</v>
      </c>
      <c r="CG229" s="185" t="s">
        <v>96</v>
      </c>
      <c r="CH229" s="185" t="s">
        <v>94</v>
      </c>
      <c r="CI229" s="185"/>
      <c r="CJ229" s="186">
        <v>5</v>
      </c>
      <c r="CK229" s="185" t="s">
        <v>144</v>
      </c>
      <c r="CL229" s="185"/>
      <c r="CM229" s="185"/>
      <c r="CN229" s="185" t="s">
        <v>91</v>
      </c>
    </row>
    <row r="230" spans="2:94" ht="22.5" customHeight="1" outlineLevel="1" x14ac:dyDescent="0.35">
      <c r="C230" s="61" t="s">
        <v>2</v>
      </c>
      <c r="D230" s="64"/>
      <c r="F230" s="78" t="str">
        <f t="shared" si="212"/>
        <v/>
      </c>
      <c r="G230" s="79" t="str">
        <f t="shared" ca="1" si="213"/>
        <v>1920x1200</v>
      </c>
      <c r="H230" s="79" t="str">
        <f t="shared" ca="1" si="213"/>
        <v>1920x1200</v>
      </c>
      <c r="I230" s="120" t="str">
        <f t="shared" ca="1" si="213"/>
        <v>2160x1620</v>
      </c>
      <c r="J230" s="62"/>
      <c r="K230" s="185">
        <f t="shared" ca="1" si="189"/>
        <v>0</v>
      </c>
      <c r="L230" s="185" t="b">
        <f t="shared" si="190"/>
        <v>1</v>
      </c>
      <c r="M230" s="185" t="s">
        <v>169</v>
      </c>
      <c r="N230" s="185" t="str">
        <f t="shared" ca="1" si="191"/>
        <v>Offererad produktnr. 08Foxway Education AB</v>
      </c>
      <c r="O230" s="185" cm="1">
        <f t="array" aca="1" ref="O230" ca="1">MIN(IF(($BY$227:$BY$250=M230)*($AM$227:$AM$250=$O$224),$Z$227:$Z$250))</f>
        <v>3894</v>
      </c>
      <c r="P230" s="197"/>
      <c r="Q230" s="185">
        <f t="shared" si="192"/>
        <v>0</v>
      </c>
      <c r="R230" s="185">
        <f t="shared" si="193"/>
        <v>0</v>
      </c>
      <c r="S230" s="185">
        <f t="shared" si="194"/>
        <v>0</v>
      </c>
      <c r="T230" s="185">
        <f t="shared" si="195"/>
        <v>0</v>
      </c>
      <c r="U230" s="185">
        <f t="shared" si="196"/>
        <v>0</v>
      </c>
      <c r="V230" s="185">
        <f t="shared" si="197"/>
        <v>0</v>
      </c>
      <c r="W230" s="185">
        <f t="shared" si="198"/>
        <v>0</v>
      </c>
      <c r="X230" s="185">
        <f t="shared" si="199"/>
        <v>0</v>
      </c>
      <c r="Y230" s="185">
        <f t="shared" si="200"/>
        <v>0</v>
      </c>
      <c r="Z230" s="196">
        <f t="shared" ca="1" si="201"/>
        <v>6116</v>
      </c>
      <c r="AA230" s="185" t="str">
        <f t="shared" si="202"/>
        <v>Offererad produktnr. 10Advania Sverige AB</v>
      </c>
      <c r="AB230" s="185" t="b">
        <f>IF(D228="",TRUE,IF(COUNTIF(Processor!$M$2:$M$3,D228)=0,IF(AN230=D228,TRUE,FALSE),IF(COUNTIF(AN230,INDEX(Processor!$N$2:$N$3,MATCH(Surfplattor!D228,Processor!$M$2:$M$3,0)))&gt;0,TRUE,FALSE)))</f>
        <v>1</v>
      </c>
      <c r="AC230" s="185" t="b">
        <f>IF($D$229="",TRUE,IF(COUNTIF(Processor!$I$2:$I$9,$D$229)&gt;0,AND(AO230&gt;INDEX(Processor!$J$2:$J$9,MATCH($D$229,Processor!$I$2:$I$9,0)),AO230&lt;INDEX(Processor!$K$2:$K$9,MATCH($D$229,Processor!$I$2:$I$9,0))),IF(AO230=$D$229,TRUE,FALSE)))</f>
        <v>1</v>
      </c>
      <c r="AD230" s="185" t="b">
        <f t="shared" si="203"/>
        <v>1</v>
      </c>
      <c r="AE230" s="185" t="b">
        <f t="shared" si="204"/>
        <v>1</v>
      </c>
      <c r="AF230" s="185" t="b">
        <f t="shared" si="205"/>
        <v>1</v>
      </c>
      <c r="AG230" s="185" t="b">
        <f t="shared" si="206"/>
        <v>1</v>
      </c>
      <c r="AH230" s="185" t="b">
        <f>IF($D$234="",TRUE,IF(INDEX(Processor!$C$14:$C$20,MATCH(LEFT(AT230,10)&amp;"",Processor!$A$14:$A$20,0))&gt;=INDEX(Processor!$C$14:$C$20,MATCH(LEFT($D$234,10)&amp;"",Processor!$A$14:$A$20,0)),TRUE,FALSE))</f>
        <v>1</v>
      </c>
      <c r="AI230" s="185" t="b">
        <f t="shared" si="207"/>
        <v>1</v>
      </c>
      <c r="AJ230" s="185"/>
      <c r="AK230" s="185"/>
      <c r="AL230" s="185" t="s">
        <v>207</v>
      </c>
      <c r="AM230" s="185">
        <v>1</v>
      </c>
      <c r="AN230" s="185" t="str">
        <f t="shared" ca="1" si="208"/>
        <v>Android 11</v>
      </c>
      <c r="AO230" s="185">
        <f t="shared" ca="1" si="208"/>
        <v>11</v>
      </c>
      <c r="AP230" s="185" t="str">
        <f t="shared" ca="1" si="208"/>
        <v>2560x1600</v>
      </c>
      <c r="AQ230" s="185">
        <f t="shared" ca="1" si="208"/>
        <v>128</v>
      </c>
      <c r="AR230" s="185">
        <f t="shared" ca="1" si="208"/>
        <v>5.2</v>
      </c>
      <c r="AS230" s="185" t="str">
        <f t="shared" ca="1" si="208"/>
        <v>802.11a/b/g/n/ac/ax</v>
      </c>
      <c r="AT230" s="185">
        <f t="shared" ca="1" si="208"/>
        <v>13</v>
      </c>
      <c r="AU230" s="185" t="str">
        <f t="shared" ca="1" si="208"/>
        <v>Ej miljömärkt</v>
      </c>
      <c r="AV230" s="185" t="str">
        <f t="shared" ca="1" si="208"/>
        <v>802.11a/b/g/n/ac/ax</v>
      </c>
      <c r="AW230" s="185">
        <f t="shared" ca="1" si="208"/>
        <v>5.2</v>
      </c>
      <c r="AX230" s="185">
        <f t="shared" ca="1" si="209"/>
        <v>13</v>
      </c>
      <c r="AY230" s="185" t="str">
        <f t="shared" ca="1" si="209"/>
        <v>Samsung Galaxy Tab S8</v>
      </c>
      <c r="AZ230" s="185">
        <f t="shared" ca="1" si="209"/>
        <v>0</v>
      </c>
      <c r="BA230" s="185" t="str">
        <f t="shared" ca="1" si="209"/>
        <v>Android 11</v>
      </c>
      <c r="BB230" s="185">
        <f t="shared" ca="1" si="209"/>
        <v>6116</v>
      </c>
      <c r="BC230" s="185">
        <f t="shared" ca="1" si="209"/>
        <v>6116</v>
      </c>
      <c r="BD230" s="192" t="str">
        <f t="shared" ca="1" si="209"/>
        <v>Insmat</v>
      </c>
      <c r="BE230" s="192" t="str">
        <f t="shared" ca="1" si="209"/>
        <v>Tolerate</v>
      </c>
      <c r="BF230" s="192" t="str">
        <f t="shared" ca="1" si="209"/>
        <v>CoreParts</v>
      </c>
      <c r="BG230" s="192" t="str">
        <f t="shared" ca="1" si="209"/>
        <v>DELTACO</v>
      </c>
      <c r="BH230" s="192" t="str">
        <f t="shared" ca="1" si="210"/>
        <v xml:space="preserve">ZAGG </v>
      </c>
      <c r="BI230" s="192" t="str">
        <f t="shared" ca="1" si="210"/>
        <v xml:space="preserve">652-1287 - Baksidesskydd för surfplatta - robust - rugged armor </v>
      </c>
      <c r="BJ230" s="192" t="str">
        <f t="shared" ca="1" si="210"/>
        <v>ED600189 - Skärmskydd för surfplatta</v>
      </c>
      <c r="BK230" s="192" t="str">
        <f t="shared" ca="1" si="210"/>
        <v>MBXUSB-AC0011 - Strömadapter - 12 Watt - 2.4 A (USB) - på kabel: USB-C - vit - med USB-C cable (2m)</v>
      </c>
      <c r="BL230" s="192" t="str">
        <f t="shared" ca="1" si="210"/>
        <v>TB-631</v>
      </c>
      <c r="BM230" s="192" t="str">
        <f t="shared" ca="1" si="210"/>
        <v>109912139 - Pro Stylus 2 - Aktiv penna - grå</v>
      </c>
      <c r="BN230" s="192">
        <f t="shared" ca="1" si="210"/>
        <v>181</v>
      </c>
      <c r="BO230" s="192">
        <f t="shared" ca="1" si="210"/>
        <v>228</v>
      </c>
      <c r="BP230" s="192">
        <f t="shared" ca="1" si="210"/>
        <v>108</v>
      </c>
      <c r="BQ230" s="192">
        <f t="shared" ca="1" si="210"/>
        <v>169</v>
      </c>
      <c r="BR230" s="192">
        <f t="shared" ca="1" si="210"/>
        <v>595</v>
      </c>
      <c r="BS230" s="192">
        <f t="shared" ca="1" si="210"/>
        <v>781</v>
      </c>
      <c r="BT230" s="192">
        <f t="shared" ca="1" si="210"/>
        <v>50</v>
      </c>
      <c r="BU230" s="192">
        <f t="shared" ca="1" si="210"/>
        <v>50</v>
      </c>
      <c r="BV230" s="192">
        <f t="shared" ca="1" si="210"/>
        <v>0</v>
      </c>
      <c r="BW230" s="192"/>
      <c r="BX230" s="192"/>
      <c r="BY230" s="192" t="str">
        <f t="shared" ca="1" si="211"/>
        <v>Advania Sverige AB</v>
      </c>
      <c r="BZ230" s="192" t="str">
        <f t="shared" ca="1" si="211"/>
        <v>Samsung</v>
      </c>
      <c r="CA230" s="199" t="s">
        <v>95</v>
      </c>
      <c r="CB230" s="185"/>
      <c r="CC230" s="185"/>
      <c r="CD230" s="185"/>
      <c r="CE230" s="185">
        <v>10.3</v>
      </c>
      <c r="CF230" s="185" t="s">
        <v>130</v>
      </c>
      <c r="CG230" s="185" t="s">
        <v>530</v>
      </c>
      <c r="CH230" s="185" t="s">
        <v>171</v>
      </c>
      <c r="CI230" s="185"/>
      <c r="CJ230" s="185">
        <v>5.2</v>
      </c>
      <c r="CK230" s="185" t="s">
        <v>130</v>
      </c>
      <c r="CL230" s="185"/>
      <c r="CM230" s="185"/>
      <c r="CN230" s="185" t="s">
        <v>96</v>
      </c>
    </row>
    <row r="231" spans="2:94" ht="22.5" customHeight="1" outlineLevel="1" x14ac:dyDescent="0.35">
      <c r="C231" s="61" t="s">
        <v>17</v>
      </c>
      <c r="D231" s="64"/>
      <c r="F231" s="78" t="str">
        <f t="shared" si="212"/>
        <v/>
      </c>
      <c r="G231" s="79">
        <f t="shared" ca="1" si="213"/>
        <v>64</v>
      </c>
      <c r="H231" s="79">
        <f t="shared" ca="1" si="213"/>
        <v>64</v>
      </c>
      <c r="I231" s="120">
        <f t="shared" ca="1" si="213"/>
        <v>64</v>
      </c>
      <c r="J231" s="62"/>
      <c r="K231" s="185">
        <f t="shared" ca="1" si="189"/>
        <v>0</v>
      </c>
      <c r="L231" s="185" t="b">
        <f t="shared" si="190"/>
        <v>1</v>
      </c>
      <c r="M231" s="185" t="s">
        <v>167</v>
      </c>
      <c r="N231" s="185" t="str">
        <f t="shared" ca="1" si="191"/>
        <v/>
      </c>
      <c r="O231" s="185" cm="1">
        <f t="array" aca="1" ref="O231" ca="1">MIN(IF(($BY$227:$BY$250=M231)*($AM$227:$AM$250=$O$224),$Z$227:$Z$250))</f>
        <v>0</v>
      </c>
      <c r="P231" s="197"/>
      <c r="Q231" s="185">
        <f t="shared" si="192"/>
        <v>0</v>
      </c>
      <c r="R231" s="185">
        <f t="shared" si="193"/>
        <v>0</v>
      </c>
      <c r="S231" s="185">
        <f t="shared" si="194"/>
        <v>0</v>
      </c>
      <c r="T231" s="185">
        <f t="shared" si="195"/>
        <v>0</v>
      </c>
      <c r="U231" s="185">
        <f t="shared" si="196"/>
        <v>0</v>
      </c>
      <c r="V231" s="185">
        <f t="shared" si="197"/>
        <v>0</v>
      </c>
      <c r="W231" s="185">
        <f t="shared" si="198"/>
        <v>0</v>
      </c>
      <c r="X231" s="185">
        <f t="shared" si="199"/>
        <v>0</v>
      </c>
      <c r="Y231" s="185">
        <f t="shared" si="200"/>
        <v>0</v>
      </c>
      <c r="Z231" s="196">
        <f t="shared" ca="1" si="201"/>
        <v>9140</v>
      </c>
      <c r="AA231" s="185" t="str">
        <f t="shared" si="202"/>
        <v>Offererad produktnr. 07Atea Sverige AB</v>
      </c>
      <c r="AB231" s="185" t="b">
        <f>IF(D228="",TRUE,IF(COUNTIF(Processor!$M$2:$M$3,D228)=0,IF(AN231=D228,TRUE,FALSE),IF(COUNTIF(AN231,INDEX(Processor!$N$2:$N$3,MATCH(Surfplattor!D228,Processor!$M$2:$M$3,0)))&gt;0,TRUE,FALSE)))</f>
        <v>1</v>
      </c>
      <c r="AC231" s="185" t="b">
        <f>IF($D$229="",TRUE,IF(COUNTIF(Processor!$I$2:$I$9,$D$229)&gt;0,AND(AO231&gt;INDEX(Processor!$J$2:$J$9,MATCH($D$229,Processor!$I$2:$I$9,0)),AO231&lt;INDEX(Processor!$K$2:$K$9,MATCH($D$229,Processor!$I$2:$I$9,0))),IF(AO231=$D$229,TRUE,FALSE)))</f>
        <v>1</v>
      </c>
      <c r="AD231" s="185" t="b">
        <f t="shared" si="203"/>
        <v>1</v>
      </c>
      <c r="AE231" s="185" t="b">
        <f t="shared" si="204"/>
        <v>1</v>
      </c>
      <c r="AF231" s="185" t="b">
        <f t="shared" si="205"/>
        <v>1</v>
      </c>
      <c r="AG231" s="185" t="b">
        <f t="shared" si="206"/>
        <v>1</v>
      </c>
      <c r="AH231" s="185" t="b">
        <f>IF($D$234="",TRUE,IF(INDEX(Processor!$C$14:$C$20,MATCH(LEFT(AT231,10)&amp;"",Processor!$A$14:$A$20,0))&gt;=INDEX(Processor!$C$14:$C$20,MATCH(LEFT($D$234,10)&amp;"",Processor!$A$14:$A$20,0)),TRUE,FALSE))</f>
        <v>1</v>
      </c>
      <c r="AI231" s="185" t="b">
        <f t="shared" si="207"/>
        <v>1</v>
      </c>
      <c r="AJ231" s="185"/>
      <c r="AK231" s="185"/>
      <c r="AL231" s="185" t="s">
        <v>192</v>
      </c>
      <c r="AM231" s="185">
        <v>1</v>
      </c>
      <c r="AN231" s="185" t="str">
        <f t="shared" ca="1" si="208"/>
        <v>iPadOS 15</v>
      </c>
      <c r="AO231" s="185">
        <f t="shared" ca="1" si="208"/>
        <v>10.9</v>
      </c>
      <c r="AP231" s="185" t="str">
        <f t="shared" ca="1" si="208"/>
        <v>2360x1640</v>
      </c>
      <c r="AQ231" s="185">
        <f t="shared" ca="1" si="208"/>
        <v>64</v>
      </c>
      <c r="AR231" s="185">
        <f t="shared" ca="1" si="208"/>
        <v>5</v>
      </c>
      <c r="AS231" s="185" t="str">
        <f t="shared" ca="1" si="208"/>
        <v>802.11a/b/g/n/ac/ax</v>
      </c>
      <c r="AT231" s="185">
        <f t="shared" ca="1" si="208"/>
        <v>10</v>
      </c>
      <c r="AU231" s="185" t="str">
        <f t="shared" ca="1" si="208"/>
        <v>EPEAT Gold</v>
      </c>
      <c r="AV231" s="185" t="str">
        <f t="shared" ca="1" si="208"/>
        <v>802.11a/b/g/n/ac/ax</v>
      </c>
      <c r="AW231" s="185">
        <f t="shared" ca="1" si="208"/>
        <v>5</v>
      </c>
      <c r="AX231" s="185">
        <f t="shared" ca="1" si="209"/>
        <v>10</v>
      </c>
      <c r="AY231" s="185" t="str">
        <f t="shared" ca="1" si="209"/>
        <v>10.9-inch iPad Air Wi-Fi 5th Gen</v>
      </c>
      <c r="AZ231" s="185">
        <f t="shared" ca="1" si="209"/>
        <v>0</v>
      </c>
      <c r="BA231" s="185" t="str">
        <f t="shared" ca="1" si="209"/>
        <v>iPadOS 15</v>
      </c>
      <c r="BB231" s="185">
        <f t="shared" ca="1" si="209"/>
        <v>9140</v>
      </c>
      <c r="BC231" s="185">
        <f t="shared" ca="1" si="209"/>
        <v>9140</v>
      </c>
      <c r="BD231" s="192" t="str">
        <f t="shared" ca="1" si="209"/>
        <v>ZAGG</v>
      </c>
      <c r="BE231" s="192" t="str">
        <f t="shared" ca="1" si="209"/>
        <v>ZAGG</v>
      </c>
      <c r="BF231" s="192" t="str">
        <f t="shared" ca="1" si="209"/>
        <v xml:space="preserve">Mophie </v>
      </c>
      <c r="BG231" s="192" t="str">
        <f t="shared" ca="1" si="209"/>
        <v>Tolerate</v>
      </c>
      <c r="BH231" s="192" t="str">
        <f t="shared" ca="1" si="210"/>
        <v>Apple</v>
      </c>
      <c r="BI231" s="192" t="str">
        <f t="shared" ca="1" si="210"/>
        <v>GEAR4 Case Brompton + Folio Apple iPad Air 10.9" (4th Gen)/ iPad Pro 11" (1st &amp; 2nd Gen) - smoke</v>
      </c>
      <c r="BJ231" s="192" t="str">
        <f t="shared" ca="1" si="210"/>
        <v>InvisibleShield Glass Elite+ iPad Air 4/11P (2021) Case friendly Screen</v>
      </c>
      <c r="BK231" s="192" t="str">
        <f t="shared" ca="1" si="210"/>
        <v>Mophie USB typ C-kabel/MOPHIE WALL ADAPTER USB-C 20W</v>
      </c>
      <c r="BL231" s="192" t="str">
        <f t="shared" ca="1" si="210"/>
        <v>TOLERATE KEYBOARD FOLIO IPAD AIR 10,9 BLACK</v>
      </c>
      <c r="BM231" s="192" t="str">
        <f t="shared" ca="1" si="210"/>
        <v>Apple Pencil 2nd Generation - Penna för surfplatta - för 10.9-inch iPad Air (4th generation); 11-inch iPad Pro (1st generation, 2nd generation, 3rd generation); 12.9-inch iPad Pro (3rd generation, 4th generation, 5th generation)</v>
      </c>
      <c r="BN231" s="192">
        <f t="shared" ca="1" si="210"/>
        <v>344</v>
      </c>
      <c r="BO231" s="192">
        <f t="shared" ca="1" si="210"/>
        <v>302</v>
      </c>
      <c r="BP231" s="192">
        <f t="shared" ca="1" si="210"/>
        <v>289</v>
      </c>
      <c r="BQ231" s="192">
        <f t="shared" ca="1" si="210"/>
        <v>756</v>
      </c>
      <c r="BR231" s="192">
        <f t="shared" ca="1" si="210"/>
        <v>1742</v>
      </c>
      <c r="BS231" s="192">
        <f t="shared" ca="1" si="210"/>
        <v>672</v>
      </c>
      <c r="BT231" s="192">
        <f t="shared" ca="1" si="210"/>
        <v>85</v>
      </c>
      <c r="BU231" s="192">
        <f t="shared" ca="1" si="210"/>
        <v>100</v>
      </c>
      <c r="BV231" s="192">
        <f t="shared" ca="1" si="210"/>
        <v>0</v>
      </c>
      <c r="BW231" s="192"/>
      <c r="BX231" s="192"/>
      <c r="BY231" s="192" t="str">
        <f t="shared" ca="1" si="211"/>
        <v>Atea Sverige AB</v>
      </c>
      <c r="BZ231" s="192" t="str">
        <f t="shared" ca="1" si="211"/>
        <v>Apple</v>
      </c>
      <c r="CA231" s="199" t="s">
        <v>435</v>
      </c>
      <c r="CB231" s="185"/>
      <c r="CC231" s="185"/>
      <c r="CD231" s="185"/>
      <c r="CE231" s="185">
        <v>10.4</v>
      </c>
      <c r="CF231" s="185" t="s">
        <v>225</v>
      </c>
      <c r="CG231" s="185" t="s">
        <v>165</v>
      </c>
      <c r="CH231" s="185"/>
      <c r="CI231" s="185"/>
      <c r="CJ231" s="185"/>
      <c r="CK231" s="185" t="s">
        <v>225</v>
      </c>
      <c r="CL231" s="185"/>
      <c r="CM231" s="185"/>
      <c r="CN231" s="185"/>
    </row>
    <row r="232" spans="2:94" ht="28.5" customHeight="1" outlineLevel="1" x14ac:dyDescent="0.35">
      <c r="C232" s="61" t="s">
        <v>75</v>
      </c>
      <c r="D232" s="110"/>
      <c r="F232" s="78" t="str">
        <f t="shared" si="212"/>
        <v/>
      </c>
      <c r="G232" s="79">
        <f t="shared" ca="1" si="213"/>
        <v>5</v>
      </c>
      <c r="H232" s="79">
        <f t="shared" ca="1" si="213"/>
        <v>5</v>
      </c>
      <c r="I232" s="120">
        <f t="shared" ca="1" si="213"/>
        <v>4.2</v>
      </c>
      <c r="J232" s="62"/>
      <c r="K232" s="185">
        <f t="shared" ca="1" si="189"/>
        <v>0</v>
      </c>
      <c r="L232" s="185" t="b">
        <f t="shared" si="190"/>
        <v>1</v>
      </c>
      <c r="M232" s="185" t="s">
        <v>546</v>
      </c>
      <c r="N232" s="185" t="str">
        <f t="shared" ca="1" si="191"/>
        <v>Offererad produktnr. 07Qlosr Göteborg AB</v>
      </c>
      <c r="O232" s="185" cm="1">
        <f t="array" aca="1" ref="O232" ca="1">MIN(IF(($BY$227:$BY$250=M232)*($AM$227:$AM$250=$O$224),$Z$227:$Z$250))</f>
        <v>1700</v>
      </c>
      <c r="P232" s="197"/>
      <c r="Q232" s="185">
        <f t="shared" si="192"/>
        <v>0</v>
      </c>
      <c r="R232" s="185">
        <f t="shared" si="193"/>
        <v>0</v>
      </c>
      <c r="S232" s="185">
        <f t="shared" si="194"/>
        <v>0</v>
      </c>
      <c r="T232" s="185">
        <f t="shared" si="195"/>
        <v>0</v>
      </c>
      <c r="U232" s="185">
        <f t="shared" si="196"/>
        <v>0</v>
      </c>
      <c r="V232" s="185">
        <f t="shared" si="197"/>
        <v>0</v>
      </c>
      <c r="W232" s="185">
        <f t="shared" si="198"/>
        <v>0</v>
      </c>
      <c r="X232" s="185">
        <f t="shared" si="199"/>
        <v>0</v>
      </c>
      <c r="Y232" s="185">
        <f t="shared" si="200"/>
        <v>0</v>
      </c>
      <c r="Z232" s="196">
        <f t="shared" ca="1" si="201"/>
        <v>5254</v>
      </c>
      <c r="AA232" s="185" t="str">
        <f t="shared" si="202"/>
        <v>Offererad produktnr. 08Atea Sverige AB</v>
      </c>
      <c r="AB232" s="185" t="b">
        <f>IF(D228="",TRUE,IF(COUNTIF(Processor!$M$2:$M$3,D228)=0,IF(AN232=D228,TRUE,FALSE),IF(COUNTIF(AN232,INDEX(Processor!$N$2:$N$3,MATCH(Surfplattor!D228,Processor!$M$2:$M$3,0)))&gt;0,TRUE,FALSE)))</f>
        <v>1</v>
      </c>
      <c r="AC232" s="185" t="b">
        <f>IF($D$229="",TRUE,IF(COUNTIF(Processor!$I$2:$I$9,$D$229)&gt;0,AND(AO232&gt;INDEX(Processor!$J$2:$J$9,MATCH($D$229,Processor!$I$2:$I$9,0)),AO232&lt;INDEX(Processor!$K$2:$K$9,MATCH($D$229,Processor!$I$2:$I$9,0))),IF(AO232=$D$229,TRUE,FALSE)))</f>
        <v>1</v>
      </c>
      <c r="AD232" s="185" t="b">
        <f t="shared" si="203"/>
        <v>1</v>
      </c>
      <c r="AE232" s="185" t="b">
        <f t="shared" si="204"/>
        <v>1</v>
      </c>
      <c r="AF232" s="185" t="b">
        <f t="shared" si="205"/>
        <v>1</v>
      </c>
      <c r="AG232" s="185" t="b">
        <f t="shared" si="206"/>
        <v>1</v>
      </c>
      <c r="AH232" s="185" t="b">
        <f>IF($D$234="",TRUE,IF(INDEX(Processor!$C$14:$C$20,MATCH(LEFT(AT232,10)&amp;"",Processor!$A$14:$A$20,0))&gt;=INDEX(Processor!$C$14:$C$20,MATCH(LEFT($D$234,10)&amp;"",Processor!$A$14:$A$20,0)),TRUE,FALSE))</f>
        <v>1</v>
      </c>
      <c r="AI232" s="185" t="b">
        <f t="shared" si="207"/>
        <v>1</v>
      </c>
      <c r="AJ232" s="185"/>
      <c r="AK232" s="185"/>
      <c r="AL232" s="185" t="s">
        <v>193</v>
      </c>
      <c r="AM232" s="185">
        <v>1</v>
      </c>
      <c r="AN232" s="185" t="str">
        <f t="shared" ca="1" si="208"/>
        <v>iPadOS 14</v>
      </c>
      <c r="AO232" s="185">
        <f t="shared" ca="1" si="208"/>
        <v>10.199999999999999</v>
      </c>
      <c r="AP232" s="185" t="str">
        <f t="shared" ca="1" si="208"/>
        <v>2160x1620</v>
      </c>
      <c r="AQ232" s="185">
        <f t="shared" ca="1" si="208"/>
        <v>64</v>
      </c>
      <c r="AR232" s="185">
        <f t="shared" ca="1" si="208"/>
        <v>4.2</v>
      </c>
      <c r="AS232" s="185" t="str">
        <f t="shared" ca="1" si="208"/>
        <v>802.11a/b/g/n/ac</v>
      </c>
      <c r="AT232" s="185">
        <f t="shared" ca="1" si="208"/>
        <v>10</v>
      </c>
      <c r="AU232" s="185" t="str">
        <f t="shared" ca="1" si="208"/>
        <v>EPEAT Gold</v>
      </c>
      <c r="AV232" s="185" t="str">
        <f t="shared" ca="1" si="208"/>
        <v>802.11a/b/g/n/ac</v>
      </c>
      <c r="AW232" s="185">
        <f t="shared" ca="1" si="208"/>
        <v>4.2</v>
      </c>
      <c r="AX232" s="185">
        <f t="shared" ca="1" si="209"/>
        <v>10</v>
      </c>
      <c r="AY232" s="185" t="str">
        <f t="shared" ca="1" si="209"/>
        <v>iPad Wi-Fi 9:e Generationen</v>
      </c>
      <c r="AZ232" s="185">
        <f t="shared" ca="1" si="209"/>
        <v>0</v>
      </c>
      <c r="BA232" s="185" t="str">
        <f t="shared" ca="1" si="209"/>
        <v>iPadOS 14</v>
      </c>
      <c r="BB232" s="185">
        <f t="shared" ca="1" si="209"/>
        <v>5254</v>
      </c>
      <c r="BC232" s="185">
        <f t="shared" ca="1" si="209"/>
        <v>5254</v>
      </c>
      <c r="BD232" s="192" t="str">
        <f t="shared" ca="1" si="209"/>
        <v>ZAGG</v>
      </c>
      <c r="BE232" s="192" t="str">
        <f t="shared" ca="1" si="209"/>
        <v>ZAGG</v>
      </c>
      <c r="BF232" s="192" t="str">
        <f t="shared" ca="1" si="209"/>
        <v>Mophie</v>
      </c>
      <c r="BG232" s="192" t="str">
        <f t="shared" ca="1" si="209"/>
        <v>Tolerate</v>
      </c>
      <c r="BH232" s="192" t="str">
        <f t="shared" ca="1" si="210"/>
        <v>Apple</v>
      </c>
      <c r="BI232" s="192" t="str">
        <f t="shared" ca="1" si="210"/>
        <v>ZAGG Rugged Messenger Case - Skyddsfodral för surfplatta - robust - 10.2" - för Apple 10.2-inch iPad</v>
      </c>
      <c r="BJ232" s="192" t="str">
        <f t="shared" ca="1" si="210"/>
        <v>InvisibleShield Glass Elite+ Apple iPad 10.2" Screen</v>
      </c>
      <c r="BK232" s="192" t="str">
        <f t="shared" ca="1" si="210"/>
        <v>Wall Adapter-USB-C-20W-White-EU/mophie Charge and Sync Cable- USB-C to Lightning Cable 1.8M – White</v>
      </c>
      <c r="BL232" s="192" t="str">
        <f t="shared" ca="1" si="210"/>
        <v>Tolerate KEYBOARD FOLIO - Tangentbord och foliefodral - Bluetooth - svensk - svart - för Apple 10.2-inch iPad</v>
      </c>
      <c r="BM232" s="192" t="str">
        <f t="shared" ca="1" si="210"/>
        <v>Apple Pencil - Penna för surfplatta - för 10.2-inch iPad (7th generation, 8th generation); 10.5-inch iPad Air (3rd generation); 10.5-inch iPad Pro; 12.9-inch iPad Pro (1st generation, 2nd generation); 9.7-inch iPad (6th generation); 9.7-inch iPad Pro; iPad mini 5</v>
      </c>
      <c r="BN232" s="192">
        <f t="shared" ca="1" si="210"/>
        <v>430</v>
      </c>
      <c r="BO232" s="192">
        <f t="shared" ca="1" si="210"/>
        <v>302</v>
      </c>
      <c r="BP232" s="192">
        <f t="shared" ca="1" si="210"/>
        <v>226</v>
      </c>
      <c r="BQ232" s="192">
        <f t="shared" ca="1" si="210"/>
        <v>756</v>
      </c>
      <c r="BR232" s="192">
        <f t="shared" ca="1" si="210"/>
        <v>1284</v>
      </c>
      <c r="BS232" s="192">
        <f t="shared" ca="1" si="210"/>
        <v>672</v>
      </c>
      <c r="BT232" s="192">
        <f t="shared" ca="1" si="210"/>
        <v>85</v>
      </c>
      <c r="BU232" s="192">
        <f t="shared" ca="1" si="210"/>
        <v>100</v>
      </c>
      <c r="BV232" s="192">
        <f t="shared" ca="1" si="210"/>
        <v>0</v>
      </c>
      <c r="BW232" s="192"/>
      <c r="BX232" s="192"/>
      <c r="BY232" s="192" t="str">
        <f t="shared" ca="1" si="211"/>
        <v>Atea Sverige AB</v>
      </c>
      <c r="BZ232" s="192" t="str">
        <f t="shared" ca="1" si="211"/>
        <v>Apple</v>
      </c>
      <c r="CA232" s="199" t="s">
        <v>93</v>
      </c>
      <c r="CB232" s="185"/>
      <c r="CC232" s="185"/>
      <c r="CD232" s="185"/>
      <c r="CE232" s="185">
        <v>10.9</v>
      </c>
      <c r="CF232" s="185" t="s">
        <v>146</v>
      </c>
      <c r="CG232" s="185" t="s">
        <v>91</v>
      </c>
      <c r="CH232" s="185"/>
      <c r="CI232" s="185"/>
      <c r="CJ232" s="185"/>
      <c r="CK232" s="185" t="s">
        <v>146</v>
      </c>
      <c r="CL232" s="185"/>
      <c r="CM232" s="185"/>
      <c r="CN232" s="185"/>
    </row>
    <row r="233" spans="2:94" ht="29.25" customHeight="1" outlineLevel="1" x14ac:dyDescent="0.35">
      <c r="C233" s="61" t="s">
        <v>103</v>
      </c>
      <c r="D233" s="64"/>
      <c r="F233" s="78" t="str">
        <f t="shared" si="212"/>
        <v/>
      </c>
      <c r="G233" s="79" t="str">
        <f t="shared" ca="1" si="213"/>
        <v>802.11a/b/g/n/ac</v>
      </c>
      <c r="H233" s="79" t="str">
        <f t="shared" ca="1" si="213"/>
        <v>802.11a/b/g/n/ac</v>
      </c>
      <c r="I233" s="120" t="str">
        <f t="shared" ca="1" si="213"/>
        <v>802.11a/b/g/n/ac</v>
      </c>
      <c r="J233" s="62"/>
      <c r="Q233" s="185">
        <f t="shared" si="192"/>
        <v>0</v>
      </c>
      <c r="R233" s="185">
        <f t="shared" si="193"/>
        <v>0</v>
      </c>
      <c r="S233" s="185">
        <f t="shared" si="194"/>
        <v>0</v>
      </c>
      <c r="T233" s="185">
        <f t="shared" si="195"/>
        <v>0</v>
      </c>
      <c r="U233" s="185">
        <f t="shared" si="196"/>
        <v>0</v>
      </c>
      <c r="V233" s="185">
        <f t="shared" si="197"/>
        <v>0</v>
      </c>
      <c r="W233" s="185">
        <f t="shared" si="198"/>
        <v>0</v>
      </c>
      <c r="X233" s="185">
        <f t="shared" si="199"/>
        <v>0</v>
      </c>
      <c r="Y233" s="185">
        <f t="shared" si="200"/>
        <v>0</v>
      </c>
      <c r="Z233" s="196">
        <f t="shared" ca="1" si="201"/>
        <v>10177</v>
      </c>
      <c r="AA233" s="185" t="str">
        <f t="shared" si="202"/>
        <v>Offererad produktnr. 09Atea Sverige AB</v>
      </c>
      <c r="AB233" s="185" t="b">
        <f>IF(D228="",TRUE,IF(COUNTIF(Processor!$M$2:$M$3,D228)=0,IF(AN233=D228,TRUE,FALSE),IF(COUNTIF(AN233,INDEX(Processor!$N$2:$N$3,MATCH(Surfplattor!D228,Processor!$M$2:$M$3,0)))&gt;0,TRUE,FALSE)))</f>
        <v>1</v>
      </c>
      <c r="AC233" s="185" t="b">
        <f>IF($D$229="",TRUE,IF(COUNTIF(Processor!$I$2:$I$9,$D$229)&gt;0,AND(AO233&gt;INDEX(Processor!$J$2:$J$9,MATCH($D$229,Processor!$I$2:$I$9,0)),AO233&lt;INDEX(Processor!$K$2:$K$9,MATCH($D$229,Processor!$I$2:$I$9,0))),IF(AO233=$D$229,TRUE,FALSE)))</f>
        <v>1</v>
      </c>
      <c r="AD233" s="185" t="b">
        <f t="shared" si="203"/>
        <v>1</v>
      </c>
      <c r="AE233" s="185" t="b">
        <f t="shared" si="204"/>
        <v>1</v>
      </c>
      <c r="AF233" s="185" t="b">
        <f t="shared" si="205"/>
        <v>1</v>
      </c>
      <c r="AG233" s="185" t="b">
        <f t="shared" si="206"/>
        <v>1</v>
      </c>
      <c r="AH233" s="185" t="b">
        <f>IF($D$234="",TRUE,IF(INDEX(Processor!$C$14:$C$20,MATCH(LEFT(AT233,10)&amp;"",Processor!$A$14:$A$20,0))&gt;=INDEX(Processor!$C$14:$C$20,MATCH(LEFT($D$234,10)&amp;"",Processor!$A$14:$A$20,0)),TRUE,FALSE))</f>
        <v>1</v>
      </c>
      <c r="AI233" s="185" t="b">
        <f t="shared" si="207"/>
        <v>1</v>
      </c>
      <c r="AJ233" s="185"/>
      <c r="AK233" s="185"/>
      <c r="AL233" s="185" t="s">
        <v>194</v>
      </c>
      <c r="AM233" s="185">
        <v>1</v>
      </c>
      <c r="AN233" s="185" t="str">
        <f t="shared" ca="1" si="208"/>
        <v>Android 13</v>
      </c>
      <c r="AO233" s="185">
        <f t="shared" ca="1" si="208"/>
        <v>11</v>
      </c>
      <c r="AP233" s="185" t="str">
        <f t="shared" ca="1" si="208"/>
        <v>2560x1600</v>
      </c>
      <c r="AQ233" s="185">
        <f t="shared" ca="1" si="208"/>
        <v>128</v>
      </c>
      <c r="AR233" s="185">
        <f t="shared" ca="1" si="208"/>
        <v>5.3</v>
      </c>
      <c r="AS233" s="185" t="str">
        <f t="shared" ca="1" si="208"/>
        <v>802.11a/b/g/n/ac/ax</v>
      </c>
      <c r="AT233" s="185">
        <f t="shared" ca="1" si="208"/>
        <v>13</v>
      </c>
      <c r="AU233" s="185" t="str">
        <f t="shared" ca="1" si="208"/>
        <v>Ej miljömärkt</v>
      </c>
      <c r="AV233" s="185" t="str">
        <f t="shared" ca="1" si="208"/>
        <v>802.11a/b/g/n/ac/ax</v>
      </c>
      <c r="AW233" s="185">
        <f t="shared" ca="1" si="208"/>
        <v>5.3</v>
      </c>
      <c r="AX233" s="185">
        <f t="shared" ca="1" si="209"/>
        <v>13</v>
      </c>
      <c r="AY233" s="185" t="str">
        <f t="shared" ca="1" si="209"/>
        <v>Galaxy Tab S9 Wifi (128GB)</v>
      </c>
      <c r="AZ233" s="185">
        <f t="shared" ca="1" si="209"/>
        <v>0</v>
      </c>
      <c r="BA233" s="185" t="str">
        <f t="shared" ca="1" si="209"/>
        <v>Android 13</v>
      </c>
      <c r="BB233" s="185">
        <f t="shared" ca="1" si="209"/>
        <v>10177</v>
      </c>
      <c r="BC233" s="185">
        <f t="shared" ca="1" si="209"/>
        <v>10177</v>
      </c>
      <c r="BD233" s="192" t="str">
        <f t="shared" ca="1" si="209"/>
        <v>Tolerate</v>
      </c>
      <c r="BE233" s="192" t="str">
        <f t="shared" ca="1" si="209"/>
        <v>Tolerate</v>
      </c>
      <c r="BF233" s="192" t="str">
        <f t="shared" ca="1" si="209"/>
        <v>Samsung</v>
      </c>
      <c r="BG233" s="192" t="str">
        <f t="shared" ca="1" si="209"/>
        <v>Tolerate</v>
      </c>
      <c r="BH233" s="192" t="str">
        <f t="shared" ca="1" si="210"/>
        <v>Samsung</v>
      </c>
      <c r="BI233" s="192" t="str">
        <f t="shared" ca="1" si="210"/>
        <v>TOLERATE ARMOUR FOLIO TAB S9 BULK</v>
      </c>
      <c r="BJ233" s="192" t="str">
        <f t="shared" ca="1" si="210"/>
        <v>TOLERATE GLASS SCREEN PROTECTOR SAMSUNG TAB S9 BULK</v>
      </c>
      <c r="BK233" s="192" t="str">
        <f t="shared" ca="1" si="210"/>
        <v>Samsung Travel Adapter/USB-C till USB-A-kabel - 1.5 m</v>
      </c>
      <c r="BL233" s="192" t="str">
        <f t="shared" ca="1" si="210"/>
        <v xml:space="preserve">TOLERATE KEYBOARD FOLIO SAMSUNG TAB S8 </v>
      </c>
      <c r="BM233" s="192" t="str">
        <f t="shared" ca="1" si="210"/>
        <v>Samsung S-Pen</v>
      </c>
      <c r="BN233" s="192">
        <f t="shared" ca="1" si="210"/>
        <v>461</v>
      </c>
      <c r="BO233" s="192">
        <f t="shared" ca="1" si="210"/>
        <v>281</v>
      </c>
      <c r="BP233" s="192">
        <f t="shared" ca="1" si="210"/>
        <v>386</v>
      </c>
      <c r="BQ233" s="192">
        <f t="shared" ca="1" si="210"/>
        <v>756</v>
      </c>
      <c r="BR233" s="192">
        <f t="shared" ca="1" si="210"/>
        <v>504</v>
      </c>
      <c r="BS233" s="192">
        <f t="shared" ca="1" si="210"/>
        <v>1</v>
      </c>
      <c r="BT233" s="192">
        <f t="shared" ca="1" si="210"/>
        <v>85</v>
      </c>
      <c r="BU233" s="192">
        <f t="shared" ca="1" si="210"/>
        <v>100</v>
      </c>
      <c r="BV233" s="192">
        <f t="shared" ca="1" si="210"/>
        <v>0</v>
      </c>
      <c r="BW233" s="192"/>
      <c r="BX233" s="192"/>
      <c r="BY233" s="192" t="str">
        <f t="shared" ca="1" si="211"/>
        <v>Atea Sverige AB</v>
      </c>
      <c r="BZ233" s="192" t="str">
        <f t="shared" ca="1" si="211"/>
        <v>Samsung</v>
      </c>
      <c r="CA233" s="199" t="s">
        <v>147</v>
      </c>
      <c r="CB233" s="185"/>
      <c r="CC233" s="185"/>
      <c r="CD233" s="185"/>
      <c r="CE233" s="185">
        <v>11</v>
      </c>
      <c r="CF233" s="185"/>
      <c r="CG233" s="192"/>
      <c r="CH233" s="185"/>
      <c r="CI233" s="185"/>
      <c r="CJ233" s="185"/>
      <c r="CK233" s="185"/>
      <c r="CL233" s="185"/>
      <c r="CM233" s="185"/>
      <c r="CN233" s="192"/>
    </row>
    <row r="234" spans="2:94" ht="29.25" customHeight="1" outlineLevel="1" x14ac:dyDescent="0.35">
      <c r="C234" s="61" t="s">
        <v>120</v>
      </c>
      <c r="D234" s="64"/>
      <c r="F234" s="80" t="str">
        <f t="shared" si="212"/>
        <v/>
      </c>
      <c r="G234" s="81">
        <f t="shared" ca="1" si="213"/>
        <v>9</v>
      </c>
      <c r="H234" s="81">
        <f t="shared" ca="1" si="213"/>
        <v>9</v>
      </c>
      <c r="I234" s="121">
        <f t="shared" ca="1" si="213"/>
        <v>10</v>
      </c>
      <c r="J234" s="62"/>
      <c r="Q234" s="185">
        <f t="shared" si="192"/>
        <v>0</v>
      </c>
      <c r="R234" s="185">
        <f t="shared" si="193"/>
        <v>0</v>
      </c>
      <c r="S234" s="185">
        <f t="shared" si="194"/>
        <v>0</v>
      </c>
      <c r="T234" s="185">
        <f t="shared" si="195"/>
        <v>0</v>
      </c>
      <c r="U234" s="185">
        <f t="shared" si="196"/>
        <v>0</v>
      </c>
      <c r="V234" s="185">
        <f t="shared" si="197"/>
        <v>0</v>
      </c>
      <c r="W234" s="185">
        <f t="shared" si="198"/>
        <v>0</v>
      </c>
      <c r="X234" s="185">
        <f t="shared" si="199"/>
        <v>0</v>
      </c>
      <c r="Y234" s="185">
        <f t="shared" si="200"/>
        <v>0</v>
      </c>
      <c r="Z234" s="196">
        <f t="shared" ca="1" si="201"/>
        <v>8276</v>
      </c>
      <c r="AA234" s="185" t="str">
        <f t="shared" si="202"/>
        <v>Offererad produktnr. 10Atea Sverige AB</v>
      </c>
      <c r="AB234" s="185" t="b">
        <f>IF(D228="",TRUE,IF(COUNTIF(Processor!$M$2:$M$3,D228)=0,IF(AN234=D228,TRUE,FALSE),IF(COUNTIF(AN234,INDEX(Processor!$N$2:$N$3,MATCH(Surfplattor!D228,Processor!$M$2:$M$3,0)))&gt;0,TRUE,FALSE)))</f>
        <v>1</v>
      </c>
      <c r="AC234" s="185" t="b">
        <f>IF($D$229="",TRUE,IF(COUNTIF(Processor!$I$2:$I$9,$D$229)&gt;0,AND(AO234&gt;INDEX(Processor!$J$2:$J$9,MATCH($D$229,Processor!$I$2:$I$9,0)),AO234&lt;INDEX(Processor!$K$2:$K$9,MATCH($D$229,Processor!$I$2:$I$9,0))),IF(AO234=$D$229,TRUE,FALSE)))</f>
        <v>1</v>
      </c>
      <c r="AD234" s="185" t="b">
        <f t="shared" si="203"/>
        <v>1</v>
      </c>
      <c r="AE234" s="185" t="b">
        <f t="shared" si="204"/>
        <v>1</v>
      </c>
      <c r="AF234" s="185" t="b">
        <f t="shared" si="205"/>
        <v>1</v>
      </c>
      <c r="AG234" s="185" t="b">
        <f t="shared" si="206"/>
        <v>1</v>
      </c>
      <c r="AH234" s="185" t="b">
        <f>IF($D$234="",TRUE,IF(INDEX(Processor!$C$14:$C$20,MATCH(LEFT(AT234,10)&amp;"",Processor!$A$14:$A$20,0))&gt;=INDEX(Processor!$C$14:$C$20,MATCH(LEFT($D$234,10)&amp;"",Processor!$A$14:$A$20,0)),TRUE,FALSE))</f>
        <v>1</v>
      </c>
      <c r="AI234" s="185" t="b">
        <f t="shared" si="207"/>
        <v>1</v>
      </c>
      <c r="AJ234" s="185"/>
      <c r="AK234" s="185"/>
      <c r="AL234" s="185" t="s">
        <v>195</v>
      </c>
      <c r="AM234" s="185">
        <v>1</v>
      </c>
      <c r="AN234" s="185" t="str">
        <f t="shared" ca="1" si="208"/>
        <v>Android 10</v>
      </c>
      <c r="AO234" s="185">
        <f t="shared" ca="1" si="208"/>
        <v>11.5</v>
      </c>
      <c r="AP234" s="185" t="str">
        <f t="shared" ca="1" si="208"/>
        <v>2560x1600</v>
      </c>
      <c r="AQ234" s="185">
        <f t="shared" ca="1" si="208"/>
        <v>128</v>
      </c>
      <c r="AR234" s="185">
        <f t="shared" ca="1" si="208"/>
        <v>5</v>
      </c>
      <c r="AS234" s="185" t="str">
        <f t="shared" ca="1" si="208"/>
        <v>802.11a/b/g/n/ac</v>
      </c>
      <c r="AT234" s="185">
        <f t="shared" ca="1" si="208"/>
        <v>8</v>
      </c>
      <c r="AU234" s="185" t="str">
        <f t="shared" ca="1" si="208"/>
        <v>Ej miljömärkt</v>
      </c>
      <c r="AV234" s="185" t="str">
        <f t="shared" ca="1" si="208"/>
        <v>802.11a/b/g/n/ac</v>
      </c>
      <c r="AW234" s="185">
        <f t="shared" ca="1" si="208"/>
        <v>5</v>
      </c>
      <c r="AX234" s="185">
        <f t="shared" ca="1" si="209"/>
        <v>8</v>
      </c>
      <c r="AY234" s="185" t="str">
        <f t="shared" ca="1" si="209"/>
        <v>Lenovo Tab P11 Pro</v>
      </c>
      <c r="AZ234" s="185">
        <f t="shared" ca="1" si="209"/>
        <v>0</v>
      </c>
      <c r="BA234" s="185" t="str">
        <f t="shared" ca="1" si="209"/>
        <v>Android 10</v>
      </c>
      <c r="BB234" s="185">
        <f t="shared" ca="1" si="209"/>
        <v>8276</v>
      </c>
      <c r="BC234" s="185">
        <f t="shared" ca="1" si="209"/>
        <v>8276</v>
      </c>
      <c r="BD234" s="192" t="str">
        <f t="shared" ca="1" si="209"/>
        <v>Tolerate</v>
      </c>
      <c r="BE234" s="192" t="str">
        <f t="shared" ca="1" si="209"/>
        <v>Zagg</v>
      </c>
      <c r="BF234" s="192" t="str">
        <f t="shared" ca="1" si="209"/>
        <v>Lenovo</v>
      </c>
      <c r="BG234" s="192" t="str">
        <f t="shared" ca="1" si="209"/>
        <v>Lenovo</v>
      </c>
      <c r="BH234" s="192" t="str">
        <f t="shared" ca="1" si="210"/>
        <v>Lenovo</v>
      </c>
      <c r="BI234" s="192" t="str">
        <f t="shared" ca="1" si="210"/>
        <v>TOLERATE ARMOR FOLIO LENOVO TAB 11 PRO</v>
      </c>
      <c r="BJ234" s="192" t="str">
        <f t="shared" ca="1" si="210"/>
        <v>InvisibleShield Glass Elite+</v>
      </c>
      <c r="BK234" s="192" t="str">
        <f t="shared" ca="1" si="210"/>
        <v xml:space="preserve">Lenovo Smart Charge station </v>
      </c>
      <c r="BL234" s="192" t="str">
        <f t="shared" ca="1" si="210"/>
        <v>Lenovo P11 Pro Keyboard</v>
      </c>
      <c r="BM234" s="192" t="str">
        <f t="shared" ca="1" si="210"/>
        <v>Lenovo Precision Pen 2</v>
      </c>
      <c r="BN234" s="192">
        <f t="shared" ca="1" si="210"/>
        <v>502</v>
      </c>
      <c r="BO234" s="192">
        <f t="shared" ca="1" si="210"/>
        <v>293</v>
      </c>
      <c r="BP234" s="192">
        <f t="shared" ca="1" si="210"/>
        <v>324</v>
      </c>
      <c r="BQ234" s="192">
        <f t="shared" ca="1" si="210"/>
        <v>1138</v>
      </c>
      <c r="BR234" s="192">
        <f t="shared" ca="1" si="210"/>
        <v>718</v>
      </c>
      <c r="BS234" s="192">
        <f t="shared" ca="1" si="210"/>
        <v>1</v>
      </c>
      <c r="BT234" s="192">
        <f t="shared" ca="1" si="210"/>
        <v>85</v>
      </c>
      <c r="BU234" s="192">
        <f t="shared" ca="1" si="210"/>
        <v>100</v>
      </c>
      <c r="BV234" s="192">
        <f t="shared" ca="1" si="210"/>
        <v>0</v>
      </c>
      <c r="BW234" s="192"/>
      <c r="BX234" s="192"/>
      <c r="BY234" s="192" t="str">
        <f t="shared" ca="1" si="211"/>
        <v>Atea Sverige AB</v>
      </c>
      <c r="BZ234" s="192" t="str">
        <f t="shared" ca="1" si="211"/>
        <v>Lenovo</v>
      </c>
      <c r="CA234" s="199"/>
      <c r="CB234" s="185"/>
      <c r="CC234" s="185"/>
      <c r="CD234" s="185"/>
      <c r="CE234" s="185">
        <v>11.5</v>
      </c>
      <c r="CF234" s="185"/>
      <c r="CG234" s="185"/>
      <c r="CH234" s="185"/>
      <c r="CI234" s="185"/>
      <c r="CJ234" s="185"/>
      <c r="CK234" s="192"/>
      <c r="CL234" s="185"/>
      <c r="CM234" s="185"/>
      <c r="CN234" s="185"/>
    </row>
    <row r="235" spans="2:94" ht="29.25" customHeight="1" outlineLevel="1" x14ac:dyDescent="0.35">
      <c r="C235" s="61" t="s">
        <v>39</v>
      </c>
      <c r="D235" s="64"/>
      <c r="F235" s="78" t="str">
        <f t="shared" si="212"/>
        <v/>
      </c>
      <c r="G235" s="79" t="str">
        <f t="shared" ca="1" si="213"/>
        <v>Ej miljömärkt</v>
      </c>
      <c r="H235" s="79" t="str">
        <f t="shared" ca="1" si="213"/>
        <v>Ej miljömärkt</v>
      </c>
      <c r="I235" s="120" t="str">
        <f t="shared" ca="1" si="213"/>
        <v>Ej miljömärkt</v>
      </c>
      <c r="J235" s="62"/>
      <c r="Q235" s="185">
        <f t="shared" si="192"/>
        <v>0</v>
      </c>
      <c r="R235" s="185">
        <f t="shared" si="193"/>
        <v>0</v>
      </c>
      <c r="S235" s="185">
        <f t="shared" si="194"/>
        <v>0</v>
      </c>
      <c r="T235" s="185">
        <f t="shared" si="195"/>
        <v>0</v>
      </c>
      <c r="U235" s="185">
        <f t="shared" si="196"/>
        <v>0</v>
      </c>
      <c r="V235" s="185">
        <f t="shared" si="197"/>
        <v>0</v>
      </c>
      <c r="W235" s="185">
        <f t="shared" si="198"/>
        <v>0</v>
      </c>
      <c r="X235" s="185">
        <f t="shared" si="199"/>
        <v>0</v>
      </c>
      <c r="Y235" s="185">
        <f t="shared" si="200"/>
        <v>0</v>
      </c>
      <c r="Z235" s="196">
        <f t="shared" ca="1" si="201"/>
        <v>3261</v>
      </c>
      <c r="AA235" s="185" t="str">
        <f t="shared" si="202"/>
        <v>Offererad produktnr. 07Dustin Sverige AB</v>
      </c>
      <c r="AB235" s="185" t="b">
        <f>IF(D228="",TRUE,IF(COUNTIF(Processor!$M$2:$M$3,D228)=0,IF(AN235=D228,TRUE,FALSE),IF(COUNTIF(AN235,INDEX(Processor!$N$2:$N$3,MATCH(Surfplattor!D228,Processor!$M$2:$M$3,0)))&gt;0,TRUE,FALSE)))</f>
        <v>1</v>
      </c>
      <c r="AC235" s="185" t="b">
        <f>IF($D$229="",TRUE,IF(COUNTIF(Processor!$I$2:$I$9,$D$229)&gt;0,AND(AO235&gt;INDEX(Processor!$J$2:$J$9,MATCH($D$229,Processor!$I$2:$I$9,0)),AO235&lt;INDEX(Processor!$K$2:$K$9,MATCH($D$229,Processor!$I$2:$I$9,0))),IF(AO235=$D$229,TRUE,FALSE)))</f>
        <v>1</v>
      </c>
      <c r="AD235" s="185" t="b">
        <f t="shared" si="203"/>
        <v>1</v>
      </c>
      <c r="AE235" s="185" t="b">
        <f t="shared" si="204"/>
        <v>1</v>
      </c>
      <c r="AF235" s="185" t="b">
        <f t="shared" si="205"/>
        <v>1</v>
      </c>
      <c r="AG235" s="185" t="b">
        <f t="shared" si="206"/>
        <v>1</v>
      </c>
      <c r="AH235" s="185" t="b">
        <f>IF($D$234="",TRUE,IF(INDEX(Processor!$C$14:$C$20,MATCH(LEFT(AT235,10)&amp;"",Processor!$A$14:$A$20,0))&gt;=INDEX(Processor!$C$14:$C$20,MATCH(LEFT($D$234,10)&amp;"",Processor!$A$14:$A$20,0)),TRUE,FALSE))</f>
        <v>1</v>
      </c>
      <c r="AI235" s="185" t="b">
        <f t="shared" si="207"/>
        <v>1</v>
      </c>
      <c r="AJ235" s="185"/>
      <c r="AK235" s="185"/>
      <c r="AL235" s="185" t="s">
        <v>180</v>
      </c>
      <c r="AM235" s="185">
        <v>1</v>
      </c>
      <c r="AN235" s="185" t="str">
        <f t="shared" ca="1" si="208"/>
        <v>Android 11</v>
      </c>
      <c r="AO235" s="185">
        <f t="shared" ca="1" si="208"/>
        <v>10.4</v>
      </c>
      <c r="AP235" s="185" t="str">
        <f t="shared" ca="1" si="208"/>
        <v>2000x1200</v>
      </c>
      <c r="AQ235" s="185">
        <f t="shared" ca="1" si="208"/>
        <v>64</v>
      </c>
      <c r="AR235" s="185">
        <f t="shared" ca="1" si="208"/>
        <v>5</v>
      </c>
      <c r="AS235" s="185" t="str">
        <f t="shared" ca="1" si="208"/>
        <v>802.11a/b/g/n/ac</v>
      </c>
      <c r="AT235" s="185">
        <f t="shared" ca="1" si="208"/>
        <v>12</v>
      </c>
      <c r="AU235" s="185" t="str">
        <f t="shared" ca="1" si="208"/>
        <v>EPEAT Bronze (Canada)</v>
      </c>
      <c r="AV235" s="185" t="str">
        <f t="shared" ca="1" si="208"/>
        <v>802.11a/b/g/n/ac</v>
      </c>
      <c r="AW235" s="185">
        <f t="shared" ca="1" si="208"/>
        <v>5</v>
      </c>
      <c r="AX235" s="185">
        <f t="shared" ca="1" si="209"/>
        <v>12</v>
      </c>
      <c r="AY235" s="185" t="str">
        <f t="shared" ca="1" si="209"/>
        <v>Galaxy Tab S6 Lite WiFi (64GB)</v>
      </c>
      <c r="AZ235" s="185">
        <f t="shared" ca="1" si="209"/>
        <v>0</v>
      </c>
      <c r="BA235" s="185" t="str">
        <f t="shared" ca="1" si="209"/>
        <v>Android 11</v>
      </c>
      <c r="BB235" s="185">
        <f t="shared" ca="1" si="209"/>
        <v>3261</v>
      </c>
      <c r="BC235" s="185">
        <f t="shared" ca="1" si="209"/>
        <v>3261</v>
      </c>
      <c r="BD235" s="192" t="str">
        <f t="shared" ca="1" si="209"/>
        <v>Samsung</v>
      </c>
      <c r="BE235" s="192" t="str">
        <f t="shared" ca="1" si="209"/>
        <v>Hama</v>
      </c>
      <c r="BF235" s="192" t="str">
        <f t="shared" ca="1" si="209"/>
        <v>Samsung</v>
      </c>
      <c r="BG235" s="192" t="str">
        <f t="shared" ca="1" si="209"/>
        <v>Voxicon</v>
      </c>
      <c r="BH235" s="192" t="str">
        <f t="shared" ca="1" si="210"/>
        <v>Samsung</v>
      </c>
      <c r="BI235" s="192" t="str">
        <f t="shared" ca="1" si="210"/>
        <v>GH96-13408A</v>
      </c>
      <c r="BJ235" s="192" t="str">
        <f t="shared" ca="1" si="210"/>
        <v>KAP12483</v>
      </c>
      <c r="BK235" s="192" t="str">
        <f t="shared" ca="1" si="210"/>
        <v>EP-T1510NBEGEU / EP-TA20EWECGWW</v>
      </c>
      <c r="BL235" s="192" t="str">
        <f t="shared" ca="1" si="210"/>
        <v>DK-199B-G</v>
      </c>
      <c r="BM235" s="192" t="str">
        <f t="shared" ca="1" si="210"/>
        <v>EJ-PP610BJEGEU / EJ-PP610BLEGEU</v>
      </c>
      <c r="BN235" s="192">
        <f t="shared" ca="1" si="210"/>
        <v>518</v>
      </c>
      <c r="BO235" s="192">
        <f t="shared" ca="1" si="210"/>
        <v>219</v>
      </c>
      <c r="BP235" s="192">
        <f t="shared" ca="1" si="210"/>
        <v>111</v>
      </c>
      <c r="BQ235" s="192">
        <f t="shared" ca="1" si="210"/>
        <v>936</v>
      </c>
      <c r="BR235" s="192">
        <f t="shared" ca="1" si="210"/>
        <v>305</v>
      </c>
      <c r="BS235" s="192">
        <f t="shared" ca="1" si="210"/>
        <v>532</v>
      </c>
      <c r="BT235" s="192">
        <f t="shared" ca="1" si="210"/>
        <v>20</v>
      </c>
      <c r="BU235" s="192">
        <f t="shared" ca="1" si="210"/>
        <v>20</v>
      </c>
      <c r="BV235" s="192">
        <f t="shared" ca="1" si="210"/>
        <v>0</v>
      </c>
      <c r="BW235" s="192"/>
      <c r="BX235" s="192"/>
      <c r="BY235" s="192" t="str">
        <f t="shared" ca="1" si="211"/>
        <v>Dustin Sverige AB</v>
      </c>
      <c r="BZ235" s="192" t="str">
        <f t="shared" ca="1" si="211"/>
        <v>Samsung</v>
      </c>
      <c r="CA235" s="199"/>
      <c r="CB235" s="185"/>
      <c r="CC235" s="185"/>
      <c r="CD235" s="185"/>
      <c r="CE235" s="186">
        <v>12.4</v>
      </c>
      <c r="CF235" s="185"/>
      <c r="CG235" s="185"/>
      <c r="CH235" s="185"/>
      <c r="CI235" s="185"/>
      <c r="CJ235" s="185"/>
      <c r="CK235" s="185"/>
      <c r="CL235" s="185"/>
      <c r="CM235" s="185"/>
      <c r="CN235" s="185"/>
    </row>
    <row r="236" spans="2:94" ht="22.5" customHeight="1" outlineLevel="1" x14ac:dyDescent="0.35">
      <c r="C236" s="66"/>
      <c r="D236" s="67"/>
      <c r="G236" s="62"/>
      <c r="H236" s="62"/>
      <c r="I236" s="62"/>
      <c r="J236" s="62"/>
      <c r="Q236" s="185">
        <f t="shared" si="192"/>
        <v>0</v>
      </c>
      <c r="R236" s="185">
        <f t="shared" si="193"/>
        <v>0</v>
      </c>
      <c r="S236" s="185">
        <f t="shared" si="194"/>
        <v>0</v>
      </c>
      <c r="T236" s="185">
        <f t="shared" si="195"/>
        <v>0</v>
      </c>
      <c r="U236" s="185">
        <f t="shared" si="196"/>
        <v>0</v>
      </c>
      <c r="V236" s="185">
        <f t="shared" si="197"/>
        <v>0</v>
      </c>
      <c r="W236" s="185">
        <f t="shared" si="198"/>
        <v>0</v>
      </c>
      <c r="X236" s="185">
        <f t="shared" si="199"/>
        <v>0</v>
      </c>
      <c r="Y236" s="185">
        <f t="shared" si="200"/>
        <v>0</v>
      </c>
      <c r="Z236" s="196">
        <f t="shared" ca="1" si="201"/>
        <v>3751</v>
      </c>
      <c r="AA236" s="185" t="str">
        <f t="shared" si="202"/>
        <v>Offererad produktnr. 08Dustin Sverige AB</v>
      </c>
      <c r="AB236" s="185" t="b">
        <f>IF(D228="",TRUE,IF(COUNTIF(Processor!$M$2:$M$3,D228)=0,IF(AN236=D228,TRUE,FALSE),IF(COUNTIF(AN236,INDEX(Processor!$N$2:$N$3,MATCH(Surfplattor!D228,Processor!$M$2:$M$3,0)))&gt;0,TRUE,FALSE)))</f>
        <v>1</v>
      </c>
      <c r="AC236" s="185" t="b">
        <f>IF($D$229="",TRUE,IF(COUNTIF(Processor!$I$2:$I$9,$D$229)&gt;0,AND(AO236&gt;INDEX(Processor!$J$2:$J$9,MATCH($D$229,Processor!$I$2:$I$9,0)),AO236&lt;INDEX(Processor!$K$2:$K$9,MATCH($D$229,Processor!$I$2:$I$9,0))),IF(AO236=$D$229,TRUE,FALSE)))</f>
        <v>1</v>
      </c>
      <c r="AD236" s="185" t="b">
        <f t="shared" si="203"/>
        <v>1</v>
      </c>
      <c r="AE236" s="185" t="b">
        <f t="shared" si="204"/>
        <v>1</v>
      </c>
      <c r="AF236" s="185" t="b">
        <f t="shared" si="205"/>
        <v>1</v>
      </c>
      <c r="AG236" s="185" t="b">
        <f t="shared" si="206"/>
        <v>1</v>
      </c>
      <c r="AH236" s="185" t="b">
        <f>IF($D$234="",TRUE,IF(INDEX(Processor!$C$14:$C$20,MATCH(LEFT(AT236,10)&amp;"",Processor!$A$14:$A$20,0))&gt;=INDEX(Processor!$C$14:$C$20,MATCH(LEFT($D$234,10)&amp;"",Processor!$A$14:$A$20,0)),TRUE,FALSE))</f>
        <v>1</v>
      </c>
      <c r="AI236" s="185" t="b">
        <f t="shared" si="207"/>
        <v>1</v>
      </c>
      <c r="AJ236" s="185"/>
      <c r="AK236" s="185"/>
      <c r="AL236" s="185" t="s">
        <v>181</v>
      </c>
      <c r="AM236" s="185">
        <v>1</v>
      </c>
      <c r="AN236" s="185" t="str">
        <f t="shared" ca="1" si="208"/>
        <v>iPadOS 14</v>
      </c>
      <c r="AO236" s="185">
        <f t="shared" ca="1" si="208"/>
        <v>10.199999999999999</v>
      </c>
      <c r="AP236" s="185" t="str">
        <f t="shared" ca="1" si="208"/>
        <v>2160x1620</v>
      </c>
      <c r="AQ236" s="185">
        <f t="shared" ca="1" si="208"/>
        <v>64</v>
      </c>
      <c r="AR236" s="185">
        <f t="shared" ca="1" si="208"/>
        <v>4.2</v>
      </c>
      <c r="AS236" s="185" t="str">
        <f t="shared" ca="1" si="208"/>
        <v>802.11a/b/g/n/ac</v>
      </c>
      <c r="AT236" s="185">
        <f t="shared" ca="1" si="208"/>
        <v>10</v>
      </c>
      <c r="AU236" s="185" t="str">
        <f t="shared" ca="1" si="208"/>
        <v>EPEAT Gold</v>
      </c>
      <c r="AV236" s="185" t="str">
        <f t="shared" ca="1" si="208"/>
        <v>802.11a/b/g/n/ac</v>
      </c>
      <c r="AW236" s="185">
        <f t="shared" ca="1" si="208"/>
        <v>4.2</v>
      </c>
      <c r="AX236" s="185">
        <f t="shared" ca="1" si="209"/>
        <v>10</v>
      </c>
      <c r="AY236" s="185" t="str">
        <f t="shared" ca="1" si="209"/>
        <v>iPad 9th gen</v>
      </c>
      <c r="AZ236" s="185">
        <f t="shared" ca="1" si="209"/>
        <v>0</v>
      </c>
      <c r="BA236" s="185" t="str">
        <f t="shared" ca="1" si="209"/>
        <v>iPadOS 14</v>
      </c>
      <c r="BB236" s="185">
        <f t="shared" ca="1" si="209"/>
        <v>3751</v>
      </c>
      <c r="BC236" s="185">
        <f t="shared" ca="1" si="209"/>
        <v>3751</v>
      </c>
      <c r="BD236" s="192" t="str">
        <f t="shared" ca="1" si="209"/>
        <v>Cirafon</v>
      </c>
      <c r="BE236" s="192" t="str">
        <f t="shared" ca="1" si="209"/>
        <v>Cirafon</v>
      </c>
      <c r="BF236" s="192" t="str">
        <f t="shared" ca="1" si="209"/>
        <v>Cirafon</v>
      </c>
      <c r="BG236" s="192" t="str">
        <f t="shared" ca="1" si="209"/>
        <v>Voxicon</v>
      </c>
      <c r="BH236" s="192" t="str">
        <f t="shared" ca="1" si="210"/>
        <v>Zagg</v>
      </c>
      <c r="BI236" s="192" t="str">
        <f t="shared" ca="1" si="210"/>
        <v>APD9-HBSFO-BLCK</v>
      </c>
      <c r="BJ236" s="192" t="str">
        <f t="shared" ca="1" si="210"/>
        <v>CG-TG-APL-IDP102</v>
      </c>
      <c r="BK236" s="192" t="str">
        <f t="shared" ca="1" si="210"/>
        <v>PD20E-1TGA-W/DMA-038#KIT</v>
      </c>
      <c r="BL236" s="192" t="str">
        <f t="shared" ca="1" si="210"/>
        <v>DK-400B-WHT</v>
      </c>
      <c r="BM236" s="192">
        <f t="shared" ca="1" si="210"/>
        <v>109907068</v>
      </c>
      <c r="BN236" s="192">
        <f t="shared" ca="1" si="210"/>
        <v>347</v>
      </c>
      <c r="BO236" s="192">
        <f t="shared" ca="1" si="210"/>
        <v>234</v>
      </c>
      <c r="BP236" s="192">
        <f t="shared" ca="1" si="210"/>
        <v>309</v>
      </c>
      <c r="BQ236" s="192">
        <f t="shared" ca="1" si="210"/>
        <v>407</v>
      </c>
      <c r="BR236" s="192">
        <f t="shared" ca="1" si="210"/>
        <v>373</v>
      </c>
      <c r="BS236" s="192">
        <f t="shared" ca="1" si="210"/>
        <v>532</v>
      </c>
      <c r="BT236" s="192">
        <f t="shared" ca="1" si="210"/>
        <v>20</v>
      </c>
      <c r="BU236" s="192">
        <f t="shared" ca="1" si="210"/>
        <v>20</v>
      </c>
      <c r="BV236" s="192">
        <f t="shared" ca="1" si="210"/>
        <v>0</v>
      </c>
      <c r="BW236" s="192"/>
      <c r="BX236" s="192"/>
      <c r="BY236" s="192" t="str">
        <f t="shared" ca="1" si="211"/>
        <v>Dustin Sverige AB</v>
      </c>
      <c r="BZ236" s="192" t="str">
        <f t="shared" ca="1" si="211"/>
        <v>Apple</v>
      </c>
      <c r="CA236" s="199"/>
      <c r="CB236" s="185"/>
      <c r="CC236" s="185"/>
      <c r="CD236" s="185"/>
      <c r="CE236" s="185"/>
      <c r="CF236" s="185"/>
      <c r="CG236" s="185"/>
      <c r="CH236" s="185"/>
      <c r="CI236" s="185"/>
      <c r="CJ236" s="185"/>
      <c r="CK236" s="185"/>
      <c r="CL236" s="185"/>
      <c r="CM236" s="185"/>
      <c r="CN236" s="185"/>
    </row>
    <row r="237" spans="2:94" ht="22.5" customHeight="1" outlineLevel="1" x14ac:dyDescent="0.35">
      <c r="C237" s="212" t="s">
        <v>366</v>
      </c>
      <c r="D237" s="213"/>
      <c r="E237" s="213"/>
      <c r="F237" s="213"/>
      <c r="G237" s="213"/>
      <c r="H237" s="213"/>
      <c r="I237" s="214"/>
      <c r="J237" s="94"/>
      <c r="Q237" s="185">
        <f t="shared" si="192"/>
        <v>0</v>
      </c>
      <c r="R237" s="185">
        <f t="shared" si="193"/>
        <v>0</v>
      </c>
      <c r="S237" s="185">
        <f t="shared" si="194"/>
        <v>0</v>
      </c>
      <c r="T237" s="185">
        <f t="shared" si="195"/>
        <v>0</v>
      </c>
      <c r="U237" s="185">
        <f t="shared" si="196"/>
        <v>0</v>
      </c>
      <c r="V237" s="185">
        <f t="shared" si="197"/>
        <v>0</v>
      </c>
      <c r="W237" s="185">
        <f t="shared" si="198"/>
        <v>0</v>
      </c>
      <c r="X237" s="185">
        <f t="shared" si="199"/>
        <v>0</v>
      </c>
      <c r="Y237" s="185">
        <f t="shared" si="200"/>
        <v>0</v>
      </c>
      <c r="Z237" s="196">
        <f t="shared" ca="1" si="201"/>
        <v>5710</v>
      </c>
      <c r="AA237" s="185" t="str">
        <f t="shared" si="202"/>
        <v>Offererad produktnr. 09Dustin Sverige AB</v>
      </c>
      <c r="AB237" s="185" t="b">
        <f>IF(D228="",TRUE,IF(COUNTIF(Processor!$M$2:$M$3,D228)=0,IF(AN237=D228,TRUE,FALSE),IF(COUNTIF(AN237,INDEX(Processor!$N$2:$N$3,MATCH(Surfplattor!D228,Processor!$M$2:$M$3,0)))&gt;0,TRUE,FALSE)))</f>
        <v>1</v>
      </c>
      <c r="AC237" s="185" t="b">
        <f>IF($D$229="",TRUE,IF(COUNTIF(Processor!$I$2:$I$9,$D$229)&gt;0,AND(AO237&gt;INDEX(Processor!$J$2:$J$9,MATCH($D$229,Processor!$I$2:$I$9,0)),AO237&lt;INDEX(Processor!$K$2:$K$9,MATCH($D$229,Processor!$I$2:$I$9,0))),IF(AO237=$D$229,TRUE,FALSE)))</f>
        <v>1</v>
      </c>
      <c r="AD237" s="185" t="b">
        <f t="shared" si="203"/>
        <v>1</v>
      </c>
      <c r="AE237" s="185" t="b">
        <f t="shared" si="204"/>
        <v>1</v>
      </c>
      <c r="AF237" s="185" t="b">
        <f t="shared" si="205"/>
        <v>1</v>
      </c>
      <c r="AG237" s="185" t="b">
        <f t="shared" si="206"/>
        <v>1</v>
      </c>
      <c r="AH237" s="185" t="b">
        <f>IF($D$234="",TRUE,IF(INDEX(Processor!$C$14:$C$20,MATCH(LEFT(AT237,10)&amp;"",Processor!$A$14:$A$20,0))&gt;=INDEX(Processor!$C$14:$C$20,MATCH(LEFT($D$234,10)&amp;"",Processor!$A$14:$A$20,0)),TRUE,FALSE))</f>
        <v>1</v>
      </c>
      <c r="AI237" s="185" t="b">
        <f t="shared" si="207"/>
        <v>1</v>
      </c>
      <c r="AJ237" s="185"/>
      <c r="AK237" s="185"/>
      <c r="AL237" s="185" t="s">
        <v>182</v>
      </c>
      <c r="AM237" s="185">
        <v>1</v>
      </c>
      <c r="AN237" s="185" t="str">
        <f t="shared" ref="AN237:AW246" ca="1" si="214">IFERROR(INDEX(INDIRECT(AN$222&amp;"!$A$10:CC100000"),MATCH($AL237,INDIRECT(AN$222&amp;"!BH$10:BH100000"),0),MATCH(AN$224,INDIRECT(AN$222&amp;"!a10:CC10"),0)),"False")</f>
        <v>Android 13</v>
      </c>
      <c r="AO237" s="185">
        <f t="shared" ca="1" si="214"/>
        <v>11</v>
      </c>
      <c r="AP237" s="185" t="str">
        <f t="shared" ca="1" si="214"/>
        <v>2560x1600</v>
      </c>
      <c r="AQ237" s="185">
        <f t="shared" ca="1" si="214"/>
        <v>128</v>
      </c>
      <c r="AR237" s="185">
        <f t="shared" ca="1" si="214"/>
        <v>5.3</v>
      </c>
      <c r="AS237" s="185" t="str">
        <f t="shared" ca="1" si="214"/>
        <v>802.11a/b/g/n/ac/ax</v>
      </c>
      <c r="AT237" s="185">
        <f t="shared" ca="1" si="214"/>
        <v>13</v>
      </c>
      <c r="AU237" s="185" t="str">
        <f t="shared" ca="1" si="214"/>
        <v>EPEAT Bronze (Canada)</v>
      </c>
      <c r="AV237" s="185" t="str">
        <f t="shared" ca="1" si="214"/>
        <v>802.11a/b/g/n/ac/ax</v>
      </c>
      <c r="AW237" s="185">
        <f t="shared" ca="1" si="214"/>
        <v>5.3</v>
      </c>
      <c r="AX237" s="185">
        <f t="shared" ref="AX237:BG246" ca="1" si="215">IFERROR(INDEX(INDIRECT(AX$222&amp;"!$A$10:CC100000"),MATCH($AL237,INDIRECT(AX$222&amp;"!BH$10:BH100000"),0),MATCH(AX$224,INDIRECT(AX$222&amp;"!a10:CC10"),0)),"False")</f>
        <v>13</v>
      </c>
      <c r="AY237" s="185" t="str">
        <f t="shared" ca="1" si="215"/>
        <v>Galaxy Tab S9</v>
      </c>
      <c r="AZ237" s="185">
        <f t="shared" ca="1" si="215"/>
        <v>0</v>
      </c>
      <c r="BA237" s="185" t="str">
        <f t="shared" ca="1" si="215"/>
        <v>Android 13</v>
      </c>
      <c r="BB237" s="185">
        <f t="shared" ca="1" si="215"/>
        <v>5710</v>
      </c>
      <c r="BC237" s="185">
        <f t="shared" ca="1" si="215"/>
        <v>5710</v>
      </c>
      <c r="BD237" s="192" t="str">
        <f t="shared" ca="1" si="215"/>
        <v>UAG METROPOLIS SE</v>
      </c>
      <c r="BE237" s="192" t="str">
        <f t="shared" ca="1" si="215"/>
        <v>Panzerglass</v>
      </c>
      <c r="BF237" s="192" t="str">
        <f t="shared" ca="1" si="215"/>
        <v xml:space="preserve">Samsung </v>
      </c>
      <c r="BG237" s="192" t="str">
        <f t="shared" ca="1" si="215"/>
        <v>Voxicon</v>
      </c>
      <c r="BH237" s="192" t="str">
        <f t="shared" ref="BH237:BV246" ca="1" si="216">IFERROR(INDEX(INDIRECT(BH$222&amp;"!$A$10:CC100000"),MATCH($AL237,INDIRECT(BH$222&amp;"!BH$10:BH100000"),0),MATCH(BH$224,INDIRECT(BH$222&amp;"!a10:CC10"),0)),"False")</f>
        <v>INGÅR</v>
      </c>
      <c r="BI237" s="192">
        <f t="shared" ca="1" si="216"/>
        <v>224339114040</v>
      </c>
      <c r="BJ237" s="192">
        <f t="shared" ca="1" si="216"/>
        <v>7332</v>
      </c>
      <c r="BK237" s="192" t="str">
        <f t="shared" ca="1" si="216"/>
        <v>EP-T1510NBEGEU / EP-TA20EWECGWW</v>
      </c>
      <c r="BL237" s="192" t="str">
        <f t="shared" ca="1" si="216"/>
        <v>DK-199B-G</v>
      </c>
      <c r="BM237" s="192">
        <f t="shared" ca="1" si="216"/>
        <v>0</v>
      </c>
      <c r="BN237" s="192">
        <f t="shared" ca="1" si="216"/>
        <v>419</v>
      </c>
      <c r="BO237" s="192">
        <f t="shared" ca="1" si="216"/>
        <v>269</v>
      </c>
      <c r="BP237" s="192">
        <f t="shared" ca="1" si="216"/>
        <v>111</v>
      </c>
      <c r="BQ237" s="192">
        <f t="shared" ca="1" si="216"/>
        <v>866</v>
      </c>
      <c r="BR237" s="192">
        <f t="shared" ca="1" si="216"/>
        <v>0</v>
      </c>
      <c r="BS237" s="192">
        <f t="shared" ca="1" si="216"/>
        <v>532</v>
      </c>
      <c r="BT237" s="192">
        <f t="shared" ca="1" si="216"/>
        <v>20</v>
      </c>
      <c r="BU237" s="192">
        <f t="shared" ca="1" si="216"/>
        <v>20</v>
      </c>
      <c r="BV237" s="192">
        <f t="shared" ca="1" si="216"/>
        <v>0</v>
      </c>
      <c r="BW237" s="192"/>
      <c r="BX237" s="192"/>
      <c r="BY237" s="192" t="str">
        <f t="shared" ca="1" si="211"/>
        <v>Dustin Sverige AB</v>
      </c>
      <c r="BZ237" s="192" t="str">
        <f t="shared" ca="1" si="211"/>
        <v>Samsung</v>
      </c>
      <c r="CE237" s="101"/>
    </row>
    <row r="238" spans="2:94" ht="30" customHeight="1" outlineLevel="1" x14ac:dyDescent="0.35">
      <c r="B238" s="69" t="s">
        <v>53</v>
      </c>
      <c r="C238" s="115" t="s">
        <v>372</v>
      </c>
      <c r="D238" s="70"/>
      <c r="F238" s="161" t="str">
        <f t="shared" ref="F238:F252" si="217">IF(F$225="Inget antal angivet","",IFERROR(INDEX($AN$226:$BZ$252,MATCH(F$222,$AL$226:$AL$252,0),MATCH($B238,$AN$226:$BZ$226,0)),""))</f>
        <v/>
      </c>
      <c r="G238" s="162">
        <f t="shared" ref="G238:I252" ca="1" si="218">IFERROR(INDEX($AN$226:$BZ$252,MATCH(G$222,$AL$226:$AL$252,0),MATCH($B238,$AN$226:$BZ$226,0)),"")</f>
        <v>325</v>
      </c>
      <c r="H238" s="162">
        <f t="shared" ca="1" si="218"/>
        <v>251</v>
      </c>
      <c r="I238" s="162">
        <f t="shared" ca="1" si="218"/>
        <v>460</v>
      </c>
      <c r="J238" s="62"/>
      <c r="Q238" s="185">
        <f t="shared" si="192"/>
        <v>0</v>
      </c>
      <c r="R238" s="185">
        <f t="shared" si="193"/>
        <v>0</v>
      </c>
      <c r="S238" s="185">
        <f t="shared" si="194"/>
        <v>0</v>
      </c>
      <c r="T238" s="185">
        <f t="shared" si="195"/>
        <v>0</v>
      </c>
      <c r="U238" s="185">
        <f t="shared" si="196"/>
        <v>0</v>
      </c>
      <c r="V238" s="185">
        <f t="shared" si="197"/>
        <v>0</v>
      </c>
      <c r="W238" s="185">
        <f t="shared" si="198"/>
        <v>0</v>
      </c>
      <c r="X238" s="185">
        <f t="shared" si="199"/>
        <v>0</v>
      </c>
      <c r="Y238" s="185">
        <f t="shared" si="200"/>
        <v>0</v>
      </c>
      <c r="Z238" s="196">
        <f t="shared" ca="1" si="201"/>
        <v>10190</v>
      </c>
      <c r="AA238" s="185" t="str">
        <f t="shared" si="202"/>
        <v>Offererad produktnr. 10Dustin Sverige AB</v>
      </c>
      <c r="AB238" s="185" t="b">
        <f>IF(D228="",TRUE,IF(COUNTIF(Processor!$M$2:$M$3,D228)=0,IF(AN238=D228,TRUE,FALSE),IF(COUNTIF(AN238,INDEX(Processor!$N$2:$N$3,MATCH(Surfplattor!D228,Processor!$M$2:$M$3,0)))&gt;0,TRUE,FALSE)))</f>
        <v>1</v>
      </c>
      <c r="AC238" s="185" t="b">
        <f>IF($D$229="",TRUE,IF(COUNTIF(Processor!$I$2:$I$9,$D$229)&gt;0,AND(AO238&gt;INDEX(Processor!$J$2:$J$9,MATCH($D$229,Processor!$I$2:$I$9,0)),AO238&lt;INDEX(Processor!$K$2:$K$9,MATCH($D$229,Processor!$I$2:$I$9,0))),IF(AO238=$D$229,TRUE,FALSE)))</f>
        <v>1</v>
      </c>
      <c r="AD238" s="185" t="b">
        <f t="shared" si="203"/>
        <v>1</v>
      </c>
      <c r="AE238" s="185" t="b">
        <f t="shared" si="204"/>
        <v>1</v>
      </c>
      <c r="AF238" s="185" t="b">
        <f t="shared" si="205"/>
        <v>1</v>
      </c>
      <c r="AG238" s="185" t="b">
        <f t="shared" si="206"/>
        <v>1</v>
      </c>
      <c r="AH238" s="185" t="b">
        <f>IF($D$234="",TRUE,IF(INDEX(Processor!$C$14:$C$20,MATCH(LEFT(AT238,10)&amp;"",Processor!$A$14:$A$20,0))&gt;=INDEX(Processor!$C$14:$C$20,MATCH(LEFT($D$234,10)&amp;"",Processor!$A$14:$A$20,0)),TRUE,FALSE))</f>
        <v>1</v>
      </c>
      <c r="AI238" s="185" t="b">
        <f t="shared" si="207"/>
        <v>1</v>
      </c>
      <c r="AJ238" s="185"/>
      <c r="AK238" s="185"/>
      <c r="AL238" s="185" t="s">
        <v>183</v>
      </c>
      <c r="AM238" s="185">
        <v>1</v>
      </c>
      <c r="AN238" s="185" t="str">
        <f t="shared" ca="1" si="214"/>
        <v>Android 13</v>
      </c>
      <c r="AO238" s="185">
        <f t="shared" ca="1" si="214"/>
        <v>12.4</v>
      </c>
      <c r="AP238" s="185" t="str">
        <f t="shared" ca="1" si="214"/>
        <v>2800x1752</v>
      </c>
      <c r="AQ238" s="185">
        <f t="shared" ca="1" si="214"/>
        <v>256</v>
      </c>
      <c r="AR238" s="185">
        <f t="shared" ca="1" si="214"/>
        <v>5.3</v>
      </c>
      <c r="AS238" s="185" t="str">
        <f t="shared" ca="1" si="214"/>
        <v>802.11a/b/g/n/ac/ax</v>
      </c>
      <c r="AT238" s="185">
        <f t="shared" ca="1" si="214"/>
        <v>13</v>
      </c>
      <c r="AU238" s="185" t="str">
        <f t="shared" ca="1" si="214"/>
        <v>EPEAT Bronze (Canada)</v>
      </c>
      <c r="AV238" s="185" t="str">
        <f t="shared" ca="1" si="214"/>
        <v>802.11a/b/g/n/ac/ax</v>
      </c>
      <c r="AW238" s="185">
        <f t="shared" ca="1" si="214"/>
        <v>5.3</v>
      </c>
      <c r="AX238" s="185">
        <f t="shared" ca="1" si="215"/>
        <v>13</v>
      </c>
      <c r="AY238" s="185" t="str">
        <f t="shared" ca="1" si="215"/>
        <v>Galaxy Tab S9+</v>
      </c>
      <c r="AZ238" s="185">
        <f t="shared" ca="1" si="215"/>
        <v>0</v>
      </c>
      <c r="BA238" s="185" t="str">
        <f t="shared" ca="1" si="215"/>
        <v>Android 13</v>
      </c>
      <c r="BB238" s="185">
        <f t="shared" ca="1" si="215"/>
        <v>10190</v>
      </c>
      <c r="BC238" s="185">
        <f t="shared" ca="1" si="215"/>
        <v>10190</v>
      </c>
      <c r="BD238" s="192" t="str">
        <f t="shared" ca="1" si="215"/>
        <v>Targus</v>
      </c>
      <c r="BE238" s="192" t="str">
        <f t="shared" ca="1" si="215"/>
        <v>Panzerglass</v>
      </c>
      <c r="BF238" s="192" t="str">
        <f t="shared" ca="1" si="215"/>
        <v>Samsung</v>
      </c>
      <c r="BG238" s="192" t="str">
        <f t="shared" ca="1" si="215"/>
        <v>Voxicon</v>
      </c>
      <c r="BH238" s="192" t="str">
        <f t="shared" ca="1" si="216"/>
        <v>INGÅR</v>
      </c>
      <c r="BI238" s="192" t="str">
        <f t="shared" ca="1" si="216"/>
        <v>THZ904GL </v>
      </c>
      <c r="BJ238" s="192">
        <f t="shared" ca="1" si="216"/>
        <v>7242</v>
      </c>
      <c r="BK238" s="192" t="str">
        <f t="shared" ca="1" si="216"/>
        <v>EP-T1510NBEGEU / EP-TA20EWECGWW</v>
      </c>
      <c r="BL238" s="192" t="str">
        <f t="shared" ca="1" si="216"/>
        <v>DK-199B-G</v>
      </c>
      <c r="BM238" s="192">
        <f t="shared" ca="1" si="216"/>
        <v>0</v>
      </c>
      <c r="BN238" s="192">
        <f t="shared" ca="1" si="216"/>
        <v>279</v>
      </c>
      <c r="BO238" s="192">
        <f t="shared" ca="1" si="216"/>
        <v>206</v>
      </c>
      <c r="BP238" s="192">
        <f t="shared" ca="1" si="216"/>
        <v>111</v>
      </c>
      <c r="BQ238" s="192">
        <f t="shared" ca="1" si="216"/>
        <v>979</v>
      </c>
      <c r="BR238" s="192">
        <f t="shared" ca="1" si="216"/>
        <v>0</v>
      </c>
      <c r="BS238" s="192">
        <f t="shared" ca="1" si="216"/>
        <v>532</v>
      </c>
      <c r="BT238" s="192">
        <f t="shared" ca="1" si="216"/>
        <v>20</v>
      </c>
      <c r="BU238" s="192">
        <f t="shared" ca="1" si="216"/>
        <v>20</v>
      </c>
      <c r="BV238" s="192">
        <f t="shared" ca="1" si="216"/>
        <v>0</v>
      </c>
      <c r="BW238" s="192"/>
      <c r="BX238" s="192"/>
      <c r="BY238" s="192" t="str">
        <f t="shared" ca="1" si="211"/>
        <v>Dustin Sverige AB</v>
      </c>
      <c r="BZ238" s="192" t="str">
        <f t="shared" ca="1" si="211"/>
        <v>Samsung</v>
      </c>
      <c r="CE238" s="101"/>
    </row>
    <row r="239" spans="2:94" ht="30" customHeight="1" outlineLevel="1" x14ac:dyDescent="0.35">
      <c r="B239" s="69" t="s">
        <v>340</v>
      </c>
      <c r="C239" s="96" t="s">
        <v>51</v>
      </c>
      <c r="D239" s="131" t="str">
        <f>IF("Ska Ingå"=D238,"Ska Ingå","")</f>
        <v/>
      </c>
      <c r="F239" s="84" t="str">
        <f t="shared" si="217"/>
        <v/>
      </c>
      <c r="G239" s="85" t="str">
        <f t="shared" ca="1" si="218"/>
        <v>Phonelife</v>
      </c>
      <c r="H239" s="85" t="str">
        <f t="shared" ca="1" si="218"/>
        <v>eSTUFF</v>
      </c>
      <c r="I239" s="85" t="str">
        <f t="shared" ca="1" si="218"/>
        <v>Otterbox Defender Series</v>
      </c>
      <c r="J239" s="62"/>
      <c r="Q239" s="185">
        <f t="shared" si="192"/>
        <v>0</v>
      </c>
      <c r="R239" s="185">
        <f t="shared" si="193"/>
        <v>0</v>
      </c>
      <c r="S239" s="185">
        <f t="shared" si="194"/>
        <v>0</v>
      </c>
      <c r="T239" s="185">
        <f t="shared" si="195"/>
        <v>0</v>
      </c>
      <c r="U239" s="185">
        <f t="shared" si="196"/>
        <v>0</v>
      </c>
      <c r="V239" s="185">
        <f t="shared" si="197"/>
        <v>0</v>
      </c>
      <c r="W239" s="185">
        <f t="shared" si="198"/>
        <v>0</v>
      </c>
      <c r="X239" s="185">
        <f t="shared" si="199"/>
        <v>0</v>
      </c>
      <c r="Y239" s="185">
        <f t="shared" si="200"/>
        <v>0</v>
      </c>
      <c r="Z239" s="196">
        <f t="shared" ca="1" si="201"/>
        <v>4068</v>
      </c>
      <c r="AA239" s="185" t="str">
        <f t="shared" si="202"/>
        <v>Offererad produktnr. 07Foxway Education AB</v>
      </c>
      <c r="AB239" s="185" t="b">
        <f>IF(D228="",TRUE,IF(COUNTIF(Processor!$M$2:$M$3,D228)=0,IF(AN239=D228,TRUE,FALSE),IF(COUNTIF(AN239,INDEX(Processor!$N$2:$N$3,MATCH(Surfplattor!D228,Processor!$M$2:$M$3,0)))&gt;0,TRUE,FALSE)))</f>
        <v>1</v>
      </c>
      <c r="AC239" s="185" t="b">
        <f>IF($D$229="",TRUE,IF(COUNTIF(Processor!$I$2:$I$9,$D$229)&gt;0,AND(AO239&gt;INDEX(Processor!$J$2:$J$9,MATCH($D$229,Processor!$I$2:$I$9,0)),AO239&lt;INDEX(Processor!$K$2:$K$9,MATCH($D$229,Processor!$I$2:$I$9,0))),IF(AO239=$D$229,TRUE,FALSE)))</f>
        <v>1</v>
      </c>
      <c r="AD239" s="185" t="b">
        <f t="shared" si="203"/>
        <v>1</v>
      </c>
      <c r="AE239" s="185" t="b">
        <f t="shared" si="204"/>
        <v>1</v>
      </c>
      <c r="AF239" s="185" t="b">
        <f t="shared" si="205"/>
        <v>1</v>
      </c>
      <c r="AG239" s="185" t="b">
        <f t="shared" si="206"/>
        <v>1</v>
      </c>
      <c r="AH239" s="185" t="b">
        <f>IF($D$234="",TRUE,IF(INDEX(Processor!$C$14:$C$20,MATCH(LEFT(AT239,10)&amp;"",Processor!$A$14:$A$20,0))&gt;=INDEX(Processor!$C$14:$C$20,MATCH(LEFT($D$234,10)&amp;"",Processor!$A$14:$A$20,0)),TRUE,FALSE))</f>
        <v>1</v>
      </c>
      <c r="AI239" s="185" t="b">
        <f t="shared" si="207"/>
        <v>1</v>
      </c>
      <c r="AJ239" s="185"/>
      <c r="AK239" s="185"/>
      <c r="AL239" s="185" t="s">
        <v>216</v>
      </c>
      <c r="AM239" s="185">
        <v>1</v>
      </c>
      <c r="AN239" s="185" t="str">
        <f t="shared" ca="1" si="214"/>
        <v>iPadOS 15</v>
      </c>
      <c r="AO239" s="185">
        <f t="shared" ca="1" si="214"/>
        <v>10.199999999999999</v>
      </c>
      <c r="AP239" s="185" t="str">
        <f t="shared" ca="1" si="214"/>
        <v>2160x1620</v>
      </c>
      <c r="AQ239" s="185">
        <f t="shared" ca="1" si="214"/>
        <v>64</v>
      </c>
      <c r="AR239" s="185">
        <f t="shared" ca="1" si="214"/>
        <v>4.2</v>
      </c>
      <c r="AS239" s="185" t="str">
        <f t="shared" ca="1" si="214"/>
        <v>802.11a/b/g/n/ac</v>
      </c>
      <c r="AT239" s="185">
        <f t="shared" ca="1" si="214"/>
        <v>10</v>
      </c>
      <c r="AU239" s="185" t="str">
        <f t="shared" ca="1" si="214"/>
        <v>EPEAT Gold</v>
      </c>
      <c r="AV239" s="185" t="str">
        <f t="shared" ca="1" si="214"/>
        <v>802.11a/b/g/n/ac</v>
      </c>
      <c r="AW239" s="185">
        <f t="shared" ca="1" si="214"/>
        <v>4.2</v>
      </c>
      <c r="AX239" s="185">
        <f t="shared" ca="1" si="215"/>
        <v>10</v>
      </c>
      <c r="AY239" s="185" t="str">
        <f t="shared" ca="1" si="215"/>
        <v>10.2-inch (9th-gen) iPad Wi-Fi 64GB</v>
      </c>
      <c r="AZ239" s="185">
        <f t="shared" ca="1" si="215"/>
        <v>0</v>
      </c>
      <c r="BA239" s="185" t="str">
        <f t="shared" ca="1" si="215"/>
        <v>iPadOS 15</v>
      </c>
      <c r="BB239" s="185">
        <f t="shared" ca="1" si="215"/>
        <v>4068</v>
      </c>
      <c r="BC239" s="185">
        <f t="shared" ca="1" si="215"/>
        <v>4068</v>
      </c>
      <c r="BD239" s="192" t="str">
        <f t="shared" ca="1" si="215"/>
        <v>Targus</v>
      </c>
      <c r="BE239" s="192" t="str">
        <f t="shared" ca="1" si="215"/>
        <v>Screenor</v>
      </c>
      <c r="BF239" s="192" t="str">
        <f t="shared" ca="1" si="215"/>
        <v>Apple</v>
      </c>
      <c r="BG239" s="192" t="str">
        <f t="shared" ca="1" si="215"/>
        <v>Deltaco</v>
      </c>
      <c r="BH239" s="192" t="str">
        <f t="shared" ca="1" si="216"/>
        <v>Apple</v>
      </c>
      <c r="BI239" s="192" t="str">
        <f t="shared" ca="1" si="216"/>
        <v>Targus SafePORT Rugged</v>
      </c>
      <c r="BJ239" s="192" t="str">
        <f t="shared" ca="1" si="216"/>
        <v>SCREENOR TEMPERED IPAD 10.2</v>
      </c>
      <c r="BK239" s="192" t="str">
        <f t="shared" ca="1" si="216"/>
        <v>Laddkit iPad</v>
      </c>
      <c r="BL239" s="192" t="str">
        <f t="shared" ca="1" si="216"/>
        <v>DELTACO trådlöst minitangentbord, 78 tangenter, Bluetooth, nordisk layout, dämpade tangenter, svart</v>
      </c>
      <c r="BM239" s="192" t="str">
        <f t="shared" ca="1" si="216"/>
        <v>Apple Pencil</v>
      </c>
      <c r="BN239" s="192">
        <f t="shared" ca="1" si="216"/>
        <v>210</v>
      </c>
      <c r="BO239" s="192">
        <f t="shared" ca="1" si="216"/>
        <v>240</v>
      </c>
      <c r="BP239" s="192">
        <f t="shared" ca="1" si="216"/>
        <v>372</v>
      </c>
      <c r="BQ239" s="192">
        <f t="shared" ca="1" si="216"/>
        <v>156</v>
      </c>
      <c r="BR239" s="192">
        <f t="shared" ca="1" si="216"/>
        <v>1080</v>
      </c>
      <c r="BS239" s="192">
        <f t="shared" ca="1" si="216"/>
        <v>480</v>
      </c>
      <c r="BT239" s="192">
        <f t="shared" ca="1" si="216"/>
        <v>60</v>
      </c>
      <c r="BU239" s="192">
        <f t="shared" ca="1" si="216"/>
        <v>50</v>
      </c>
      <c r="BV239" s="192">
        <f t="shared" ca="1" si="216"/>
        <v>0</v>
      </c>
      <c r="BW239" s="192"/>
      <c r="BX239" s="192"/>
      <c r="BY239" s="192" t="str">
        <f t="shared" ca="1" si="211"/>
        <v>Foxway Education AB</v>
      </c>
      <c r="BZ239" s="192" t="str">
        <f t="shared" ca="1" si="211"/>
        <v>Apple</v>
      </c>
      <c r="CB239" s="63"/>
      <c r="CC239" s="63"/>
      <c r="CD239" s="63"/>
      <c r="CE239" s="102"/>
      <c r="CF239" s="63"/>
      <c r="CG239" s="63"/>
      <c r="CH239" s="63"/>
      <c r="CI239" s="63"/>
      <c r="CJ239" s="63"/>
      <c r="CK239" s="63"/>
      <c r="CL239" s="63"/>
      <c r="CM239" s="63"/>
      <c r="CN239" s="63"/>
      <c r="CO239" s="63"/>
      <c r="CP239" s="63"/>
    </row>
    <row r="240" spans="2:94" ht="67.5" customHeight="1" outlineLevel="1" x14ac:dyDescent="0.35">
      <c r="B240" s="69" t="s">
        <v>345</v>
      </c>
      <c r="C240" s="97" t="s">
        <v>52</v>
      </c>
      <c r="D240" s="132" t="str">
        <f>IF("Ska Ingå"=D238,"Ska Ingå","")</f>
        <v/>
      </c>
      <c r="F240" s="86" t="str">
        <f t="shared" si="217"/>
        <v/>
      </c>
      <c r="G240" s="87" t="str">
        <f t="shared" ca="1" si="218"/>
        <v>GBXRUGGEDLENTAB-V1</v>
      </c>
      <c r="H240" s="87" t="str">
        <f t="shared" ca="1" si="218"/>
        <v>ES685307-BULK - Vikbart fodral för surfplatta - polyuretan, polykarbonat, konstläder, mikrofiber - svart - för Lenovo Tab M10 (3rd Gen)</v>
      </c>
      <c r="I240" s="87" t="str">
        <f t="shared" ca="1" si="218"/>
        <v>GBX77-62032</v>
      </c>
      <c r="J240" s="62"/>
      <c r="Q240" s="185">
        <f t="shared" si="192"/>
        <v>0</v>
      </c>
      <c r="R240" s="185">
        <f t="shared" si="193"/>
        <v>0</v>
      </c>
      <c r="S240" s="185">
        <f t="shared" si="194"/>
        <v>0</v>
      </c>
      <c r="T240" s="185">
        <f t="shared" si="195"/>
        <v>0</v>
      </c>
      <c r="U240" s="185">
        <f t="shared" si="196"/>
        <v>0</v>
      </c>
      <c r="V240" s="185">
        <f t="shared" si="197"/>
        <v>0</v>
      </c>
      <c r="W240" s="185">
        <f t="shared" si="198"/>
        <v>0</v>
      </c>
      <c r="X240" s="185">
        <f t="shared" si="199"/>
        <v>0</v>
      </c>
      <c r="Y240" s="185">
        <f t="shared" si="200"/>
        <v>0</v>
      </c>
      <c r="Z240" s="196">
        <f t="shared" ca="1" si="201"/>
        <v>3894</v>
      </c>
      <c r="AA240" s="185" t="str">
        <f t="shared" si="202"/>
        <v>Offererad produktnr. 08Foxway Education AB</v>
      </c>
      <c r="AB240" s="185" t="b">
        <f>IF(D228="",TRUE,IF(COUNTIF(Processor!$M$2:$M$3,D228)=0,IF(AN240=D228,TRUE,FALSE),IF(COUNTIF(AN240,INDEX(Processor!$N$2:$N$3,MATCH(Surfplattor!D228,Processor!$M$2:$M$3,0)))&gt;0,TRUE,FALSE)))</f>
        <v>1</v>
      </c>
      <c r="AC240" s="185" t="b">
        <f>IF($D$229="",TRUE,IF(COUNTIF(Processor!$I$2:$I$9,$D$229)&gt;0,AND(AO240&gt;INDEX(Processor!$J$2:$J$9,MATCH($D$229,Processor!$I$2:$I$9,0)),AO240&lt;INDEX(Processor!$K$2:$K$9,MATCH($D$229,Processor!$I$2:$I$9,0))),IF(AO240=$D$229,TRUE,FALSE)))</f>
        <v>1</v>
      </c>
      <c r="AD240" s="185" t="b">
        <f t="shared" si="203"/>
        <v>1</v>
      </c>
      <c r="AE240" s="185" t="b">
        <f t="shared" si="204"/>
        <v>1</v>
      </c>
      <c r="AF240" s="185" t="b">
        <f t="shared" si="205"/>
        <v>1</v>
      </c>
      <c r="AG240" s="185" t="b">
        <f t="shared" si="206"/>
        <v>1</v>
      </c>
      <c r="AH240" s="185" t="b">
        <f>IF($D$234="",TRUE,IF(INDEX(Processor!$C$14:$C$20,MATCH(LEFT(AT240,10)&amp;"",Processor!$A$14:$A$20,0))&gt;=INDEX(Processor!$C$14:$C$20,MATCH(LEFT($D$234,10)&amp;"",Processor!$A$14:$A$20,0)),TRUE,FALSE))</f>
        <v>1</v>
      </c>
      <c r="AI240" s="185" t="b">
        <f t="shared" si="207"/>
        <v>1</v>
      </c>
      <c r="AJ240" s="185"/>
      <c r="AK240" s="185"/>
      <c r="AL240" s="185" t="s">
        <v>217</v>
      </c>
      <c r="AM240" s="185">
        <v>1</v>
      </c>
      <c r="AN240" s="185" t="str">
        <f t="shared" ca="1" si="214"/>
        <v>Android 11</v>
      </c>
      <c r="AO240" s="185">
        <f t="shared" ca="1" si="214"/>
        <v>10.4</v>
      </c>
      <c r="AP240" s="185" t="str">
        <f t="shared" ca="1" si="214"/>
        <v>2000x1200</v>
      </c>
      <c r="AQ240" s="185">
        <f t="shared" ca="1" si="214"/>
        <v>64</v>
      </c>
      <c r="AR240" s="185">
        <f t="shared" ca="1" si="214"/>
        <v>5</v>
      </c>
      <c r="AS240" s="185" t="str">
        <f t="shared" ca="1" si="214"/>
        <v>802.11a/b/g/n/ac</v>
      </c>
      <c r="AT240" s="185">
        <f t="shared" ca="1" si="214"/>
        <v>12</v>
      </c>
      <c r="AU240" s="185" t="str">
        <f t="shared" ca="1" si="214"/>
        <v>Epeat Bronze</v>
      </c>
      <c r="AV240" s="185" t="str">
        <f t="shared" ca="1" si="214"/>
        <v>802.11a/b/g/n/ac</v>
      </c>
      <c r="AW240" s="185">
        <f t="shared" ca="1" si="214"/>
        <v>5</v>
      </c>
      <c r="AX240" s="185">
        <f t="shared" ca="1" si="215"/>
        <v>12</v>
      </c>
      <c r="AY240" s="185" t="str">
        <f t="shared" ca="1" si="215"/>
        <v>Galaxy Tab S6 Lite WiFi (64GB)</v>
      </c>
      <c r="AZ240" s="185">
        <f t="shared" ca="1" si="215"/>
        <v>0</v>
      </c>
      <c r="BA240" s="185" t="str">
        <f t="shared" ca="1" si="215"/>
        <v>Android 11</v>
      </c>
      <c r="BB240" s="185">
        <f t="shared" ca="1" si="215"/>
        <v>3894</v>
      </c>
      <c r="BC240" s="185">
        <f t="shared" ca="1" si="215"/>
        <v>3894</v>
      </c>
      <c r="BD240" s="192" t="str">
        <f t="shared" ca="1" si="215"/>
        <v>Tolerate</v>
      </c>
      <c r="BE240" s="192" t="str">
        <f t="shared" ca="1" si="215"/>
        <v xml:space="preserve">Insmat </v>
      </c>
      <c r="BF240" s="192" t="str">
        <f t="shared" ca="1" si="215"/>
        <v>Samsung</v>
      </c>
      <c r="BG240" s="192" t="str">
        <f t="shared" ca="1" si="215"/>
        <v>Deltaco</v>
      </c>
      <c r="BH240" s="192" t="str">
        <f t="shared" ca="1" si="216"/>
        <v>Samsung</v>
      </c>
      <c r="BI240" s="192" t="str">
        <f t="shared" ca="1" si="216"/>
        <v xml:space="preserve">TOLERATE ARMOR FOLIO SAMSUNG TAB S6 LITE BLACK </v>
      </c>
      <c r="BJ240" s="192" t="str">
        <f t="shared" ca="1" si="216"/>
        <v>Insmat Brilliant</v>
      </c>
      <c r="BK240" s="192" t="str">
        <f t="shared" ca="1" si="216"/>
        <v>SAMSUNG FAST TRAVEL CHARGER USB-C BLACK</v>
      </c>
      <c r="BL240" s="192" t="str">
        <f t="shared" ca="1" si="216"/>
        <v>DELTACO trådlöst minitangentbord, 78 tangenter, Bluetooth, nordisk layout, dämpade tangenter, svart</v>
      </c>
      <c r="BM240" s="192" t="str">
        <f t="shared" ca="1" si="216"/>
        <v xml:space="preserve">SAMSUNG S-PEN GALAXY TAB S6 LITE GREY </v>
      </c>
      <c r="BN240" s="192">
        <f t="shared" ca="1" si="216"/>
        <v>350</v>
      </c>
      <c r="BO240" s="192">
        <f t="shared" ca="1" si="216"/>
        <v>165</v>
      </c>
      <c r="BP240" s="192">
        <f t="shared" ca="1" si="216"/>
        <v>114</v>
      </c>
      <c r="BQ240" s="192">
        <f t="shared" ca="1" si="216"/>
        <v>156</v>
      </c>
      <c r="BR240" s="192">
        <f t="shared" ca="1" si="216"/>
        <v>306</v>
      </c>
      <c r="BS240" s="192">
        <f t="shared" ca="1" si="216"/>
        <v>1</v>
      </c>
      <c r="BT240" s="192">
        <f t="shared" ca="1" si="216"/>
        <v>60</v>
      </c>
      <c r="BU240" s="192">
        <f t="shared" ca="1" si="216"/>
        <v>50</v>
      </c>
      <c r="BV240" s="192">
        <f t="shared" ca="1" si="216"/>
        <v>0</v>
      </c>
      <c r="BW240" s="192"/>
      <c r="BX240" s="192"/>
      <c r="BY240" s="192" t="str">
        <f t="shared" ca="1" si="211"/>
        <v>Foxway Education AB</v>
      </c>
      <c r="BZ240" s="192" t="str">
        <f t="shared" ca="1" si="211"/>
        <v>Samsung</v>
      </c>
      <c r="CA240" s="63"/>
      <c r="CB240" s="63"/>
      <c r="CC240" s="63"/>
      <c r="CD240" s="63"/>
      <c r="CE240" s="63"/>
      <c r="CF240" s="63"/>
      <c r="CG240" s="63"/>
      <c r="CH240" s="63"/>
      <c r="CI240" s="63"/>
      <c r="CJ240" s="63"/>
      <c r="CK240" s="63"/>
      <c r="CL240" s="63"/>
      <c r="CM240" s="63"/>
      <c r="CN240" s="63"/>
    </row>
    <row r="241" spans="2:92" ht="30" customHeight="1" outlineLevel="1" x14ac:dyDescent="0.35">
      <c r="B241" s="69" t="s">
        <v>54</v>
      </c>
      <c r="C241" s="98" t="s">
        <v>373</v>
      </c>
      <c r="D241" s="70"/>
      <c r="F241" s="157" t="str">
        <f t="shared" si="217"/>
        <v/>
      </c>
      <c r="G241" s="158">
        <f t="shared" ca="1" si="218"/>
        <v>180</v>
      </c>
      <c r="H241" s="158">
        <f t="shared" ca="1" si="218"/>
        <v>251</v>
      </c>
      <c r="I241" s="158">
        <f t="shared" ca="1" si="218"/>
        <v>189</v>
      </c>
      <c r="J241" s="62"/>
      <c r="Q241" s="185">
        <f t="shared" si="192"/>
        <v>0</v>
      </c>
      <c r="R241" s="185">
        <f t="shared" si="193"/>
        <v>0</v>
      </c>
      <c r="S241" s="185">
        <f t="shared" si="194"/>
        <v>0</v>
      </c>
      <c r="T241" s="185">
        <f t="shared" si="195"/>
        <v>0</v>
      </c>
      <c r="U241" s="185">
        <f t="shared" si="196"/>
        <v>0</v>
      </c>
      <c r="V241" s="185">
        <f t="shared" si="197"/>
        <v>0</v>
      </c>
      <c r="W241" s="185">
        <f t="shared" si="198"/>
        <v>0</v>
      </c>
      <c r="X241" s="185">
        <f t="shared" si="199"/>
        <v>0</v>
      </c>
      <c r="Y241" s="185">
        <f t="shared" si="200"/>
        <v>0</v>
      </c>
      <c r="Z241" s="196">
        <f t="shared" ca="1" si="201"/>
        <v>7350</v>
      </c>
      <c r="AA241" s="185" t="str">
        <f t="shared" si="202"/>
        <v>Offererad produktnr. 09Foxway Education AB</v>
      </c>
      <c r="AB241" s="185" t="b">
        <f>IF(D228="",TRUE,IF(COUNTIF(Processor!$M$2:$M$3,D228)=0,IF(AN241=D228,TRUE,FALSE),IF(COUNTIF(AN241,INDEX(Processor!$N$2:$N$3,MATCH(Surfplattor!D228,Processor!$M$2:$M$3,0)))&gt;0,TRUE,FALSE)))</f>
        <v>1</v>
      </c>
      <c r="AC241" s="185" t="b">
        <f>IF($D$229="",TRUE,IF(COUNTIF(Processor!$I$2:$I$9,$D$229)&gt;0,AND(AO241&gt;INDEX(Processor!$J$2:$J$9,MATCH($D$229,Processor!$I$2:$I$9,0)),AO241&lt;INDEX(Processor!$K$2:$K$9,MATCH($D$229,Processor!$I$2:$I$9,0))),IF(AO241=$D$229,TRUE,FALSE)))</f>
        <v>1</v>
      </c>
      <c r="AD241" s="185" t="b">
        <f t="shared" si="203"/>
        <v>1</v>
      </c>
      <c r="AE241" s="185" t="b">
        <f t="shared" si="204"/>
        <v>1</v>
      </c>
      <c r="AF241" s="185" t="b">
        <f t="shared" si="205"/>
        <v>1</v>
      </c>
      <c r="AG241" s="185" t="b">
        <f t="shared" si="206"/>
        <v>1</v>
      </c>
      <c r="AH241" s="185" t="b">
        <f>IF($D$234="",TRUE,IF(INDEX(Processor!$C$14:$C$20,MATCH(LEFT(AT241,10)&amp;"",Processor!$A$14:$A$20,0))&gt;=INDEX(Processor!$C$14:$C$20,MATCH(LEFT($D$234,10)&amp;"",Processor!$A$14:$A$20,0)),TRUE,FALSE))</f>
        <v>1</v>
      </c>
      <c r="AI241" s="185" t="b">
        <f t="shared" si="207"/>
        <v>1</v>
      </c>
      <c r="AJ241" s="185"/>
      <c r="AK241" s="185"/>
      <c r="AL241" s="185" t="s">
        <v>218</v>
      </c>
      <c r="AM241" s="185">
        <v>1</v>
      </c>
      <c r="AN241" s="185" t="str">
        <f t="shared" ca="1" si="214"/>
        <v>Android 11</v>
      </c>
      <c r="AO241" s="185">
        <f t="shared" ca="1" si="214"/>
        <v>11</v>
      </c>
      <c r="AP241" s="185" t="str">
        <f t="shared" ca="1" si="214"/>
        <v>2560x1600</v>
      </c>
      <c r="AQ241" s="185">
        <f t="shared" ca="1" si="214"/>
        <v>128</v>
      </c>
      <c r="AR241" s="185">
        <f t="shared" ca="1" si="214"/>
        <v>5</v>
      </c>
      <c r="AS241" s="185" t="str">
        <f t="shared" ca="1" si="214"/>
        <v>802.11a/b/g/n/ac/ax</v>
      </c>
      <c r="AT241" s="185">
        <f t="shared" ca="1" si="214"/>
        <v>13</v>
      </c>
      <c r="AU241" s="185" t="str">
        <f t="shared" ca="1" si="214"/>
        <v>Epeat Bronze</v>
      </c>
      <c r="AV241" s="185" t="str">
        <f t="shared" ca="1" si="214"/>
        <v>802.11a/b/g/n/ac/ax</v>
      </c>
      <c r="AW241" s="185">
        <f t="shared" ca="1" si="214"/>
        <v>5</v>
      </c>
      <c r="AX241" s="185">
        <f t="shared" ca="1" si="215"/>
        <v>13</v>
      </c>
      <c r="AY241" s="185" t="str">
        <f t="shared" ca="1" si="215"/>
        <v>Galaxy Tab S8 Wifi (128GB)</v>
      </c>
      <c r="AZ241" s="185">
        <f t="shared" ca="1" si="215"/>
        <v>0</v>
      </c>
      <c r="BA241" s="185" t="str">
        <f t="shared" ca="1" si="215"/>
        <v>Android 11</v>
      </c>
      <c r="BB241" s="185">
        <f t="shared" ca="1" si="215"/>
        <v>7350</v>
      </c>
      <c r="BC241" s="185">
        <f t="shared" ca="1" si="215"/>
        <v>7350</v>
      </c>
      <c r="BD241" s="192" t="str">
        <f t="shared" ca="1" si="215"/>
        <v>Insmat</v>
      </c>
      <c r="BE241" s="192" t="str">
        <f t="shared" ca="1" si="215"/>
        <v>Tolerate</v>
      </c>
      <c r="BF241" s="192" t="str">
        <f t="shared" ca="1" si="215"/>
        <v>Samsung</v>
      </c>
      <c r="BG241" s="192" t="str">
        <f t="shared" ca="1" si="215"/>
        <v>Deltaco</v>
      </c>
      <c r="BH241" s="192" t="str">
        <f t="shared" ca="1" si="216"/>
        <v>Samsung</v>
      </c>
      <c r="BI241" s="192" t="str">
        <f t="shared" ca="1" si="216"/>
        <v>Insmat Rugged Armor S8</v>
      </c>
      <c r="BJ241" s="192" t="str">
        <f t="shared" ca="1" si="216"/>
        <v>TOLERATE GLASS SCREEN PROTECTOR SAMSUNG TAB S8</v>
      </c>
      <c r="BK241" s="192" t="str">
        <f t="shared" ca="1" si="216"/>
        <v>SAMSUNG FAST TRAVEL CHARGER USB-C BLACK</v>
      </c>
      <c r="BL241" s="192" t="str">
        <f t="shared" ca="1" si="216"/>
        <v>DELTACO trådlöst minitangentbord, 78 tangenter, Bluetooth, nordisk layout, dämpade tangenter, svart</v>
      </c>
      <c r="BM241" s="192" t="str">
        <f t="shared" ca="1" si="216"/>
        <v>SAMSUNG S-PEN GALAXY TAB S7</v>
      </c>
      <c r="BN241" s="192">
        <f t="shared" ca="1" si="216"/>
        <v>340</v>
      </c>
      <c r="BO241" s="185">
        <f t="shared" ca="1" si="216"/>
        <v>205</v>
      </c>
      <c r="BP241" s="192">
        <f t="shared" ca="1" si="216"/>
        <v>114</v>
      </c>
      <c r="BQ241" s="192">
        <f t="shared" ca="1" si="216"/>
        <v>156</v>
      </c>
      <c r="BR241" s="192">
        <f t="shared" ca="1" si="216"/>
        <v>360</v>
      </c>
      <c r="BS241" s="185">
        <f t="shared" ca="1" si="216"/>
        <v>1</v>
      </c>
      <c r="BT241" s="185">
        <f t="shared" ca="1" si="216"/>
        <v>60</v>
      </c>
      <c r="BU241" s="185">
        <f t="shared" ca="1" si="216"/>
        <v>50</v>
      </c>
      <c r="BV241" s="185">
        <f t="shared" ca="1" si="216"/>
        <v>0</v>
      </c>
      <c r="BW241" s="185"/>
      <c r="BX241" s="185"/>
      <c r="BY241" s="185" t="str">
        <f t="shared" ca="1" si="211"/>
        <v>Foxway Education AB</v>
      </c>
      <c r="BZ241" s="185" t="str">
        <f t="shared" ca="1" si="211"/>
        <v>Samsung</v>
      </c>
      <c r="CA241" s="63"/>
      <c r="CB241" s="63"/>
      <c r="CC241" s="63"/>
      <c r="CD241" s="63"/>
      <c r="CE241" s="63"/>
      <c r="CF241" s="63"/>
      <c r="CG241" s="63"/>
      <c r="CH241" s="63"/>
      <c r="CI241" s="63"/>
      <c r="CJ241" s="63"/>
      <c r="CK241" s="63"/>
      <c r="CL241" s="63"/>
      <c r="CM241" s="63"/>
      <c r="CN241" s="63"/>
    </row>
    <row r="242" spans="2:92" ht="30" customHeight="1" outlineLevel="1" x14ac:dyDescent="0.35">
      <c r="B242" s="69" t="s">
        <v>341</v>
      </c>
      <c r="C242" s="61" t="s">
        <v>51</v>
      </c>
      <c r="D242" s="131" t="str">
        <f>IF("Ska Ingå"=D241,"Ska Ingå","")</f>
        <v/>
      </c>
      <c r="F242" s="88" t="str">
        <f t="shared" si="217"/>
        <v/>
      </c>
      <c r="G242" s="89" t="str">
        <f t="shared" ca="1" si="218"/>
        <v>Lenovo</v>
      </c>
      <c r="H242" s="89" t="str">
        <f t="shared" ca="1" si="218"/>
        <v>eSTUFF</v>
      </c>
      <c r="I242" s="89" t="str">
        <f t="shared" ca="1" si="218"/>
        <v>ZAGG</v>
      </c>
      <c r="J242" s="62"/>
      <c r="Q242" s="185">
        <f t="shared" si="192"/>
        <v>0</v>
      </c>
      <c r="R242" s="185">
        <f t="shared" si="193"/>
        <v>0</v>
      </c>
      <c r="S242" s="185">
        <f t="shared" si="194"/>
        <v>0</v>
      </c>
      <c r="T242" s="185">
        <f t="shared" si="195"/>
        <v>0</v>
      </c>
      <c r="U242" s="185">
        <f t="shared" si="196"/>
        <v>0</v>
      </c>
      <c r="V242" s="185">
        <f t="shared" si="197"/>
        <v>0</v>
      </c>
      <c r="W242" s="185">
        <f t="shared" si="198"/>
        <v>0</v>
      </c>
      <c r="X242" s="185">
        <f t="shared" si="199"/>
        <v>0</v>
      </c>
      <c r="Y242" s="185">
        <f t="shared" si="200"/>
        <v>0</v>
      </c>
      <c r="Z242" s="196">
        <f t="shared" ca="1" si="201"/>
        <v>5256</v>
      </c>
      <c r="AA242" s="185" t="str">
        <f t="shared" si="202"/>
        <v>Offererad produktnr. 10Foxway Education AB</v>
      </c>
      <c r="AB242" s="185" t="b">
        <f>IF(D228="",TRUE,IF(COUNTIF(Processor!$M$2:$M$3,D228)=0,IF(AN242=D228,TRUE,FALSE),IF(COUNTIF(AN242,INDEX(Processor!$N$2:$N$3,MATCH(Surfplattor!D228,Processor!$M$2:$M$3,0)))&gt;0,TRUE,FALSE)))</f>
        <v>1</v>
      </c>
      <c r="AC242" s="185" t="b">
        <f>IF($D$229="",TRUE,IF(COUNTIF(Processor!$I$2:$I$9,$D$229)&gt;0,AND(AO242&gt;INDEX(Processor!$J$2:$J$9,MATCH($D$229,Processor!$I$2:$I$9,0)),AO242&lt;INDEX(Processor!$K$2:$K$9,MATCH($D$229,Processor!$I$2:$I$9,0))),IF(AO242=$D$229,TRUE,FALSE)))</f>
        <v>1</v>
      </c>
      <c r="AD242" s="185" t="b">
        <f t="shared" si="203"/>
        <v>1</v>
      </c>
      <c r="AE242" s="185" t="b">
        <f t="shared" si="204"/>
        <v>1</v>
      </c>
      <c r="AF242" s="185" t="b">
        <f t="shared" si="205"/>
        <v>1</v>
      </c>
      <c r="AG242" s="185" t="b">
        <f t="shared" si="206"/>
        <v>1</v>
      </c>
      <c r="AH242" s="185" t="b">
        <f>IF($D$234="",TRUE,IF(INDEX(Processor!$C$14:$C$20,MATCH(LEFT(AT242,10)&amp;"",Processor!$A$14:$A$20,0))&gt;=INDEX(Processor!$C$14:$C$20,MATCH(LEFT($D$234,10)&amp;"",Processor!$A$14:$A$20,0)),TRUE,FALSE))</f>
        <v>1</v>
      </c>
      <c r="AI242" s="185" t="b">
        <f t="shared" si="207"/>
        <v>1</v>
      </c>
      <c r="AJ242" s="185"/>
      <c r="AK242" s="185"/>
      <c r="AL242" s="185" t="s">
        <v>219</v>
      </c>
      <c r="AM242" s="185">
        <v>1</v>
      </c>
      <c r="AN242" s="185" t="str">
        <f t="shared" ca="1" si="214"/>
        <v>Android 10</v>
      </c>
      <c r="AO242" s="185">
        <f t="shared" ca="1" si="214"/>
        <v>11.5</v>
      </c>
      <c r="AP242" s="185" t="str">
        <f t="shared" ca="1" si="214"/>
        <v>2560x1600</v>
      </c>
      <c r="AQ242" s="185">
        <f t="shared" ca="1" si="214"/>
        <v>128</v>
      </c>
      <c r="AR242" s="185">
        <f t="shared" ca="1" si="214"/>
        <v>5</v>
      </c>
      <c r="AS242" s="185" t="str">
        <f t="shared" ca="1" si="214"/>
        <v>802.11a/b/g/n/ac</v>
      </c>
      <c r="AT242" s="185">
        <f t="shared" ca="1" si="214"/>
        <v>8</v>
      </c>
      <c r="AU242" s="185" t="str">
        <f t="shared" ca="1" si="214"/>
        <v>Ej miljömärkt</v>
      </c>
      <c r="AV242" s="185" t="str">
        <f t="shared" ca="1" si="214"/>
        <v>802.11a/b/g/n/ac</v>
      </c>
      <c r="AW242" s="185">
        <f t="shared" ca="1" si="214"/>
        <v>5</v>
      </c>
      <c r="AX242" s="185">
        <f t="shared" ca="1" si="215"/>
        <v>8</v>
      </c>
      <c r="AY242" s="185" t="str">
        <f t="shared" ca="1" si="215"/>
        <v>Tab P11 Pro</v>
      </c>
      <c r="AZ242" s="185">
        <f t="shared" ca="1" si="215"/>
        <v>0</v>
      </c>
      <c r="BA242" s="185" t="str">
        <f t="shared" ca="1" si="215"/>
        <v>Android 10</v>
      </c>
      <c r="BB242" s="185">
        <f t="shared" ca="1" si="215"/>
        <v>5256</v>
      </c>
      <c r="BC242" s="185">
        <f t="shared" ca="1" si="215"/>
        <v>5256</v>
      </c>
      <c r="BD242" s="192" t="str">
        <f t="shared" ca="1" si="215"/>
        <v>Lenovo</v>
      </c>
      <c r="BE242" s="192" t="str">
        <f t="shared" ca="1" si="215"/>
        <v>Lenovo</v>
      </c>
      <c r="BF242" s="192" t="str">
        <f t="shared" ca="1" si="215"/>
        <v>Lenovo</v>
      </c>
      <c r="BG242" s="192" t="str">
        <f t="shared" ca="1" si="215"/>
        <v>Deltaco</v>
      </c>
      <c r="BH242" s="192" t="str">
        <f t="shared" ca="1" si="216"/>
        <v>Lenovo</v>
      </c>
      <c r="BI242" s="192" t="str">
        <f t="shared" ca="1" si="216"/>
        <v>P11 Pro Folio Case &amp; Film Grey</v>
      </c>
      <c r="BJ242" s="192" t="str">
        <f t="shared" ca="1" si="216"/>
        <v>Skyddsfilm</v>
      </c>
      <c r="BK242" s="192" t="str">
        <f t="shared" ca="1" si="216"/>
        <v xml:space="preserve">Lenovo Smart Charge station </v>
      </c>
      <c r="BL242" s="192" t="str">
        <f t="shared" ca="1" si="216"/>
        <v>DELTACO trådlöst minitangentbord, 78 tangenter, Bluetooth, nordisk layout, dämpade tangenter, svart</v>
      </c>
      <c r="BM242" s="192" t="str">
        <f t="shared" ca="1" si="216"/>
        <v>Lenovo Precision Pen 2</v>
      </c>
      <c r="BN242" s="192">
        <f t="shared" ca="1" si="216"/>
        <v>210</v>
      </c>
      <c r="BO242" s="185">
        <f t="shared" ca="1" si="216"/>
        <v>276</v>
      </c>
      <c r="BP242" s="192">
        <f t="shared" ca="1" si="216"/>
        <v>240</v>
      </c>
      <c r="BQ242" s="192">
        <f t="shared" ca="1" si="216"/>
        <v>156</v>
      </c>
      <c r="BR242" s="192">
        <f t="shared" ca="1" si="216"/>
        <v>564</v>
      </c>
      <c r="BS242" s="185">
        <f t="shared" ca="1" si="216"/>
        <v>550</v>
      </c>
      <c r="BT242" s="185">
        <f t="shared" ca="1" si="216"/>
        <v>60</v>
      </c>
      <c r="BU242" s="185">
        <f t="shared" ca="1" si="216"/>
        <v>50</v>
      </c>
      <c r="BV242" s="185">
        <f t="shared" ca="1" si="216"/>
        <v>0</v>
      </c>
      <c r="BW242" s="185"/>
      <c r="BX242" s="185"/>
      <c r="BY242" s="185" t="str">
        <f t="shared" ca="1" si="211"/>
        <v>Foxway Education AB</v>
      </c>
      <c r="BZ242" s="185" t="str">
        <f t="shared" ca="1" si="211"/>
        <v>Lenovo</v>
      </c>
      <c r="CA242" s="63"/>
      <c r="CB242" s="63"/>
      <c r="CC242" s="63"/>
      <c r="CD242" s="63"/>
      <c r="CE242" s="63"/>
      <c r="CF242" s="63"/>
      <c r="CG242" s="63"/>
      <c r="CH242" s="63"/>
      <c r="CI242" s="63"/>
      <c r="CJ242" s="63"/>
      <c r="CK242" s="63"/>
      <c r="CL242" s="63"/>
      <c r="CM242" s="63"/>
      <c r="CN242" s="63"/>
    </row>
    <row r="243" spans="2:92" ht="68.25" customHeight="1" outlineLevel="1" x14ac:dyDescent="0.35">
      <c r="B243" s="69" t="s">
        <v>346</v>
      </c>
      <c r="C243" s="99" t="s">
        <v>52</v>
      </c>
      <c r="D243" s="132" t="str">
        <f>IF("Ska Ingå"=D241,"Ska Ingå","")</f>
        <v/>
      </c>
      <c r="F243" s="90" t="str">
        <f t="shared" si="217"/>
        <v/>
      </c>
      <c r="G243" s="91" t="str">
        <f t="shared" ca="1" si="218"/>
        <v>GBXLENFILM</v>
      </c>
      <c r="H243" s="91" t="str">
        <f t="shared" ca="1" si="218"/>
        <v>ES517003 - Skärmskydd för surfplatta - glas - klar - för Lenovo Tab M10 (3rd Gen)</v>
      </c>
      <c r="I243" s="91" t="str">
        <f t="shared" ca="1" si="218"/>
        <v>gbx200106077</v>
      </c>
      <c r="J243" s="73"/>
      <c r="Q243" s="185">
        <f t="shared" si="192"/>
        <v>0</v>
      </c>
      <c r="R243" s="185">
        <f t="shared" si="193"/>
        <v>0</v>
      </c>
      <c r="S243" s="185">
        <f t="shared" si="194"/>
        <v>0</v>
      </c>
      <c r="T243" s="185">
        <f t="shared" si="195"/>
        <v>0</v>
      </c>
      <c r="U243" s="185">
        <f t="shared" si="196"/>
        <v>0</v>
      </c>
      <c r="V243" s="185">
        <f t="shared" si="197"/>
        <v>0</v>
      </c>
      <c r="W243" s="185">
        <f t="shared" si="198"/>
        <v>0</v>
      </c>
      <c r="X243" s="185">
        <f t="shared" si="199"/>
        <v>0</v>
      </c>
      <c r="Y243" s="185">
        <f t="shared" si="200"/>
        <v>0</v>
      </c>
      <c r="Z243" s="196">
        <f t="shared" ca="1" si="201"/>
        <v>1700</v>
      </c>
      <c r="AA243" s="185" t="str">
        <f t="shared" si="202"/>
        <v>Offererad produktnr. 07Qlosr Göteborg AB</v>
      </c>
      <c r="AB243" s="185" t="b">
        <f>IF(D228="",TRUE,IF(COUNTIF(Processor!$M$2:$M$3,D228)=0,IF(AN243=D228,TRUE,FALSE),IF(COUNTIF(AN243,INDEX(Processor!$N$2:$N$3,MATCH(Surfplattor!D228,Processor!$M$2:$M$3,0)))&gt;0,TRUE,FALSE)))</f>
        <v>1</v>
      </c>
      <c r="AC243" s="185" t="b">
        <f>IF($D$229="",TRUE,IF(COUNTIF(Processor!$I$2:$I$9,$D$229)&gt;0,AND(AO243&gt;INDEX(Processor!$J$2:$J$9,MATCH($D$229,Processor!$I$2:$I$9,0)),AO243&lt;INDEX(Processor!$K$2:$K$9,MATCH($D$229,Processor!$I$2:$I$9,0))),IF(AO243=$D$229,TRUE,FALSE)))</f>
        <v>1</v>
      </c>
      <c r="AD243" s="185" t="b">
        <f t="shared" si="203"/>
        <v>1</v>
      </c>
      <c r="AE243" s="185" t="b">
        <f t="shared" si="204"/>
        <v>1</v>
      </c>
      <c r="AF243" s="185" t="b">
        <f t="shared" si="205"/>
        <v>1</v>
      </c>
      <c r="AG243" s="185" t="b">
        <f t="shared" si="206"/>
        <v>1</v>
      </c>
      <c r="AH243" s="185" t="b">
        <f>IF($D$234="",TRUE,IF(INDEX(Processor!$C$14:$C$20,MATCH(LEFT(AT243,10)&amp;"",Processor!$A$14:$A$20,0))&gt;=INDEX(Processor!$C$14:$C$20,MATCH(LEFT($D$234,10)&amp;"",Processor!$A$14:$A$20,0)),TRUE,FALSE))</f>
        <v>1</v>
      </c>
      <c r="AI243" s="185" t="b">
        <f t="shared" si="207"/>
        <v>1</v>
      </c>
      <c r="AJ243" s="185"/>
      <c r="AK243" s="185"/>
      <c r="AL243" s="185" t="s">
        <v>558</v>
      </c>
      <c r="AM243" s="185">
        <v>1</v>
      </c>
      <c r="AN243" s="185" t="str">
        <f t="shared" ca="1" si="214"/>
        <v>Android 9</v>
      </c>
      <c r="AO243" s="185">
        <f t="shared" ca="1" si="214"/>
        <v>10.3</v>
      </c>
      <c r="AP243" s="185" t="str">
        <f t="shared" ca="1" si="214"/>
        <v>1920x1200</v>
      </c>
      <c r="AQ243" s="185">
        <f t="shared" ca="1" si="214"/>
        <v>64</v>
      </c>
      <c r="AR243" s="185">
        <f t="shared" ca="1" si="214"/>
        <v>5</v>
      </c>
      <c r="AS243" s="185" t="str">
        <f t="shared" ca="1" si="214"/>
        <v>802.11a/b/g/n/ac</v>
      </c>
      <c r="AT243" s="185">
        <f t="shared" ca="1" si="214"/>
        <v>9</v>
      </c>
      <c r="AU243" s="185" t="str">
        <f t="shared" ca="1" si="214"/>
        <v>Ej miljömärkt</v>
      </c>
      <c r="AV243" s="185" t="str">
        <f t="shared" ca="1" si="214"/>
        <v>802.11a/b/g/n/ac</v>
      </c>
      <c r="AW243" s="185">
        <f t="shared" ca="1" si="214"/>
        <v>5</v>
      </c>
      <c r="AX243" s="185">
        <f t="shared" ca="1" si="215"/>
        <v>9</v>
      </c>
      <c r="AY243" s="185" t="str">
        <f t="shared" ca="1" si="215"/>
        <v>M10 FHD G2</v>
      </c>
      <c r="AZ243" s="185">
        <f t="shared" ca="1" si="215"/>
        <v>0</v>
      </c>
      <c r="BA243" s="185" t="str">
        <f t="shared" ca="1" si="215"/>
        <v>Android 9</v>
      </c>
      <c r="BB243" s="185">
        <f t="shared" ca="1" si="215"/>
        <v>1700</v>
      </c>
      <c r="BC243" s="185">
        <f t="shared" ca="1" si="215"/>
        <v>1700</v>
      </c>
      <c r="BD243" s="192" t="str">
        <f t="shared" ca="1" si="215"/>
        <v>Phonelife</v>
      </c>
      <c r="BE243" s="192" t="str">
        <f t="shared" ca="1" si="215"/>
        <v>Lenovo</v>
      </c>
      <c r="BF243" s="192" t="str">
        <f t="shared" ca="1" si="215"/>
        <v>Lenovo</v>
      </c>
      <c r="BG243" s="192" t="str">
        <f t="shared" ca="1" si="215"/>
        <v>DELTACO</v>
      </c>
      <c r="BH243" s="192" t="str">
        <f t="shared" ca="1" si="216"/>
        <v>Kecow</v>
      </c>
      <c r="BI243" s="192" t="str">
        <f t="shared" ca="1" si="216"/>
        <v>GBXRUGGEDLENTAB-V1</v>
      </c>
      <c r="BJ243" s="192" t="str">
        <f t="shared" ca="1" si="216"/>
        <v>GBXLENFILM</v>
      </c>
      <c r="BK243" s="192" t="str">
        <f t="shared" ca="1" si="216"/>
        <v>GBXLENCHARGE</v>
      </c>
      <c r="BL243" s="192" t="str">
        <f t="shared" ca="1" si="216"/>
        <v>GBX TB-631</v>
      </c>
      <c r="BM243" s="192" t="str">
        <f t="shared" ca="1" si="216"/>
        <v>GBXPP2PENMAGNETIC</v>
      </c>
      <c r="BN243" s="192">
        <f t="shared" ca="1" si="216"/>
        <v>325</v>
      </c>
      <c r="BO243" s="185">
        <f t="shared" ca="1" si="216"/>
        <v>180</v>
      </c>
      <c r="BP243" s="192">
        <f t="shared" ca="1" si="216"/>
        <v>220</v>
      </c>
      <c r="BQ243" s="192">
        <f t="shared" ca="1" si="216"/>
        <v>150</v>
      </c>
      <c r="BR243" s="192">
        <f t="shared" ca="1" si="216"/>
        <v>399</v>
      </c>
      <c r="BS243" s="185">
        <f t="shared" ca="1" si="216"/>
        <v>570</v>
      </c>
      <c r="BT243" s="185">
        <f t="shared" ca="1" si="216"/>
        <v>25</v>
      </c>
      <c r="BU243" s="185">
        <f t="shared" ca="1" si="216"/>
        <v>25</v>
      </c>
      <c r="BV243" s="185">
        <f t="shared" ca="1" si="216"/>
        <v>0</v>
      </c>
      <c r="BW243" s="185"/>
      <c r="BX243" s="185"/>
      <c r="BY243" s="185" t="str">
        <f t="shared" ca="1" si="211"/>
        <v>Qlosr Göteborg AB</v>
      </c>
      <c r="BZ243" s="185" t="str">
        <f t="shared" ca="1" si="211"/>
        <v>Lenovo</v>
      </c>
      <c r="CA243" s="63"/>
      <c r="CB243" s="63"/>
      <c r="CC243" s="63"/>
      <c r="CD243" s="63"/>
      <c r="CE243" s="63"/>
      <c r="CF243" s="63"/>
      <c r="CG243" s="63"/>
      <c r="CH243" s="63"/>
      <c r="CI243" s="63"/>
      <c r="CJ243" s="63"/>
      <c r="CK243" s="63"/>
      <c r="CL243" s="63"/>
      <c r="CM243" s="63"/>
      <c r="CN243" s="63"/>
    </row>
    <row r="244" spans="2:92" ht="30" customHeight="1" outlineLevel="1" x14ac:dyDescent="0.35">
      <c r="B244" s="69" t="s">
        <v>55</v>
      </c>
      <c r="C244" s="95" t="s">
        <v>371</v>
      </c>
      <c r="D244" s="70"/>
      <c r="F244" s="159" t="str">
        <f t="shared" si="217"/>
        <v/>
      </c>
      <c r="G244" s="160">
        <f t="shared" ca="1" si="218"/>
        <v>220</v>
      </c>
      <c r="H244" s="160">
        <f t="shared" ca="1" si="218"/>
        <v>108</v>
      </c>
      <c r="I244" s="160">
        <f t="shared" ca="1" si="218"/>
        <v>279</v>
      </c>
      <c r="J244" s="54"/>
      <c r="Q244" s="185">
        <f t="shared" si="192"/>
        <v>0</v>
      </c>
      <c r="R244" s="185">
        <f t="shared" si="193"/>
        <v>0</v>
      </c>
      <c r="S244" s="185">
        <f t="shared" si="194"/>
        <v>0</v>
      </c>
      <c r="T244" s="185">
        <f t="shared" si="195"/>
        <v>0</v>
      </c>
      <c r="U244" s="185">
        <f t="shared" si="196"/>
        <v>0</v>
      </c>
      <c r="V244" s="185">
        <f t="shared" si="197"/>
        <v>0</v>
      </c>
      <c r="W244" s="185">
        <f t="shared" si="198"/>
        <v>0</v>
      </c>
      <c r="X244" s="185">
        <f t="shared" si="199"/>
        <v>0</v>
      </c>
      <c r="Y244" s="185">
        <f t="shared" si="200"/>
        <v>0</v>
      </c>
      <c r="Z244" s="196">
        <f t="shared" ca="1" si="201"/>
        <v>3205</v>
      </c>
      <c r="AA244" s="185" t="str">
        <f t="shared" si="202"/>
        <v>Offererad produktnr. 08Qlosr Göteborg AB</v>
      </c>
      <c r="AB244" s="185" t="b">
        <f>IF(D228="",TRUE,IF(COUNTIF(Processor!$M$2:$M$3,D228)=0,IF(AN244=D228,TRUE,FALSE),IF(COUNTIF(AN244,INDEX(Processor!$N$2:$N$3,MATCH(Surfplattor!D228,Processor!$M$2:$M$3,0)))&gt;0,TRUE,FALSE)))</f>
        <v>1</v>
      </c>
      <c r="AC244" s="185" t="b">
        <f>IF($D$229="",TRUE,IF(COUNTIF(Processor!$I$2:$I$9,$D$229)&gt;0,AND(AO244&gt;INDEX(Processor!$J$2:$J$9,MATCH($D$229,Processor!$I$2:$I$9,0)),AO244&lt;INDEX(Processor!$K$2:$K$9,MATCH($D$229,Processor!$I$2:$I$9,0))),IF(AO244=$D$229,TRUE,FALSE)))</f>
        <v>1</v>
      </c>
      <c r="AD244" s="185" t="b">
        <f t="shared" si="203"/>
        <v>1</v>
      </c>
      <c r="AE244" s="185" t="b">
        <f t="shared" si="204"/>
        <v>1</v>
      </c>
      <c r="AF244" s="185" t="b">
        <f t="shared" si="205"/>
        <v>1</v>
      </c>
      <c r="AG244" s="185" t="b">
        <f t="shared" si="206"/>
        <v>1</v>
      </c>
      <c r="AH244" s="185" t="b">
        <f>IF($D$234="",TRUE,IF(INDEX(Processor!$C$14:$C$20,MATCH(LEFT(AT244,10)&amp;"",Processor!$A$14:$A$20,0))&gt;=INDEX(Processor!$C$14:$C$20,MATCH(LEFT($D$234,10)&amp;"",Processor!$A$14:$A$20,0)),TRUE,FALSE))</f>
        <v>1</v>
      </c>
      <c r="AI244" s="185" t="b">
        <f t="shared" si="207"/>
        <v>1</v>
      </c>
      <c r="AJ244" s="185"/>
      <c r="AK244" s="185"/>
      <c r="AL244" s="185" t="s">
        <v>559</v>
      </c>
      <c r="AM244" s="185">
        <v>1</v>
      </c>
      <c r="AN244" s="185" t="str">
        <f t="shared" ca="1" si="214"/>
        <v>iPadOS 15</v>
      </c>
      <c r="AO244" s="185">
        <f t="shared" ca="1" si="214"/>
        <v>10.199999999999999</v>
      </c>
      <c r="AP244" s="185" t="str">
        <f t="shared" ca="1" si="214"/>
        <v>2160x1620</v>
      </c>
      <c r="AQ244" s="185">
        <f t="shared" ca="1" si="214"/>
        <v>64</v>
      </c>
      <c r="AR244" s="185">
        <f t="shared" ca="1" si="214"/>
        <v>4.2</v>
      </c>
      <c r="AS244" s="185" t="str">
        <f t="shared" ca="1" si="214"/>
        <v>802.11a/b/g/n/ac</v>
      </c>
      <c r="AT244" s="185">
        <f t="shared" ca="1" si="214"/>
        <v>10</v>
      </c>
      <c r="AU244" s="185" t="str">
        <f t="shared" ca="1" si="214"/>
        <v>Ej miljömärkt</v>
      </c>
      <c r="AV244" s="185" t="str">
        <f t="shared" ca="1" si="214"/>
        <v>802.11a/b/g/n/ac</v>
      </c>
      <c r="AW244" s="185">
        <f t="shared" ca="1" si="214"/>
        <v>4.2</v>
      </c>
      <c r="AX244" s="185">
        <f t="shared" ca="1" si="215"/>
        <v>10</v>
      </c>
      <c r="AY244" s="185" t="str">
        <f t="shared" ca="1" si="215"/>
        <v>iPad 9th gen (2021)</v>
      </c>
      <c r="AZ244" s="185">
        <f t="shared" ca="1" si="215"/>
        <v>0</v>
      </c>
      <c r="BA244" s="185" t="str">
        <f t="shared" ca="1" si="215"/>
        <v>iPadOS 15</v>
      </c>
      <c r="BB244" s="185">
        <f t="shared" ca="1" si="215"/>
        <v>3205</v>
      </c>
      <c r="BC244" s="185">
        <f t="shared" ca="1" si="215"/>
        <v>3205</v>
      </c>
      <c r="BD244" s="192" t="str">
        <f t="shared" ca="1" si="215"/>
        <v>Otterbox Defender Series</v>
      </c>
      <c r="BE244" s="192" t="str">
        <f t="shared" ca="1" si="215"/>
        <v>ZAGG</v>
      </c>
      <c r="BF244" s="192" t="str">
        <f t="shared" ca="1" si="215"/>
        <v>Belkin</v>
      </c>
      <c r="BG244" s="192" t="str">
        <f t="shared" ca="1" si="215"/>
        <v>DELTACO</v>
      </c>
      <c r="BH244" s="192" t="str">
        <f t="shared" ca="1" si="216"/>
        <v>Apple</v>
      </c>
      <c r="BI244" s="192" t="str">
        <f t="shared" ca="1" si="216"/>
        <v>GBX77-62032</v>
      </c>
      <c r="BJ244" s="192" t="str">
        <f t="shared" ca="1" si="216"/>
        <v>gbx200106077</v>
      </c>
      <c r="BK244" s="192" t="str">
        <f t="shared" ca="1" si="216"/>
        <v>GBXWCA003VF04WH</v>
      </c>
      <c r="BL244" s="192" t="str">
        <f t="shared" ca="1" si="216"/>
        <v>GBX TB-631</v>
      </c>
      <c r="BM244" s="192" t="str">
        <f t="shared" ca="1" si="216"/>
        <v>MK0C2ZM/A</v>
      </c>
      <c r="BN244" s="192">
        <f t="shared" ca="1" si="216"/>
        <v>460</v>
      </c>
      <c r="BO244" s="185">
        <f t="shared" ca="1" si="216"/>
        <v>189</v>
      </c>
      <c r="BP244" s="192">
        <f t="shared" ca="1" si="216"/>
        <v>279</v>
      </c>
      <c r="BQ244" s="192">
        <f t="shared" ca="1" si="216"/>
        <v>150</v>
      </c>
      <c r="BR244" s="192">
        <f t="shared" ca="1" si="216"/>
        <v>839</v>
      </c>
      <c r="BS244" s="185">
        <f t="shared" ca="1" si="216"/>
        <v>514</v>
      </c>
      <c r="BT244" s="185">
        <f t="shared" ca="1" si="216"/>
        <v>25</v>
      </c>
      <c r="BU244" s="185">
        <f t="shared" ca="1" si="216"/>
        <v>25</v>
      </c>
      <c r="BV244" s="185">
        <f t="shared" ca="1" si="216"/>
        <v>0</v>
      </c>
      <c r="BW244" s="185"/>
      <c r="BX244" s="185"/>
      <c r="BY244" s="185" t="str">
        <f t="shared" ca="1" si="211"/>
        <v>Qlosr Göteborg AB</v>
      </c>
      <c r="BZ244" s="185" t="str">
        <f t="shared" ca="1" si="211"/>
        <v>Apple</v>
      </c>
      <c r="CA244" s="63"/>
      <c r="CB244" s="63"/>
      <c r="CC244" s="63"/>
      <c r="CD244" s="63"/>
      <c r="CE244" s="63"/>
      <c r="CF244" s="63"/>
      <c r="CG244" s="63"/>
      <c r="CH244" s="63"/>
      <c r="CI244" s="63"/>
      <c r="CJ244" s="63"/>
      <c r="CK244" s="63"/>
      <c r="CL244" s="63"/>
      <c r="CM244" s="63"/>
      <c r="CN244" s="63"/>
    </row>
    <row r="245" spans="2:92" ht="30" customHeight="1" outlineLevel="1" x14ac:dyDescent="0.35">
      <c r="B245" s="69" t="s">
        <v>342</v>
      </c>
      <c r="C245" s="96" t="s">
        <v>51</v>
      </c>
      <c r="D245" s="131" t="str">
        <f>IF("Ska Ingå"=D244,"Ska Ingå","")</f>
        <v/>
      </c>
      <c r="F245" s="84" t="str">
        <f t="shared" si="217"/>
        <v/>
      </c>
      <c r="G245" s="85" t="str">
        <f t="shared" ca="1" si="218"/>
        <v>Lenovo</v>
      </c>
      <c r="H245" s="85" t="str">
        <f t="shared" ca="1" si="218"/>
        <v>CoreParts</v>
      </c>
      <c r="I245" s="85" t="str">
        <f t="shared" ca="1" si="218"/>
        <v>Belkin</v>
      </c>
      <c r="J245" s="73"/>
      <c r="Q245" s="185">
        <f t="shared" si="192"/>
        <v>0</v>
      </c>
      <c r="R245" s="185">
        <f t="shared" si="193"/>
        <v>0</v>
      </c>
      <c r="S245" s="185">
        <f t="shared" si="194"/>
        <v>0</v>
      </c>
      <c r="T245" s="185">
        <f t="shared" si="195"/>
        <v>0</v>
      </c>
      <c r="U245" s="185">
        <f t="shared" si="196"/>
        <v>0</v>
      </c>
      <c r="V245" s="185">
        <f t="shared" si="197"/>
        <v>0</v>
      </c>
      <c r="W245" s="185">
        <f t="shared" si="198"/>
        <v>0</v>
      </c>
      <c r="X245" s="185">
        <f t="shared" si="199"/>
        <v>0</v>
      </c>
      <c r="Y245" s="185">
        <f t="shared" si="200"/>
        <v>0</v>
      </c>
      <c r="Z245" s="196">
        <f t="shared" ca="1" si="201"/>
        <v>7256</v>
      </c>
      <c r="AA245" s="185" t="str">
        <f t="shared" si="202"/>
        <v>Offererad produktnr. 09Qlosr Göteborg AB</v>
      </c>
      <c r="AB245" s="185" t="b">
        <f>IF(D228="",TRUE,IF(COUNTIF(Processor!$M$2:$M$3,D228)=0,IF(AN245=D228,TRUE,FALSE),IF(COUNTIF(AN245,INDEX(Processor!$N$2:$N$3,MATCH(Surfplattor!D228,Processor!$M$2:$M$3,0)))&gt;0,TRUE,FALSE)))</f>
        <v>1</v>
      </c>
      <c r="AC245" s="185" t="b">
        <f>IF($D$229="",TRUE,IF(COUNTIF(Processor!$I$2:$I$9,$D$229)&gt;0,AND(AO245&gt;INDEX(Processor!$J$2:$J$9,MATCH($D$229,Processor!$I$2:$I$9,0)),AO245&lt;INDEX(Processor!$K$2:$K$9,MATCH($D$229,Processor!$I$2:$I$9,0))),IF(AO245=$D$229,TRUE,FALSE)))</f>
        <v>1</v>
      </c>
      <c r="AD245" s="185" t="b">
        <f t="shared" si="203"/>
        <v>1</v>
      </c>
      <c r="AE245" s="185" t="b">
        <f t="shared" si="204"/>
        <v>1</v>
      </c>
      <c r="AF245" s="185" t="b">
        <f t="shared" si="205"/>
        <v>1</v>
      </c>
      <c r="AG245" s="185" t="b">
        <f t="shared" si="206"/>
        <v>1</v>
      </c>
      <c r="AH245" s="185" t="b">
        <f>IF($D$234="",TRUE,IF(INDEX(Processor!$C$14:$C$20,MATCH(LEFT(AT245,10)&amp;"",Processor!$A$14:$A$20,0))&gt;=INDEX(Processor!$C$14:$C$20,MATCH(LEFT($D$234,10)&amp;"",Processor!$A$14:$A$20,0)),TRUE,FALSE))</f>
        <v>1</v>
      </c>
      <c r="AI245" s="185" t="b">
        <f t="shared" si="207"/>
        <v>1</v>
      </c>
      <c r="AJ245" s="185"/>
      <c r="AK245" s="185"/>
      <c r="AL245" s="185" t="s">
        <v>560</v>
      </c>
      <c r="AM245" s="185">
        <v>1</v>
      </c>
      <c r="AN245" s="185" t="str">
        <f t="shared" ca="1" si="214"/>
        <v>iPadOS 14</v>
      </c>
      <c r="AO245" s="185">
        <f t="shared" ca="1" si="214"/>
        <v>11</v>
      </c>
      <c r="AP245" s="185" t="str">
        <f t="shared" ca="1" si="214"/>
        <v>2388x1668</v>
      </c>
      <c r="AQ245" s="185">
        <f t="shared" ca="1" si="214"/>
        <v>128</v>
      </c>
      <c r="AR245" s="185">
        <f t="shared" ca="1" si="214"/>
        <v>5</v>
      </c>
      <c r="AS245" s="185" t="str">
        <f t="shared" ca="1" si="214"/>
        <v>802.11a/b/g/n/ac/ax</v>
      </c>
      <c r="AT245" s="185">
        <f t="shared" ca="1" si="214"/>
        <v>10</v>
      </c>
      <c r="AU245" s="185" t="str">
        <f t="shared" ca="1" si="214"/>
        <v>Ej miljömärkt</v>
      </c>
      <c r="AV245" s="185" t="str">
        <f t="shared" ca="1" si="214"/>
        <v>802.11a/b/g/n/ac/ax</v>
      </c>
      <c r="AW245" s="185">
        <f t="shared" ca="1" si="214"/>
        <v>5</v>
      </c>
      <c r="AX245" s="185">
        <f t="shared" ca="1" si="215"/>
        <v>10</v>
      </c>
      <c r="AY245" s="185" t="str">
        <f t="shared" ca="1" si="215"/>
        <v>Ipad Pro 11 tum</v>
      </c>
      <c r="AZ245" s="185">
        <f t="shared" ca="1" si="215"/>
        <v>0</v>
      </c>
      <c r="BA245" s="185" t="str">
        <f t="shared" ca="1" si="215"/>
        <v>iPadOS 14</v>
      </c>
      <c r="BB245" s="185">
        <f t="shared" ca="1" si="215"/>
        <v>7256</v>
      </c>
      <c r="BC245" s="185">
        <f t="shared" ca="1" si="215"/>
        <v>7256</v>
      </c>
      <c r="BD245" s="192" t="str">
        <f t="shared" ca="1" si="215"/>
        <v>Otterbox Defender Series</v>
      </c>
      <c r="BE245" s="192" t="str">
        <f t="shared" ca="1" si="215"/>
        <v>ZAGG</v>
      </c>
      <c r="BF245" s="192" t="str">
        <f t="shared" ca="1" si="215"/>
        <v>Belkin</v>
      </c>
      <c r="BG245" s="192" t="str">
        <f t="shared" ca="1" si="215"/>
        <v>DELTACO</v>
      </c>
      <c r="BH245" s="192" t="str">
        <f t="shared" ca="1" si="216"/>
        <v>Apple</v>
      </c>
      <c r="BI245" s="192" t="str">
        <f t="shared" ca="1" si="216"/>
        <v>GBX77-82261</v>
      </c>
      <c r="BJ245" s="192" t="str">
        <f t="shared" ca="1" si="216"/>
        <v>GBX200108138</v>
      </c>
      <c r="BK245" s="192" t="str">
        <f t="shared" ca="1" si="216"/>
        <v>GBXF7U074vf04-SLV</v>
      </c>
      <c r="BL245" s="192" t="str">
        <f t="shared" ca="1" si="216"/>
        <v>GBX TB-631</v>
      </c>
      <c r="BM245" s="192" t="str">
        <f t="shared" ca="1" si="216"/>
        <v>MU8F2ZM/A</v>
      </c>
      <c r="BN245" s="192">
        <f t="shared" ca="1" si="216"/>
        <v>435</v>
      </c>
      <c r="BO245" s="185">
        <f t="shared" ca="1" si="216"/>
        <v>179</v>
      </c>
      <c r="BP245" s="192">
        <f t="shared" ca="1" si="216"/>
        <v>355</v>
      </c>
      <c r="BQ245" s="192">
        <f t="shared" ca="1" si="216"/>
        <v>150</v>
      </c>
      <c r="BR245" s="192">
        <f t="shared" ca="1" si="216"/>
        <v>1145</v>
      </c>
      <c r="BS245" s="185">
        <f t="shared" ca="1" si="216"/>
        <v>724</v>
      </c>
      <c r="BT245" s="185">
        <f t="shared" ca="1" si="216"/>
        <v>25</v>
      </c>
      <c r="BU245" s="185">
        <f t="shared" ca="1" si="216"/>
        <v>25</v>
      </c>
      <c r="BV245" s="185">
        <f t="shared" ca="1" si="216"/>
        <v>0</v>
      </c>
      <c r="BW245" s="185"/>
      <c r="BX245" s="185"/>
      <c r="BY245" s="185" t="str">
        <f t="shared" ca="1" si="211"/>
        <v>Qlosr Göteborg AB</v>
      </c>
      <c r="BZ245" s="185" t="str">
        <f t="shared" ca="1" si="211"/>
        <v>Apple</v>
      </c>
      <c r="CA245" s="63"/>
      <c r="CB245" s="63"/>
      <c r="CC245" s="63"/>
      <c r="CD245" s="63"/>
      <c r="CE245" s="63"/>
      <c r="CF245" s="63"/>
      <c r="CG245" s="63"/>
      <c r="CH245" s="63"/>
      <c r="CI245" s="63"/>
      <c r="CJ245" s="63"/>
      <c r="CK245" s="63"/>
      <c r="CL245" s="63"/>
      <c r="CM245" s="63"/>
      <c r="CN245" s="63"/>
    </row>
    <row r="246" spans="2:92" ht="67.5" customHeight="1" outlineLevel="1" x14ac:dyDescent="0.35">
      <c r="B246" s="69" t="s">
        <v>347</v>
      </c>
      <c r="C246" s="97" t="s">
        <v>52</v>
      </c>
      <c r="D246" s="132" t="str">
        <f>IF("Ska Ingå"=D244,"Ska Ingå","")</f>
        <v/>
      </c>
      <c r="F246" s="86" t="str">
        <f t="shared" si="217"/>
        <v/>
      </c>
      <c r="G246" s="87" t="str">
        <f t="shared" ca="1" si="218"/>
        <v>GBXLENCHARGE</v>
      </c>
      <c r="H246" s="87" t="str">
        <f t="shared" ca="1" si="218"/>
        <v>MBXUSB-AC0011 - Strömadapter - 12 Watt - 2.4 A (USB) - på kabel: USB-C - vit - med USB-C cable (2m)</v>
      </c>
      <c r="I246" s="87" t="str">
        <f t="shared" ca="1" si="218"/>
        <v>GBXWCA003VF04WH</v>
      </c>
      <c r="J246" s="54"/>
      <c r="Q246" s="185">
        <f t="shared" si="192"/>
        <v>0</v>
      </c>
      <c r="R246" s="185">
        <f t="shared" si="193"/>
        <v>0</v>
      </c>
      <c r="S246" s="185">
        <f t="shared" si="194"/>
        <v>0</v>
      </c>
      <c r="T246" s="185">
        <f t="shared" si="195"/>
        <v>0</v>
      </c>
      <c r="U246" s="185">
        <f t="shared" si="196"/>
        <v>0</v>
      </c>
      <c r="V246" s="185">
        <f t="shared" si="197"/>
        <v>0</v>
      </c>
      <c r="W246" s="185">
        <f t="shared" si="198"/>
        <v>0</v>
      </c>
      <c r="X246" s="185">
        <f t="shared" si="199"/>
        <v>0</v>
      </c>
      <c r="Y246" s="185">
        <f t="shared" si="200"/>
        <v>0</v>
      </c>
      <c r="Z246" s="196">
        <f t="shared" ca="1" si="201"/>
        <v>4710</v>
      </c>
      <c r="AA246" s="185" t="str">
        <f t="shared" si="202"/>
        <v>Offererad produktnr. 10Qlosr Göteborg AB</v>
      </c>
      <c r="AB246" s="185" t="b">
        <f>IF(D228="",TRUE,IF(COUNTIF(Processor!$M$2:$M$3,D228)=0,IF(AN246=D228,TRUE,FALSE),IF(COUNTIF(AN246,INDEX(Processor!$N$2:$N$3,MATCH(Surfplattor!D228,Processor!$M$2:$M$3,0)))&gt;0,TRUE,FALSE)))</f>
        <v>1</v>
      </c>
      <c r="AC246" s="185" t="b">
        <f>IF($D$229="",TRUE,IF(COUNTIF(Processor!$I$2:$I$9,$D$229)&gt;0,AND(AO246&gt;INDEX(Processor!$J$2:$J$9,MATCH($D$229,Processor!$I$2:$I$9,0)),AO246&lt;INDEX(Processor!$K$2:$K$9,MATCH($D$229,Processor!$I$2:$I$9,0))),IF(AO246=$D$229,TRUE,FALSE)))</f>
        <v>1</v>
      </c>
      <c r="AD246" s="185" t="b">
        <f t="shared" si="203"/>
        <v>1</v>
      </c>
      <c r="AE246" s="185" t="b">
        <f t="shared" si="204"/>
        <v>1</v>
      </c>
      <c r="AF246" s="185" t="b">
        <f t="shared" si="205"/>
        <v>1</v>
      </c>
      <c r="AG246" s="185" t="b">
        <f t="shared" si="206"/>
        <v>1</v>
      </c>
      <c r="AH246" s="185" t="b">
        <f>IF($D$234="",TRUE,IF(INDEX(Processor!$C$14:$C$20,MATCH(LEFT(AT246,10)&amp;"",Processor!$A$14:$A$20,0))&gt;=INDEX(Processor!$C$14:$C$20,MATCH(LEFT($D$234,10)&amp;"",Processor!$A$14:$A$20,0)),TRUE,FALSE))</f>
        <v>1</v>
      </c>
      <c r="AI246" s="185" t="b">
        <f t="shared" si="207"/>
        <v>1</v>
      </c>
      <c r="AJ246" s="185"/>
      <c r="AK246" s="185"/>
      <c r="AL246" s="185" t="s">
        <v>561</v>
      </c>
      <c r="AM246" s="185">
        <v>1</v>
      </c>
      <c r="AN246" s="185" t="str">
        <f t="shared" ca="1" si="214"/>
        <v>Android 10</v>
      </c>
      <c r="AO246" s="185">
        <f t="shared" ca="1" si="214"/>
        <v>11.5</v>
      </c>
      <c r="AP246" s="185" t="str">
        <f t="shared" ca="1" si="214"/>
        <v>2560x1600</v>
      </c>
      <c r="AQ246" s="185">
        <f t="shared" ca="1" si="214"/>
        <v>128</v>
      </c>
      <c r="AR246" s="185">
        <f t="shared" ca="1" si="214"/>
        <v>5</v>
      </c>
      <c r="AS246" s="185" t="str">
        <f t="shared" ca="1" si="214"/>
        <v>802.11a/b/g/n/ac</v>
      </c>
      <c r="AT246" s="185">
        <f t="shared" ca="1" si="214"/>
        <v>8</v>
      </c>
      <c r="AU246" s="185" t="str">
        <f t="shared" ca="1" si="214"/>
        <v>Ej miljömärkt</v>
      </c>
      <c r="AV246" s="185" t="str">
        <f t="shared" ca="1" si="214"/>
        <v>802.11a/b/g/n/ac</v>
      </c>
      <c r="AW246" s="185">
        <f t="shared" ca="1" si="214"/>
        <v>5</v>
      </c>
      <c r="AX246" s="185">
        <f t="shared" ca="1" si="215"/>
        <v>8</v>
      </c>
      <c r="AY246" s="185" t="str">
        <f t="shared" ca="1" si="215"/>
        <v>Lenovo Tab P11 Pro ZA7C 128GB</v>
      </c>
      <c r="AZ246" s="185">
        <f t="shared" ca="1" si="215"/>
        <v>0</v>
      </c>
      <c r="BA246" s="185" t="str">
        <f t="shared" ca="1" si="215"/>
        <v>Android 10</v>
      </c>
      <c r="BB246" s="185">
        <f t="shared" ca="1" si="215"/>
        <v>4710</v>
      </c>
      <c r="BC246" s="185">
        <f t="shared" ca="1" si="215"/>
        <v>4710</v>
      </c>
      <c r="BD246" s="192" t="str">
        <f t="shared" ca="1" si="215"/>
        <v>Phonelife</v>
      </c>
      <c r="BE246" s="192" t="str">
        <f t="shared" ca="1" si="215"/>
        <v>Lenovo</v>
      </c>
      <c r="BF246" s="192" t="str">
        <f t="shared" ca="1" si="215"/>
        <v>Lenovo</v>
      </c>
      <c r="BG246" s="192" t="str">
        <f t="shared" ca="1" si="215"/>
        <v>DELTACO</v>
      </c>
      <c r="BH246" s="192" t="str">
        <f t="shared" ca="1" si="216"/>
        <v>Kecow</v>
      </c>
      <c r="BI246" s="192" t="str">
        <f t="shared" ca="1" si="216"/>
        <v>GBXRUGGEDLENTAB-V2</v>
      </c>
      <c r="BJ246" s="192" t="str">
        <f t="shared" ca="1" si="216"/>
        <v>GBXLENFILM</v>
      </c>
      <c r="BK246" s="192" t="str">
        <f t="shared" ca="1" si="216"/>
        <v>GBXLENCHARGE</v>
      </c>
      <c r="BL246" s="192" t="str">
        <f t="shared" ca="1" si="216"/>
        <v>GBX TB-631</v>
      </c>
      <c r="BM246" s="192" t="str">
        <f t="shared" ca="1" si="216"/>
        <v>GBXPP2PENMAGNETIC</v>
      </c>
      <c r="BN246" s="192">
        <f t="shared" ca="1" si="216"/>
        <v>330</v>
      </c>
      <c r="BO246" s="185">
        <f t="shared" ca="1" si="216"/>
        <v>180</v>
      </c>
      <c r="BP246" s="192">
        <f t="shared" ca="1" si="216"/>
        <v>220</v>
      </c>
      <c r="BQ246" s="192">
        <f t="shared" ca="1" si="216"/>
        <v>150</v>
      </c>
      <c r="BR246" s="192">
        <f t="shared" ca="1" si="216"/>
        <v>399</v>
      </c>
      <c r="BS246" s="185">
        <f t="shared" ca="1" si="216"/>
        <v>560</v>
      </c>
      <c r="BT246" s="185">
        <f t="shared" ca="1" si="216"/>
        <v>25</v>
      </c>
      <c r="BU246" s="185">
        <f t="shared" ca="1" si="216"/>
        <v>25</v>
      </c>
      <c r="BV246" s="185">
        <f t="shared" ca="1" si="216"/>
        <v>0</v>
      </c>
      <c r="BW246" s="185"/>
      <c r="BX246" s="185"/>
      <c r="BY246" s="185" t="str">
        <f t="shared" ca="1" si="211"/>
        <v>Qlosr Göteborg AB</v>
      </c>
      <c r="BZ246" s="185" t="str">
        <f t="shared" ca="1" si="211"/>
        <v>Lenovo</v>
      </c>
      <c r="CA246" s="63"/>
      <c r="CB246" s="63"/>
      <c r="CC246" s="63"/>
      <c r="CD246" s="63"/>
      <c r="CE246" s="63"/>
      <c r="CF246" s="63"/>
      <c r="CG246" s="63"/>
      <c r="CH246" s="63"/>
      <c r="CI246" s="63"/>
      <c r="CJ246" s="63"/>
      <c r="CK246" s="63"/>
      <c r="CL246" s="63"/>
      <c r="CM246" s="63"/>
      <c r="CN246" s="63"/>
    </row>
    <row r="247" spans="2:92" ht="30" customHeight="1" outlineLevel="1" x14ac:dyDescent="0.35">
      <c r="B247" s="69" t="s">
        <v>59</v>
      </c>
      <c r="C247" s="98" t="s">
        <v>374</v>
      </c>
      <c r="D247" s="70"/>
      <c r="F247" s="157" t="str">
        <f t="shared" si="217"/>
        <v/>
      </c>
      <c r="G247" s="158">
        <f t="shared" ca="1" si="218"/>
        <v>150</v>
      </c>
      <c r="H247" s="158">
        <f t="shared" ca="1" si="218"/>
        <v>169</v>
      </c>
      <c r="I247" s="158">
        <f t="shared" ca="1" si="218"/>
        <v>150</v>
      </c>
      <c r="J247" s="73"/>
      <c r="BD247" s="63"/>
      <c r="BE247" s="63"/>
      <c r="BF247" s="63"/>
      <c r="BG247" s="63"/>
      <c r="BH247" s="63"/>
      <c r="BI247" s="63"/>
      <c r="BJ247" s="63"/>
      <c r="BK247" s="63"/>
      <c r="BL247" s="63"/>
      <c r="BM247" s="63"/>
      <c r="BN247" s="63"/>
      <c r="BP247" s="63"/>
      <c r="BQ247" s="63"/>
      <c r="BR247" s="63"/>
    </row>
    <row r="248" spans="2:92" ht="30" customHeight="1" outlineLevel="1" x14ac:dyDescent="0.35">
      <c r="B248" s="69" t="s">
        <v>343</v>
      </c>
      <c r="C248" s="61" t="s">
        <v>51</v>
      </c>
      <c r="D248" s="131" t="str">
        <f>IF("Ska Ingå"=D247,"Ska Ingå","")</f>
        <v/>
      </c>
      <c r="F248" s="88" t="str">
        <f t="shared" si="217"/>
        <v/>
      </c>
      <c r="G248" s="89" t="str">
        <f t="shared" ca="1" si="218"/>
        <v>DELTACO</v>
      </c>
      <c r="H248" s="89" t="str">
        <f t="shared" ca="1" si="218"/>
        <v>DELTACO</v>
      </c>
      <c r="I248" s="89" t="str">
        <f t="shared" ca="1" si="218"/>
        <v>DELTACO</v>
      </c>
      <c r="J248" s="54"/>
      <c r="BD248" s="63"/>
      <c r="BE248" s="63"/>
      <c r="BF248" s="63"/>
      <c r="BG248" s="63"/>
      <c r="BH248" s="63"/>
      <c r="BI248" s="63"/>
      <c r="BJ248" s="63"/>
      <c r="BK248" s="63"/>
      <c r="BL248" s="63"/>
      <c r="BM248" s="63"/>
      <c r="BN248" s="63"/>
      <c r="BP248" s="63"/>
      <c r="BQ248" s="63"/>
      <c r="BR248" s="63"/>
    </row>
    <row r="249" spans="2:92" ht="45" customHeight="1" outlineLevel="1" x14ac:dyDescent="0.35">
      <c r="B249" s="69" t="s">
        <v>348</v>
      </c>
      <c r="C249" s="99" t="s">
        <v>52</v>
      </c>
      <c r="D249" s="132" t="str">
        <f>IF("Ska Ingå"=D247,"Ska Ingå","")</f>
        <v/>
      </c>
      <c r="F249" s="90" t="str">
        <f t="shared" si="217"/>
        <v/>
      </c>
      <c r="G249" s="91" t="str">
        <f t="shared" ca="1" si="218"/>
        <v>GBX TB-631</v>
      </c>
      <c r="H249" s="91" t="str">
        <f t="shared" ca="1" si="218"/>
        <v>TB-631</v>
      </c>
      <c r="I249" s="91" t="str">
        <f t="shared" ca="1" si="218"/>
        <v>GBX TB-631</v>
      </c>
      <c r="BD249" s="63"/>
      <c r="BE249" s="63"/>
      <c r="BF249" s="63"/>
      <c r="BG249" s="63"/>
      <c r="BH249" s="63"/>
      <c r="BI249" s="63"/>
      <c r="BJ249" s="63"/>
      <c r="BK249" s="63"/>
      <c r="BL249" s="63"/>
      <c r="BM249" s="63"/>
      <c r="BN249" s="63"/>
      <c r="BP249" s="63"/>
      <c r="BQ249" s="63"/>
      <c r="BR249" s="63"/>
    </row>
    <row r="250" spans="2:92" ht="30" customHeight="1" outlineLevel="1" x14ac:dyDescent="0.35">
      <c r="B250" s="69" t="s">
        <v>227</v>
      </c>
      <c r="C250" s="95" t="s">
        <v>375</v>
      </c>
      <c r="D250" s="70"/>
      <c r="F250" s="159" t="str">
        <f t="shared" si="217"/>
        <v/>
      </c>
      <c r="G250" s="160">
        <f t="shared" ca="1" si="218"/>
        <v>399</v>
      </c>
      <c r="H250" s="160">
        <f t="shared" ca="1" si="218"/>
        <v>595</v>
      </c>
      <c r="I250" s="160">
        <f t="shared" ca="1" si="218"/>
        <v>839</v>
      </c>
      <c r="BD250" s="63"/>
      <c r="BE250" s="63"/>
      <c r="BF250" s="63"/>
      <c r="BG250" s="63"/>
      <c r="BH250" s="63"/>
      <c r="BI250" s="63"/>
      <c r="BJ250" s="63"/>
      <c r="BK250" s="63"/>
      <c r="BL250" s="63"/>
      <c r="BM250" s="63"/>
      <c r="BN250" s="63"/>
      <c r="BP250" s="63"/>
      <c r="BQ250" s="63"/>
      <c r="BR250" s="63"/>
    </row>
    <row r="251" spans="2:92" ht="30" customHeight="1" outlineLevel="1" x14ac:dyDescent="0.35">
      <c r="B251" s="69" t="s">
        <v>344</v>
      </c>
      <c r="C251" s="96" t="s">
        <v>51</v>
      </c>
      <c r="D251" s="131" t="str">
        <f>IF("Ska Ingå"=D250,"Ska Ingå","")</f>
        <v/>
      </c>
      <c r="F251" s="84" t="str">
        <f t="shared" si="217"/>
        <v/>
      </c>
      <c r="G251" s="85" t="str">
        <f t="shared" ca="1" si="218"/>
        <v>Kecow</v>
      </c>
      <c r="H251" s="85" t="str">
        <f t="shared" ca="1" si="218"/>
        <v xml:space="preserve">ZAGG </v>
      </c>
      <c r="I251" s="85" t="str">
        <f t="shared" ca="1" si="218"/>
        <v>Apple</v>
      </c>
      <c r="BD251" s="63"/>
      <c r="BE251" s="63"/>
      <c r="BF251" s="63"/>
      <c r="BG251" s="63"/>
      <c r="BH251" s="63"/>
      <c r="BI251" s="63"/>
      <c r="BJ251" s="63"/>
      <c r="BK251" s="63"/>
      <c r="BL251" s="63"/>
      <c r="BM251" s="63"/>
      <c r="BN251" s="63"/>
      <c r="BP251" s="63"/>
      <c r="BQ251" s="63"/>
      <c r="BR251" s="63"/>
    </row>
    <row r="252" spans="2:92" ht="67.5" customHeight="1" outlineLevel="1" x14ac:dyDescent="0.35">
      <c r="B252" s="69" t="s">
        <v>349</v>
      </c>
      <c r="C252" s="116" t="s">
        <v>52</v>
      </c>
      <c r="D252" s="132" t="str">
        <f>IF("Ska Ingå"=D250,"Ska Ingå","")</f>
        <v/>
      </c>
      <c r="F252" s="117" t="str">
        <f t="shared" si="217"/>
        <v/>
      </c>
      <c r="G252" s="118" t="str">
        <f t="shared" ca="1" si="218"/>
        <v>GBXPP2PENMAGNETIC</v>
      </c>
      <c r="H252" s="118" t="str">
        <f t="shared" ca="1" si="218"/>
        <v>109912139 - Pro Stylus 2 - Aktiv penna - grå</v>
      </c>
      <c r="I252" s="118" t="str">
        <f t="shared" ca="1" si="218"/>
        <v>MK0C2ZM/A</v>
      </c>
      <c r="BD252" s="63"/>
      <c r="BE252" s="63"/>
      <c r="BF252" s="63"/>
      <c r="BG252" s="63"/>
      <c r="BH252" s="63"/>
      <c r="BI252" s="63"/>
      <c r="BJ252" s="63"/>
      <c r="BK252" s="63"/>
      <c r="BL252" s="63"/>
      <c r="BM252" s="63"/>
      <c r="BN252" s="63"/>
      <c r="BP252" s="63"/>
      <c r="BQ252" s="63"/>
      <c r="BR252" s="63"/>
    </row>
    <row r="253" spans="2:92" ht="22.5" customHeight="1" outlineLevel="1" x14ac:dyDescent="0.35">
      <c r="B253" s="69"/>
      <c r="C253" s="212" t="s">
        <v>365</v>
      </c>
      <c r="D253" s="215"/>
      <c r="E253" s="213"/>
      <c r="F253" s="213"/>
      <c r="G253" s="213"/>
      <c r="H253" s="213"/>
      <c r="I253" s="214"/>
    </row>
    <row r="254" spans="2:92" ht="22.5" customHeight="1" outlineLevel="1" x14ac:dyDescent="0.35">
      <c r="B254" s="71" t="s">
        <v>228</v>
      </c>
      <c r="C254" s="115" t="s">
        <v>367</v>
      </c>
      <c r="D254" s="70"/>
      <c r="F254" s="161" t="str">
        <f>IF(F$225="Inget antal angivet","",IFERROR(INDEX($AN$226:$BZ$252,MATCH(F$222,$AL$226:$AL$252,0),MATCH($B254,$AN$226:$BZ$226,0)),""))</f>
        <v/>
      </c>
      <c r="G254" s="162">
        <f t="shared" ref="G254:I256" ca="1" si="219">IFERROR(INDEX($AN$226:$BZ$252,MATCH(G$222,$AL$226:$AL$252,0),MATCH($B254,$AN$226:$BZ$226,0)),"")</f>
        <v>570</v>
      </c>
      <c r="H254" s="162">
        <f t="shared" ca="1" si="219"/>
        <v>781</v>
      </c>
      <c r="I254" s="162">
        <f t="shared" ca="1" si="219"/>
        <v>514</v>
      </c>
    </row>
    <row r="255" spans="2:92" ht="22.5" customHeight="1" outlineLevel="1" x14ac:dyDescent="0.35">
      <c r="B255" s="71" t="s">
        <v>229</v>
      </c>
      <c r="C255" s="61" t="s">
        <v>369</v>
      </c>
      <c r="D255" s="70"/>
      <c r="F255" s="165" t="str">
        <f>IF(F$225="Inget antal angivet","",IFERROR(INDEX($AN$226:$BZ$252,MATCH(F$222,$AL$226:$AL$252,0),MATCH($B255,$AN$226:$BZ$226,0)),""))</f>
        <v/>
      </c>
      <c r="G255" s="166">
        <f t="shared" ca="1" si="219"/>
        <v>25</v>
      </c>
      <c r="H255" s="166">
        <f t="shared" ca="1" si="219"/>
        <v>50</v>
      </c>
      <c r="I255" s="166">
        <f t="shared" ca="1" si="219"/>
        <v>25</v>
      </c>
    </row>
    <row r="256" spans="2:92" ht="22.5" customHeight="1" outlineLevel="1" x14ac:dyDescent="0.35">
      <c r="B256" s="71" t="s">
        <v>230</v>
      </c>
      <c r="C256" s="96" t="s">
        <v>370</v>
      </c>
      <c r="D256" s="70"/>
      <c r="F256" s="163" t="str">
        <f>IF(F$225="Inget antal angivet","",IFERROR(INDEX($AN$226:$BZ$252,MATCH(F$222,$AL$226:$AL$252,0),MATCH($B256,$AN$226:$BZ$226,0)),""))</f>
        <v/>
      </c>
      <c r="G256" s="164">
        <f t="shared" ca="1" si="219"/>
        <v>25</v>
      </c>
      <c r="H256" s="164">
        <f t="shared" ca="1" si="219"/>
        <v>50</v>
      </c>
      <c r="I256" s="164">
        <f t="shared" ca="1" si="219"/>
        <v>25</v>
      </c>
    </row>
    <row r="257" spans="2:92" ht="22.5" customHeight="1" outlineLevel="1" x14ac:dyDescent="0.35"/>
    <row r="258" spans="2:92" ht="22.5" customHeight="1" x14ac:dyDescent="0.35"/>
    <row r="259" spans="2:92" ht="22.5" customHeight="1" x14ac:dyDescent="0.35">
      <c r="D259" s="72" t="s">
        <v>233</v>
      </c>
      <c r="F259" s="221" t="s">
        <v>252</v>
      </c>
      <c r="G259" s="221"/>
      <c r="H259" s="221"/>
      <c r="I259" s="222"/>
    </row>
    <row r="260" spans="2:92" ht="22.5" customHeight="1" x14ac:dyDescent="0.35">
      <c r="D260" s="74"/>
      <c r="F260" s="202" t="str">
        <f ca="1">IFERROR(INDEX($Z$227:$Z$250,MATCH(F222,$AA$227:$AA$250,0))*D260,"")</f>
        <v/>
      </c>
      <c r="G260" s="202">
        <f ca="1">IFERROR(P227 *D260,"")</f>
        <v>0</v>
      </c>
      <c r="H260" s="202">
        <f ca="1">IFERROR(P228 *D260,"")</f>
        <v>0</v>
      </c>
      <c r="I260" s="202">
        <f ca="1">IFERROR(P229 * D260,"")</f>
        <v>0</v>
      </c>
    </row>
    <row r="262" spans="2:92" ht="15" thickBot="1" x14ac:dyDescent="0.4">
      <c r="C262" s="174"/>
      <c r="D262" s="174"/>
      <c r="E262" s="174"/>
      <c r="F262" s="174"/>
      <c r="G262" s="174"/>
      <c r="H262" s="174"/>
      <c r="I262" s="174"/>
    </row>
    <row r="263" spans="2:92" ht="15" thickTop="1" x14ac:dyDescent="0.35"/>
    <row r="265" spans="2:92" ht="71.25" customHeight="1" collapsed="1" x14ac:dyDescent="0.35">
      <c r="C265" s="53"/>
      <c r="D265" s="53"/>
      <c r="F265" s="50" t="e">
        <f ca="1">N269</f>
        <v>#N/A</v>
      </c>
      <c r="G265" s="50" t="str">
        <f ca="1">INDEX(AA270:AA295,MATCH(P270,Z270:Z295,0))</f>
        <v>Offererad produktnr. 07Qlosr Göteborg AB</v>
      </c>
      <c r="H265" s="50" t="str">
        <f ca="1">INDEX(AA269:AA294,MATCH(P271,Z269:Z294,0))</f>
        <v>Offererad produktnr. 07Advania Sverige AB</v>
      </c>
      <c r="I265" s="50" t="str">
        <f ca="1">INDEX(AA269:AA294,MATCH(P272,Z269:Z294,0))</f>
        <v>Offererad produktnr. 08Qlosr Göteborg AB</v>
      </c>
      <c r="AN265" s="12" t="s">
        <v>124</v>
      </c>
      <c r="AO265" s="12" t="s">
        <v>124</v>
      </c>
      <c r="AP265" s="12" t="s">
        <v>124</v>
      </c>
      <c r="AQ265" s="12" t="s">
        <v>124</v>
      </c>
      <c r="AR265" s="12" t="s">
        <v>124</v>
      </c>
      <c r="AS265" s="12" t="s">
        <v>124</v>
      </c>
      <c r="AT265" s="12" t="s">
        <v>124</v>
      </c>
      <c r="AU265" s="12" t="s">
        <v>124</v>
      </c>
      <c r="AV265" s="12" t="s">
        <v>124</v>
      </c>
      <c r="AW265" s="12" t="s">
        <v>124</v>
      </c>
      <c r="AX265" s="12" t="s">
        <v>124</v>
      </c>
      <c r="AY265" s="12" t="s">
        <v>124</v>
      </c>
      <c r="AZ265" s="12" t="s">
        <v>124</v>
      </c>
      <c r="BA265" s="12" t="s">
        <v>124</v>
      </c>
      <c r="BB265" s="12" t="s">
        <v>124</v>
      </c>
      <c r="BC265" s="12" t="s">
        <v>124</v>
      </c>
      <c r="BD265" s="12" t="s">
        <v>124</v>
      </c>
      <c r="BE265" s="12" t="s">
        <v>124</v>
      </c>
      <c r="BF265" s="12" t="s">
        <v>124</v>
      </c>
      <c r="BG265" s="12" t="s">
        <v>124</v>
      </c>
      <c r="BH265" s="12" t="s">
        <v>124</v>
      </c>
      <c r="BI265" s="12" t="s">
        <v>124</v>
      </c>
      <c r="BJ265" s="12" t="s">
        <v>124</v>
      </c>
      <c r="BK265" s="12" t="s">
        <v>124</v>
      </c>
      <c r="BL265" s="12" t="s">
        <v>124</v>
      </c>
      <c r="BM265" s="12" t="s">
        <v>124</v>
      </c>
      <c r="BN265" s="12" t="s">
        <v>124</v>
      </c>
      <c r="BO265" s="12" t="s">
        <v>124</v>
      </c>
      <c r="BP265" s="12" t="s">
        <v>124</v>
      </c>
      <c r="BQ265" s="12" t="s">
        <v>124</v>
      </c>
      <c r="BR265" s="12" t="s">
        <v>124</v>
      </c>
      <c r="BS265" s="12" t="s">
        <v>124</v>
      </c>
      <c r="BT265" s="12" t="s">
        <v>124</v>
      </c>
      <c r="BU265" s="12" t="s">
        <v>124</v>
      </c>
      <c r="BV265" s="12" t="s">
        <v>124</v>
      </c>
      <c r="BW265" s="12"/>
      <c r="BX265" s="12"/>
      <c r="BY265" s="12" t="s">
        <v>124</v>
      </c>
      <c r="BZ265" s="12" t="s">
        <v>124</v>
      </c>
      <c r="CA265" s="12"/>
      <c r="CB265" s="12"/>
      <c r="CC265" s="12"/>
      <c r="CD265" s="12"/>
      <c r="CE265" s="12"/>
      <c r="CF265" s="12"/>
      <c r="CG265" s="12"/>
      <c r="CH265" s="12"/>
      <c r="CI265" s="12"/>
      <c r="CJ265" s="12"/>
      <c r="CK265" s="12"/>
      <c r="CL265" s="12"/>
      <c r="CM265" s="12"/>
      <c r="CN265" s="12"/>
    </row>
    <row r="266" spans="2:92" ht="25.5" customHeight="1" thickBot="1" x14ac:dyDescent="0.4">
      <c r="C266" s="53"/>
      <c r="D266" s="53"/>
      <c r="F266" s="140" t="s">
        <v>446</v>
      </c>
      <c r="G266" s="205" t="s">
        <v>447</v>
      </c>
      <c r="H266" s="205"/>
      <c r="I266" s="205"/>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row>
    <row r="267" spans="2:92" ht="22.5" customHeight="1" thickBot="1" x14ac:dyDescent="0.4">
      <c r="B267" t="str">
        <f ca="1" xml:space="preserve"> "Produkt "  &amp; B268</f>
        <v>Produkt 7</v>
      </c>
      <c r="C267" s="206" t="str">
        <f>IF(F268="Ingen produkt motsvarar","Felmeddelande",IF(COUNTIF($P$1:$P$6,TRUE)&gt;0,"","Felmeddelande"))</f>
        <v/>
      </c>
      <c r="D267" s="207"/>
      <c r="F267" s="218" t="s">
        <v>271</v>
      </c>
      <c r="G267" s="218"/>
      <c r="H267" s="218"/>
      <c r="I267" s="219"/>
      <c r="O267">
        <v>1</v>
      </c>
      <c r="AN267" s="13" t="str">
        <f t="shared" ref="AN267:AX267" si="220">AN269</f>
        <v>Operativsystem</v>
      </c>
      <c r="AO267" s="13" t="str">
        <f t="shared" si="220"/>
        <v>Skärmstorlek (tum)</v>
      </c>
      <c r="AP267" s="13" t="str">
        <f t="shared" si="220"/>
        <v>Upplösning</v>
      </c>
      <c r="AQ267" s="13" t="str">
        <f t="shared" si="220"/>
        <v>Lagringsutrymme</v>
      </c>
      <c r="AR267" s="13" t="str">
        <f t="shared" si="220"/>
        <v>Kommunikation Bluetooth</v>
      </c>
      <c r="AS267" s="13" t="str">
        <f t="shared" si="220"/>
        <v>Kommunikation WLAN</v>
      </c>
      <c r="AT267" s="13" t="str">
        <f t="shared" si="220"/>
        <v>Batteritid (tim)</v>
      </c>
      <c r="AU267" s="13" t="str">
        <f t="shared" si="220"/>
        <v>Miljömärkning</v>
      </c>
      <c r="AV267" s="13" t="str">
        <f t="shared" si="220"/>
        <v>Kommunikation WLAN</v>
      </c>
      <c r="AW267" s="13" t="str">
        <f t="shared" si="220"/>
        <v>Kommunikation Bluetooth</v>
      </c>
      <c r="AX267" s="13" t="str">
        <f t="shared" si="220"/>
        <v>Batteritid (tim)</v>
      </c>
      <c r="AY267" s="13" t="s">
        <v>52</v>
      </c>
      <c r="AZ267" s="13" t="str">
        <f>AZ269</f>
        <v>Låsskydd</v>
      </c>
      <c r="BA267" s="13" t="str">
        <f>BA269</f>
        <v>Operativsystem</v>
      </c>
      <c r="BB267" s="13" t="str">
        <f>BB269</f>
        <v>Pris</v>
      </c>
      <c r="BC267" t="s">
        <v>224</v>
      </c>
      <c r="BD267" s="100" t="s">
        <v>340</v>
      </c>
      <c r="BE267" s="100" t="s">
        <v>341</v>
      </c>
      <c r="BF267" s="100" t="s">
        <v>342</v>
      </c>
      <c r="BG267" s="100" t="s">
        <v>343</v>
      </c>
      <c r="BH267" s="100" t="s">
        <v>344</v>
      </c>
      <c r="BI267" s="100" t="s">
        <v>345</v>
      </c>
      <c r="BJ267" s="100" t="s">
        <v>346</v>
      </c>
      <c r="BK267" s="100" t="s">
        <v>347</v>
      </c>
      <c r="BL267" s="100" t="s">
        <v>348</v>
      </c>
      <c r="BM267" s="100" t="s">
        <v>349</v>
      </c>
      <c r="BN267" s="56" t="s">
        <v>53</v>
      </c>
      <c r="BO267" s="56" t="s">
        <v>54</v>
      </c>
      <c r="BP267" s="56" t="s">
        <v>55</v>
      </c>
      <c r="BQ267" s="56" t="s">
        <v>59</v>
      </c>
      <c r="BR267" s="56" t="s">
        <v>227</v>
      </c>
      <c r="BS267" s="57" t="s">
        <v>228</v>
      </c>
      <c r="BT267" s="57" t="s">
        <v>229</v>
      </c>
      <c r="BU267" s="57" t="s">
        <v>230</v>
      </c>
      <c r="BV267" s="57" t="s">
        <v>231</v>
      </c>
      <c r="BW267" s="57"/>
      <c r="BX267" s="57"/>
      <c r="BY267" s="57" t="s">
        <v>6</v>
      </c>
      <c r="BZ267" s="4" t="s">
        <v>51</v>
      </c>
      <c r="CA267" s="13"/>
      <c r="CB267" s="13"/>
      <c r="CC267" s="13"/>
      <c r="CD267" s="13"/>
      <c r="CE267" s="13"/>
      <c r="CF267" s="13"/>
      <c r="CG267" s="13"/>
      <c r="CH267" s="13"/>
      <c r="CI267" s="13"/>
      <c r="CJ267" s="13"/>
      <c r="CK267" s="13"/>
      <c r="CL267" s="13"/>
      <c r="CM267" s="13"/>
      <c r="CN267" s="13"/>
    </row>
    <row r="268" spans="2:92" ht="22.5" customHeight="1" x14ac:dyDescent="0.35">
      <c r="B268">
        <f ca="1">COUNTIF($F$7:F271,"Produkt I varukorg*")</f>
        <v>7</v>
      </c>
      <c r="F268" s="51" t="str">
        <f>IF(D303&lt;1,"Inget antal angivet",IFERROR(INDEX($Z$270:$Z$293,MATCH(F265,$AA$270:$AA$293,0)),"Ingen produkt motsvarar"))</f>
        <v>Inget antal angivet</v>
      </c>
      <c r="G268" s="52">
        <f ca="1">IFERROR(P270,"Ingen produkt motsvarar")</f>
        <v>1700</v>
      </c>
      <c r="H268" s="52">
        <f ca="1">IFERROR(P271,"")</f>
        <v>2084</v>
      </c>
      <c r="I268" s="52">
        <f ca="1">IFERROR(P272,"")</f>
        <v>3205</v>
      </c>
      <c r="AA268" t="str">
        <f>IF(COUNTIF(AB268:AI268,FALSE)&gt;0,AL268,"")</f>
        <v/>
      </c>
      <c r="AB268" t="b">
        <f>IF($D$273="",TRUE,IF(AN268=$D$273,TRUE,FALSE))</f>
        <v>1</v>
      </c>
      <c r="AC268" t="b">
        <f>IF(D270="",TRUE,IF(AO268=$D$274,TRUE,FALSE))</f>
        <v>1</v>
      </c>
      <c r="AD268" t="b">
        <f>IF(D273="",TRUE,IF(AP268=D273,TRUE,FALSE))</f>
        <v>1</v>
      </c>
      <c r="AE268" t="b">
        <f>IF(D274="",TRUE,IF(AQ268=D274,TRUE,FALSE))</f>
        <v>1</v>
      </c>
      <c r="AF268" t="b">
        <f>IF(D275="",TRUE,IF(AR268=D275,TRUE,FALSE))</f>
        <v>1</v>
      </c>
      <c r="AG268" t="b">
        <f>IF(D276="",TRUE,IF(AS268=D276,TRUE,FALSE))</f>
        <v>1</v>
      </c>
      <c r="AH268" t="b">
        <f>IF(D272="",TRUE,IF(AT268=D272,TRUE,FALSE))</f>
        <v>1</v>
      </c>
      <c r="AI268" t="b">
        <f>IF(D271="",TRUE,IF(AV268=D271,TRUE,FALSE))</f>
        <v>1</v>
      </c>
      <c r="AL268" t="s">
        <v>126</v>
      </c>
      <c r="AN268" s="58" t="str">
        <f t="shared" ref="AN268:BL268" ca="1" si="221">IFERROR(INDEX(INDIRECT(AN$265&amp;"!$A$10:CC100000"),MATCH($AL268,INDIRECT(AN$265&amp;"!BH$10:BH100000"),0),MATCH(AN$267,INDIRECT(AN$265&amp;"!a10:CC10"),0)),"False")</f>
        <v>False</v>
      </c>
      <c r="AO268" s="58" t="str">
        <f t="shared" ca="1" si="221"/>
        <v>False</v>
      </c>
      <c r="AP268" s="58" t="str">
        <f t="shared" ca="1" si="221"/>
        <v>False</v>
      </c>
      <c r="AQ268" s="58" t="str">
        <f t="shared" ca="1" si="221"/>
        <v>False</v>
      </c>
      <c r="AR268" s="58" t="str">
        <f t="shared" ca="1" si="221"/>
        <v>False</v>
      </c>
      <c r="AS268" s="58" t="str">
        <f t="shared" ca="1" si="221"/>
        <v>False</v>
      </c>
      <c r="AT268" s="58" t="str">
        <f t="shared" ca="1" si="221"/>
        <v>False</v>
      </c>
      <c r="AU268" s="58" t="str">
        <f t="shared" ca="1" si="221"/>
        <v>False</v>
      </c>
      <c r="AV268" s="58" t="str">
        <f t="shared" ca="1" si="221"/>
        <v>False</v>
      </c>
      <c r="AW268" s="58" t="str">
        <f t="shared" ca="1" si="221"/>
        <v>False</v>
      </c>
      <c r="AX268" s="58" t="str">
        <f t="shared" ca="1" si="221"/>
        <v>False</v>
      </c>
      <c r="AY268" s="58" t="str">
        <f t="shared" ca="1" si="221"/>
        <v>False</v>
      </c>
      <c r="AZ268" s="58" t="str">
        <f t="shared" ca="1" si="221"/>
        <v>False</v>
      </c>
      <c r="BA268" s="58" t="str">
        <f t="shared" ca="1" si="221"/>
        <v>False</v>
      </c>
      <c r="BB268" s="58" t="str">
        <f t="shared" ca="1" si="221"/>
        <v>False</v>
      </c>
      <c r="BC268" s="58" t="str">
        <f t="shared" ca="1" si="221"/>
        <v>False</v>
      </c>
      <c r="BD268" s="58" t="str">
        <f t="shared" ca="1" si="221"/>
        <v>False</v>
      </c>
      <c r="BE268" s="58" t="str">
        <f t="shared" ca="1" si="221"/>
        <v>False</v>
      </c>
      <c r="BF268" s="58" t="str">
        <f t="shared" ca="1" si="221"/>
        <v>False</v>
      </c>
      <c r="BG268" s="58" t="str">
        <f t="shared" ca="1" si="221"/>
        <v>False</v>
      </c>
      <c r="BH268" s="58" t="str">
        <f t="shared" ca="1" si="221"/>
        <v>False</v>
      </c>
      <c r="BI268" s="58" t="str">
        <f t="shared" ca="1" si="221"/>
        <v>False</v>
      </c>
      <c r="BJ268" s="58" t="str">
        <f t="shared" ca="1" si="221"/>
        <v>False</v>
      </c>
      <c r="BK268" s="58" t="str">
        <f t="shared" ca="1" si="221"/>
        <v>False</v>
      </c>
      <c r="BL268" s="58" t="str">
        <f t="shared" ca="1" si="221"/>
        <v>False</v>
      </c>
      <c r="BM268" s="58"/>
      <c r="BN268" s="58" t="str">
        <f t="shared" ref="BN268:BV268" ca="1" si="222">IFERROR(INDEX(INDIRECT(BN$265&amp;"!$A$10:CC100000"),MATCH($AL268,INDIRECT(BN$265&amp;"!BH$10:BH100000"),0),MATCH(BN$267,INDIRECT(BN$265&amp;"!a10:CC10"),0)),"False")</f>
        <v>False</v>
      </c>
      <c r="BO268" s="58" t="str">
        <f t="shared" ca="1" si="222"/>
        <v>False</v>
      </c>
      <c r="BP268" s="58" t="str">
        <f t="shared" ca="1" si="222"/>
        <v>False</v>
      </c>
      <c r="BQ268" s="58" t="str">
        <f t="shared" ca="1" si="222"/>
        <v>False</v>
      </c>
      <c r="BR268" s="58" t="str">
        <f t="shared" ca="1" si="222"/>
        <v>False</v>
      </c>
      <c r="BS268" s="58" t="str">
        <f t="shared" ca="1" si="222"/>
        <v>False</v>
      </c>
      <c r="BT268" s="58" t="str">
        <f t="shared" ca="1" si="222"/>
        <v>False</v>
      </c>
      <c r="BU268" s="58" t="str">
        <f t="shared" ca="1" si="222"/>
        <v>False</v>
      </c>
      <c r="BV268" s="58" t="str">
        <f t="shared" ca="1" si="222"/>
        <v>False</v>
      </c>
      <c r="BW268" s="58"/>
      <c r="BX268" s="58"/>
      <c r="BY268" s="58" t="str">
        <f ca="1">IFERROR(INDEX(INDIRECT(BY$265&amp;"!$A$10:CC100000"),MATCH($AL268,INDIRECT(BY$265&amp;"!BH$10:BH100000"),0),MATCH(BY$267,INDIRECT(BY$265&amp;"!a10:CC10"),0)),"False")</f>
        <v>False</v>
      </c>
      <c r="BZ268" s="58" t="str">
        <f ca="1">IFERROR(INDEX(INDIRECT(BZ$265&amp;"!$A$10:CC100000"),MATCH($AL268,INDIRECT(BZ$265&amp;"!BH$10:BH100000"),0),MATCH(BZ$267,INDIRECT(BZ$265&amp;"!a10:CC10"),0)),"False")</f>
        <v>False</v>
      </c>
      <c r="CA268" s="58"/>
      <c r="CB268" s="58"/>
      <c r="CC268" s="58"/>
      <c r="CD268" s="58"/>
      <c r="CE268" s="58"/>
      <c r="CF268" s="58"/>
      <c r="CG268" s="58"/>
      <c r="CH268" s="58"/>
      <c r="CI268" s="58"/>
      <c r="CJ268" s="58"/>
      <c r="CK268" s="58"/>
      <c r="CL268" s="58"/>
      <c r="CM268" s="58"/>
      <c r="CN268" s="58"/>
    </row>
    <row r="269" spans="2:92" ht="22.5" customHeight="1" x14ac:dyDescent="0.35">
      <c r="C269" s="210" t="str">
        <f ca="1" xml:space="preserve"> "Surfplatta "  &amp; RIGHT("00" &amp; B268,2)</f>
        <v>Surfplatta 07</v>
      </c>
      <c r="D269" s="211"/>
      <c r="F269" s="92" t="str">
        <f>IF(F268="Inget antal angivet","",IFERROR(INDEX($AN$269:$BZ$295,MATCH(F$265,$AL$269:$AL$295,0),MATCH("Modellbenämning",$AN$269:$BZ$269,0)),""))</f>
        <v/>
      </c>
      <c r="G269" s="92" t="str">
        <f ca="1">IFERROR(INDEX($AN$269:$BZ$295,MATCH(G$265,$AL$269:$AL$295,0),MATCH("Modellbenämning",$AN$269:$BZ$269,0)),"")</f>
        <v>M10 FHD G2</v>
      </c>
      <c r="H269" s="92" t="str">
        <f ca="1">IFERROR(INDEX($AN$269:$BZ$295,MATCH(H$265,$AL$269:$AL$295,0),MATCH("Modellbenämning",$AN$269:$BZ$269,0)),"")</f>
        <v>Tab M10 (3rd Gen)</v>
      </c>
      <c r="I269" s="92" t="str">
        <f ca="1">IFERROR(INDEX($AN$269:$BZ$295,MATCH(I$265,$AL$269:$AL$295,0),MATCH("Modellbenämning",$AN$269:$BZ$269,0)),"")</f>
        <v>iPad 9th gen (2021)</v>
      </c>
      <c r="J269" s="93"/>
      <c r="K269" s="92"/>
      <c r="L269" s="92"/>
      <c r="M269" s="92"/>
      <c r="N269" s="92" t="e">
        <f ca="1">INDEX($N$270:$N$275,MATCH(Överblick!$L$2,$M$270:$M$275,0))</f>
        <v>#N/A</v>
      </c>
      <c r="O269" s="92"/>
      <c r="P269" s="92"/>
      <c r="Q269" s="92"/>
      <c r="R269" s="92">
        <v>1</v>
      </c>
      <c r="S269" s="92">
        <v>2</v>
      </c>
      <c r="T269" s="92">
        <v>3</v>
      </c>
      <c r="U269" s="92">
        <v>5</v>
      </c>
      <c r="V269" s="92">
        <v>6</v>
      </c>
      <c r="W269" s="92">
        <v>7</v>
      </c>
      <c r="X269" s="92">
        <v>8</v>
      </c>
      <c r="Y269" s="92">
        <v>9</v>
      </c>
      <c r="Z269" s="92"/>
      <c r="AA269" s="92" t="s">
        <v>122</v>
      </c>
      <c r="AB269" s="92" t="s">
        <v>3</v>
      </c>
      <c r="AC269" s="92" t="s">
        <v>7</v>
      </c>
      <c r="AD269" s="92" t="s">
        <v>2</v>
      </c>
      <c r="AE269" s="92" t="s">
        <v>17</v>
      </c>
      <c r="AF269" s="92" t="s">
        <v>75</v>
      </c>
      <c r="AG269" s="92" t="s">
        <v>103</v>
      </c>
      <c r="AH269" s="92" t="s">
        <v>120</v>
      </c>
      <c r="AI269" s="92" t="s">
        <v>39</v>
      </c>
      <c r="AJ269" s="92"/>
      <c r="AK269" s="92"/>
      <c r="AL269" s="92" t="s">
        <v>222</v>
      </c>
      <c r="AM269" s="92">
        <v>1</v>
      </c>
      <c r="AN269" s="92" t="s">
        <v>3</v>
      </c>
      <c r="AO269" s="92" t="s">
        <v>7</v>
      </c>
      <c r="AP269" s="92" t="s">
        <v>2</v>
      </c>
      <c r="AQ269" s="92" t="s">
        <v>17</v>
      </c>
      <c r="AR269" s="92" t="s">
        <v>75</v>
      </c>
      <c r="AS269" s="92" t="s">
        <v>103</v>
      </c>
      <c r="AT269" s="92" t="s">
        <v>120</v>
      </c>
      <c r="AU269" s="92" t="s">
        <v>39</v>
      </c>
      <c r="AV269" s="92" t="s">
        <v>103</v>
      </c>
      <c r="AW269" s="92" t="s">
        <v>75</v>
      </c>
      <c r="AX269" s="92" t="s">
        <v>120</v>
      </c>
      <c r="AY269" s="92" t="s">
        <v>52</v>
      </c>
      <c r="AZ269" s="92" t="s">
        <v>37</v>
      </c>
      <c r="BA269" s="92" t="s">
        <v>3</v>
      </c>
      <c r="BB269" s="92" t="s">
        <v>25</v>
      </c>
      <c r="BC269" s="92" t="s">
        <v>25</v>
      </c>
      <c r="BD269" s="92" t="s">
        <v>340</v>
      </c>
      <c r="BE269" s="92" t="s">
        <v>341</v>
      </c>
      <c r="BF269" s="92" t="s">
        <v>342</v>
      </c>
      <c r="BG269" s="92" t="s">
        <v>343</v>
      </c>
      <c r="BH269" s="92" t="s">
        <v>344</v>
      </c>
      <c r="BI269" s="92" t="s">
        <v>345</v>
      </c>
      <c r="BJ269" s="92" t="s">
        <v>346</v>
      </c>
      <c r="BK269" s="92" t="s">
        <v>347</v>
      </c>
      <c r="BL269" s="92" t="s">
        <v>348</v>
      </c>
      <c r="BM269" s="92" t="s">
        <v>349</v>
      </c>
      <c r="BN269" s="92" t="s">
        <v>53</v>
      </c>
      <c r="BO269" s="92" t="s">
        <v>54</v>
      </c>
      <c r="BP269" s="92" t="s">
        <v>55</v>
      </c>
      <c r="BQ269" s="92" t="s">
        <v>59</v>
      </c>
      <c r="BR269" s="92" t="s">
        <v>227</v>
      </c>
      <c r="BS269" s="92" t="s">
        <v>228</v>
      </c>
      <c r="BT269" s="92" t="s">
        <v>229</v>
      </c>
      <c r="BU269" s="92" t="s">
        <v>230</v>
      </c>
      <c r="BV269" s="92" t="s">
        <v>231</v>
      </c>
      <c r="BW269" s="92"/>
      <c r="BX269" s="92"/>
      <c r="BY269" s="92" t="s">
        <v>6</v>
      </c>
      <c r="BZ269" s="92" t="s">
        <v>51</v>
      </c>
      <c r="CA269" s="92" t="s">
        <v>2</v>
      </c>
      <c r="CB269" s="92" t="s">
        <v>17</v>
      </c>
      <c r="CC269" s="92" t="s">
        <v>75</v>
      </c>
      <c r="CD269" s="92" t="s">
        <v>103</v>
      </c>
      <c r="CE269" s="92" t="s">
        <v>7</v>
      </c>
      <c r="CF269" s="92" t="s">
        <v>120</v>
      </c>
      <c r="CG269" s="92" t="s">
        <v>3</v>
      </c>
      <c r="CH269" s="92" t="s">
        <v>39</v>
      </c>
      <c r="CI269" s="92" t="s">
        <v>103</v>
      </c>
      <c r="CJ269" s="92" t="s">
        <v>75</v>
      </c>
      <c r="CK269" s="92" t="s">
        <v>120</v>
      </c>
      <c r="CL269" s="92" t="s">
        <v>38</v>
      </c>
      <c r="CM269" s="92" t="s">
        <v>37</v>
      </c>
      <c r="CN269" s="92" t="s">
        <v>3</v>
      </c>
    </row>
    <row r="270" spans="2:92" ht="22.5" customHeight="1" outlineLevel="1" x14ac:dyDescent="0.35">
      <c r="C270" s="210" t="s">
        <v>261</v>
      </c>
      <c r="D270" s="211"/>
      <c r="F270" s="76" t="str">
        <f>IF(F268="Inget antal angivet","",IFERROR(INDEX($AN$269:$BZ$295,MATCH(F$265,$AL$269:$AL$295,0),MATCH("Varumärke",$AN$269:$BZ$269,0)),""))</f>
        <v/>
      </c>
      <c r="G270" s="77" t="str">
        <f ca="1">IFERROR(INDEX($AN$269:$BZ$295,MATCH(G$265,$AL$269:$AL$295,0),MATCH("Varumärke",$AN$269:$BZ$269,0)),"")</f>
        <v>Lenovo</v>
      </c>
      <c r="H270" s="77" t="str">
        <f ca="1">IFERROR(INDEX($AN$269:$BZ$295,MATCH(H$265,$AL$269:$AL$295,0),MATCH("Varumärke",$AN$269:$BZ$269,0)),"")</f>
        <v>Lenovo</v>
      </c>
      <c r="I270" s="119" t="str">
        <f ca="1">IFERROR(INDEX($AN$269:$BZ$295,MATCH(I$265,$AL$269:$AL$295,0),MATCH("Varumärke",$AN$269:$BZ$269,0)),"")</f>
        <v>Apple</v>
      </c>
      <c r="K270" s="185">
        <f t="shared" ref="K270:K275" ca="1" si="223">O270*$D$303</f>
        <v>0</v>
      </c>
      <c r="L270" s="185" t="b">
        <f t="shared" ref="L270:L275" si="224">IF($D$303=0,TRUE,IF(K270=0,FALSE,TRUE))</f>
        <v>1</v>
      </c>
      <c r="M270" s="185" t="s">
        <v>162</v>
      </c>
      <c r="N270" s="185" t="str">
        <f t="shared" ref="N270:N275" ca="1" si="225">IFERROR(INDEX($AA$270:$AA$295,MATCH(O270,$Z$270:$Z$295,0)),"")</f>
        <v>Offererad produktnr. 07Advania Sverige AB</v>
      </c>
      <c r="O270" s="185" cm="1">
        <f t="array" aca="1" ref="O270" ca="1">MIN(IF(($BY$270:$BY$293=M270)*($AM$270:$AM$293=$O$267),$Z$270:$Z$293))</f>
        <v>2084</v>
      </c>
      <c r="P270" s="197">
        <f ca="1">SMALL($Z$270:$Z$295,1)</f>
        <v>1700</v>
      </c>
      <c r="Q270" s="185">
        <f t="shared" ref="Q270:Q289" si="226">SUM(R270:Y270)</f>
        <v>0</v>
      </c>
      <c r="R270" s="185">
        <f t="shared" ref="R270:R289" si="227">IF($D$281="",0,BN270)</f>
        <v>0</v>
      </c>
      <c r="S270" s="185">
        <f t="shared" ref="S270:S289" si="228">IF($D$284="",0,BO270)</f>
        <v>0</v>
      </c>
      <c r="T270" s="185">
        <f t="shared" ref="T270:T289" si="229">IF($D$287="",0,BP270)</f>
        <v>0</v>
      </c>
      <c r="U270" s="185">
        <f t="shared" ref="U270:U289" si="230">IF($D$290="",0,BQ270)</f>
        <v>0</v>
      </c>
      <c r="V270" s="185">
        <f t="shared" ref="V270:V289" si="231">IF($D$293="",0,BR270)</f>
        <v>0</v>
      </c>
      <c r="W270" s="185">
        <f t="shared" ref="W270:W289" si="232">IF($D$297="",0,BS270)</f>
        <v>0</v>
      </c>
      <c r="X270" s="185">
        <f t="shared" ref="X270:X289" si="233">IF($D$298="",0,BT270)</f>
        <v>0</v>
      </c>
      <c r="Y270" s="185">
        <f t="shared" ref="Y270:Y289" si="234">IF($D$299="",0,BU270)</f>
        <v>0</v>
      </c>
      <c r="Z270" s="196">
        <f t="shared" ref="Z270:Z289" ca="1" si="235">IF(AA270="","",SUM(BC270,R270:Y270))</f>
        <v>2084</v>
      </c>
      <c r="AA270" s="185" t="str">
        <f t="shared" ref="AA270:AA289" si="236">IF(COUNTIF(AB270:AK270,FALSE)&gt;0,"",AL270)</f>
        <v>Offererad produktnr. 07Advania Sverige AB</v>
      </c>
      <c r="AB270" s="185" t="b">
        <f>IF(D271="",TRUE,IF(COUNTIF(Processor!$M$2:$M$3,D271)=0,IF(AN270=D271,TRUE,FALSE),IF(COUNTIF(AN270,INDEX(Processor!$N$2:$N$3,MATCH(Surfplattor!D271,Processor!$M$2:$M$3,0)))&gt;0,TRUE,FALSE)))</f>
        <v>1</v>
      </c>
      <c r="AC270" s="185" t="b">
        <f>IF($D$272="",TRUE,IF(COUNTIF(Processor!$I$2:$I$9,$D$272)&gt;0,AND(AO270&gt;INDEX(Processor!$J$2:$J$9,MATCH($D$272,Processor!$I$2:$I$9,0)),AO270&lt;INDEX(Processor!$K$2:$K$9,MATCH($D$272,Processor!$I$2:$I$9,0))),IF(AO270=$D$272,TRUE,FALSE)))</f>
        <v>1</v>
      </c>
      <c r="AD270" s="185" t="b">
        <f t="shared" ref="AD270:AD289" si="237">IFERROR(IF($D$273="",TRUE,IF(AND(IF(LEFT($D$273,4)*1&lt;=1*LEFT(AP270,4),TRUE,FALSE),IF(RIGHT(AP270,4)*1&gt;=1*RIGHT($D$273,4),TRUE,FALSE)),TRUE,FALSE)),0)</f>
        <v>1</v>
      </c>
      <c r="AE270" s="185" t="b">
        <f t="shared" ref="AE270:AE289" si="238">IF($D$274="",TRUE,IF(AQ270&gt;=$D$274,TRUE,FALSE))</f>
        <v>1</v>
      </c>
      <c r="AF270" s="185" t="b">
        <f t="shared" ref="AF270:AF289" si="239">IF($D$275="",TRUE,IF(AR270&gt;=$D$275,TRUE,FALSE))</f>
        <v>1</v>
      </c>
      <c r="AG270" s="185" t="b">
        <f t="shared" ref="AG270:AG289" si="240">IF($D$276="",TRUE,IF($D$276="802.11a/b/g/n/ac",TRUE,IF(AS270&gt;=$D$276,TRUE,FALSE)))</f>
        <v>1</v>
      </c>
      <c r="AH270" s="185" t="b">
        <f>IF($D$277="",TRUE,IF(INDEX(Processor!$C$14:$C$20,MATCH(LEFT(AT270,10)&amp;"",Processor!$A$14:$A$20,0))&gt;=INDEX(Processor!$C$14:$C$20,MATCH(LEFT($D$277,10)&amp;"",Processor!$A$14:$A$20,0)),TRUE,FALSE))</f>
        <v>1</v>
      </c>
      <c r="AI270" s="185" t="b">
        <f t="shared" ref="AI270:AI289" si="241">IF($D$278="",TRUE,IF($D$278="Miljömärkt",IF(AU270="Ej miljömärkt",FALSE,TRUE),IF(AU270=$D$278,TRUE,FALSE)))</f>
        <v>1</v>
      </c>
      <c r="AJ270" s="185"/>
      <c r="AK270" s="185"/>
      <c r="AL270" s="185" t="s">
        <v>204</v>
      </c>
      <c r="AM270" s="185">
        <v>1</v>
      </c>
      <c r="AN270" s="185" t="str">
        <f t="shared" ref="AN270:AW279" ca="1" si="242">IFERROR(INDEX(INDIRECT(AN$265&amp;"!$A$10:CC100000"),MATCH($AL270,INDIRECT(AN$265&amp;"!BH$10:BH100000"),0),MATCH(AN$267,INDIRECT(AN$265&amp;"!a10:CC10"),0)),"False")</f>
        <v>Android 11</v>
      </c>
      <c r="AO270" s="185">
        <f t="shared" ca="1" si="242"/>
        <v>10.1</v>
      </c>
      <c r="AP270" s="185" t="str">
        <f t="shared" ca="1" si="242"/>
        <v>1920x1200</v>
      </c>
      <c r="AQ270" s="185">
        <f t="shared" ca="1" si="242"/>
        <v>64</v>
      </c>
      <c r="AR270" s="185">
        <f t="shared" ca="1" si="242"/>
        <v>5</v>
      </c>
      <c r="AS270" s="185" t="str">
        <f t="shared" ca="1" si="242"/>
        <v>802.11a/b/g/n/ac</v>
      </c>
      <c r="AT270" s="185">
        <f t="shared" ca="1" si="242"/>
        <v>9</v>
      </c>
      <c r="AU270" s="185" t="str">
        <f t="shared" ca="1" si="242"/>
        <v>Ej miljömärkt</v>
      </c>
      <c r="AV270" s="185" t="str">
        <f t="shared" ca="1" si="242"/>
        <v>802.11a/b/g/n/ac</v>
      </c>
      <c r="AW270" s="185">
        <f t="shared" ca="1" si="242"/>
        <v>5</v>
      </c>
      <c r="AX270" s="185">
        <f t="shared" ref="AX270:BG279" ca="1" si="243">IFERROR(INDEX(INDIRECT(AX$265&amp;"!$A$10:CC100000"),MATCH($AL270,INDIRECT(AX$265&amp;"!BH$10:BH100000"),0),MATCH(AX$267,INDIRECT(AX$265&amp;"!a10:CC10"),0)),"False")</f>
        <v>9</v>
      </c>
      <c r="AY270" s="185" t="str">
        <f t="shared" ca="1" si="243"/>
        <v>Tab M10 (3rd Gen)</v>
      </c>
      <c r="AZ270" s="185">
        <f t="shared" ca="1" si="243"/>
        <v>0</v>
      </c>
      <c r="BA270" s="185" t="str">
        <f t="shared" ca="1" si="243"/>
        <v>Android 11</v>
      </c>
      <c r="BB270" s="185">
        <f t="shared" ca="1" si="243"/>
        <v>2084</v>
      </c>
      <c r="BC270" s="185">
        <f t="shared" ca="1" si="243"/>
        <v>2084</v>
      </c>
      <c r="BD270" s="192" t="str">
        <f t="shared" ca="1" si="243"/>
        <v>eSTUFF</v>
      </c>
      <c r="BE270" s="192" t="str">
        <f t="shared" ca="1" si="243"/>
        <v>eSTUFF</v>
      </c>
      <c r="BF270" s="192" t="str">
        <f t="shared" ca="1" si="243"/>
        <v>CoreParts</v>
      </c>
      <c r="BG270" s="192" t="str">
        <f t="shared" ca="1" si="243"/>
        <v>DELTACO</v>
      </c>
      <c r="BH270" s="192" t="str">
        <f t="shared" ref="BH270:BV279" ca="1" si="244">IFERROR(INDEX(INDIRECT(BH$265&amp;"!$A$10:CC100000"),MATCH($AL270,INDIRECT(BH$265&amp;"!BH$10:BH100000"),0),MATCH(BH$267,INDIRECT(BH$265&amp;"!a10:CC10"),0)),"False")</f>
        <v xml:space="preserve">ZAGG </v>
      </c>
      <c r="BI270" s="192" t="str">
        <f t="shared" ca="1" si="244"/>
        <v>ES685307-BULK - Vikbart fodral för surfplatta - polyuretan, polykarbonat, konstläder, mikrofiber - svart - för Lenovo Tab M10 (3rd Gen)</v>
      </c>
      <c r="BJ270" s="192" t="str">
        <f t="shared" ca="1" si="244"/>
        <v>ES517003 - Skärmskydd för surfplatta - glas - klar - för Lenovo Tab M10 (3rd Gen)</v>
      </c>
      <c r="BK270" s="192" t="str">
        <f t="shared" ca="1" si="244"/>
        <v>MBXUSB-AC0011 - Strömadapter - 12 Watt - 2.4 A (USB) - på kabel: USB-C - vit - med USB-C cable (2m)</v>
      </c>
      <c r="BL270" s="192" t="str">
        <f t="shared" ca="1" si="244"/>
        <v>TB-631</v>
      </c>
      <c r="BM270" s="192" t="str">
        <f t="shared" ca="1" si="244"/>
        <v>109912139 - Pro Stylus 2 - Aktiv penna - grå</v>
      </c>
      <c r="BN270" s="192">
        <f t="shared" ca="1" si="244"/>
        <v>251</v>
      </c>
      <c r="BO270" s="192">
        <f t="shared" ca="1" si="244"/>
        <v>251</v>
      </c>
      <c r="BP270" s="192">
        <f t="shared" ca="1" si="244"/>
        <v>108</v>
      </c>
      <c r="BQ270" s="192">
        <f t="shared" ca="1" si="244"/>
        <v>169</v>
      </c>
      <c r="BR270" s="192">
        <f t="shared" ca="1" si="244"/>
        <v>595</v>
      </c>
      <c r="BS270" s="192">
        <f t="shared" ca="1" si="244"/>
        <v>781</v>
      </c>
      <c r="BT270" s="192">
        <f t="shared" ca="1" si="244"/>
        <v>50</v>
      </c>
      <c r="BU270" s="192">
        <f t="shared" ca="1" si="244"/>
        <v>50</v>
      </c>
      <c r="BV270" s="192">
        <f t="shared" ca="1" si="244"/>
        <v>0</v>
      </c>
      <c r="BW270" s="192"/>
      <c r="BX270" s="192"/>
      <c r="BY270" s="192" t="str">
        <f t="shared" ref="BY270:BZ289" ca="1" si="245">IFERROR(INDEX(INDIRECT(BY$265&amp;"!$A$10:CC100000"),MATCH($AL270,INDIRECT(BY$265&amp;"!BH$10:BH100000"),0),MATCH(BY$267,INDIRECT(BY$265&amp;"!a10:CC10"),0)),"False")</f>
        <v>Advania Sverige AB</v>
      </c>
      <c r="BZ270" s="192" t="str">
        <f t="shared" ca="1" si="245"/>
        <v>Lenovo</v>
      </c>
      <c r="CA270" s="199" t="s">
        <v>163</v>
      </c>
      <c r="CB270" s="192">
        <v>64</v>
      </c>
      <c r="CC270" s="185">
        <v>4</v>
      </c>
      <c r="CD270" s="192" t="s">
        <v>79</v>
      </c>
      <c r="CE270" s="185" t="s">
        <v>356</v>
      </c>
      <c r="CF270" s="185" t="s">
        <v>148</v>
      </c>
      <c r="CG270" s="185" t="s">
        <v>469</v>
      </c>
      <c r="CH270" s="192" t="s">
        <v>273</v>
      </c>
      <c r="CI270" s="192" t="s">
        <v>79</v>
      </c>
      <c r="CJ270" s="185">
        <v>4</v>
      </c>
      <c r="CK270" s="185" t="s">
        <v>148</v>
      </c>
      <c r="CL270" s="192">
        <v>0</v>
      </c>
      <c r="CM270" s="192">
        <v>0</v>
      </c>
      <c r="CN270" s="185" t="s">
        <v>165</v>
      </c>
    </row>
    <row r="271" spans="2:92" ht="22.5" customHeight="1" outlineLevel="1" x14ac:dyDescent="0.35">
      <c r="C271" s="61" t="s">
        <v>3</v>
      </c>
      <c r="D271" s="64"/>
      <c r="F271" s="78" t="str">
        <f t="shared" ref="F271:F278" si="246">IF(F$268="Inget antal angivet","",IFERROR(INDEX($AN$269:$BZ$295,MATCH(F$265,$AL$269:$AL$295,0),MATCH($C271,$AN$269:$BZ$269,0)),""))</f>
        <v/>
      </c>
      <c r="G271" s="79" t="str">
        <f t="shared" ref="G271:I278" ca="1" si="247">IFERROR(INDEX($AN$269:$BZ$295,MATCH(G$265,$AL$269:$AL$295,0),MATCH($C271,$AN$269:$BZ$269,0)),"")</f>
        <v>Android 9</v>
      </c>
      <c r="H271" s="79" t="str">
        <f t="shared" ca="1" si="247"/>
        <v>Android 11</v>
      </c>
      <c r="I271" s="120" t="str">
        <f t="shared" ca="1" si="247"/>
        <v>iPadOS 15</v>
      </c>
      <c r="J271" s="62"/>
      <c r="K271" s="185">
        <f t="shared" ca="1" si="223"/>
        <v>0</v>
      </c>
      <c r="L271" s="185" t="b">
        <f t="shared" si="224"/>
        <v>1</v>
      </c>
      <c r="M271" s="185" t="s">
        <v>150</v>
      </c>
      <c r="N271" s="185" t="str">
        <f t="shared" ca="1" si="225"/>
        <v>Offererad produktnr. 08Atea Sverige AB</v>
      </c>
      <c r="O271" s="185" cm="1">
        <f t="array" aca="1" ref="O271" ca="1">MIN(IF(($BY$270:$BY$293=M271)*($AM$270:$AM$293=$O$267),$Z$270:$Z$293))</f>
        <v>5254</v>
      </c>
      <c r="P271" s="197">
        <f ca="1">SMALL($Z$270:$Z$295,2)</f>
        <v>2084</v>
      </c>
      <c r="Q271" s="185">
        <f t="shared" si="226"/>
        <v>0</v>
      </c>
      <c r="R271" s="185">
        <f t="shared" si="227"/>
        <v>0</v>
      </c>
      <c r="S271" s="185">
        <f t="shared" si="228"/>
        <v>0</v>
      </c>
      <c r="T271" s="185">
        <f t="shared" si="229"/>
        <v>0</v>
      </c>
      <c r="U271" s="185">
        <f t="shared" si="230"/>
        <v>0</v>
      </c>
      <c r="V271" s="185">
        <f t="shared" si="231"/>
        <v>0</v>
      </c>
      <c r="W271" s="185">
        <f t="shared" si="232"/>
        <v>0</v>
      </c>
      <c r="X271" s="185">
        <f t="shared" si="233"/>
        <v>0</v>
      </c>
      <c r="Y271" s="185">
        <f t="shared" si="234"/>
        <v>0</v>
      </c>
      <c r="Z271" s="196">
        <f t="shared" ca="1" si="235"/>
        <v>4238</v>
      </c>
      <c r="AA271" s="185" t="str">
        <f t="shared" si="236"/>
        <v>Offererad produktnr. 08Advania Sverige AB</v>
      </c>
      <c r="AB271" s="185" t="b">
        <f>IF(D271="",TRUE,IF(COUNTIF(Processor!$M$2:$M$3,D271)=0,IF(AN271=D271,TRUE,FALSE),IF(COUNTIF(AN271,INDEX(Processor!$N$2:$N$3,MATCH(Surfplattor!D271,Processor!$M$2:$M$3,0)))&gt;0,TRUE,FALSE)))</f>
        <v>1</v>
      </c>
      <c r="AC271" s="185" t="b">
        <f>IF($D$272="",TRUE,IF(COUNTIF(Processor!$I$2:$I$9,$D$272)&gt;0,AND(AO271&gt;INDEX(Processor!$J$2:$J$9,MATCH($D$272,Processor!$I$2:$I$9,0)),AO271&lt;INDEX(Processor!$K$2:$K$9,MATCH($D$272,Processor!$I$2:$I$9,0))),IF(AO271=$D$272,TRUE,FALSE)))</f>
        <v>1</v>
      </c>
      <c r="AD271" s="185" t="b">
        <f t="shared" si="237"/>
        <v>1</v>
      </c>
      <c r="AE271" s="185" t="b">
        <f t="shared" si="238"/>
        <v>1</v>
      </c>
      <c r="AF271" s="185" t="b">
        <f t="shared" si="239"/>
        <v>1</v>
      </c>
      <c r="AG271" s="185" t="b">
        <f t="shared" si="240"/>
        <v>1</v>
      </c>
      <c r="AH271" s="185" t="b">
        <f>IF($D$277="",TRUE,IF(INDEX(Processor!$C$14:$C$20,MATCH(LEFT(AT271,10)&amp;"",Processor!$A$14:$A$20,0))&gt;=INDEX(Processor!$C$14:$C$20,MATCH(LEFT($D$277,10)&amp;"",Processor!$A$14:$A$20,0)),TRUE,FALSE))</f>
        <v>1</v>
      </c>
      <c r="AI271" s="185" t="b">
        <f t="shared" si="241"/>
        <v>1</v>
      </c>
      <c r="AJ271" s="185"/>
      <c r="AK271" s="185"/>
      <c r="AL271" s="185" t="s">
        <v>205</v>
      </c>
      <c r="AM271" s="185">
        <v>1</v>
      </c>
      <c r="AN271" s="185" t="str">
        <f t="shared" ca="1" si="242"/>
        <v>iPadOS 14</v>
      </c>
      <c r="AO271" s="185">
        <f t="shared" ca="1" si="242"/>
        <v>10.199999999999999</v>
      </c>
      <c r="AP271" s="185" t="str">
        <f t="shared" ca="1" si="242"/>
        <v>2160x1620</v>
      </c>
      <c r="AQ271" s="185">
        <f t="shared" ca="1" si="242"/>
        <v>64</v>
      </c>
      <c r="AR271" s="185">
        <f t="shared" ca="1" si="242"/>
        <v>4.2</v>
      </c>
      <c r="AS271" s="185" t="str">
        <f t="shared" ca="1" si="242"/>
        <v>802.11a/b/g/n/ac</v>
      </c>
      <c r="AT271" s="185">
        <f t="shared" ca="1" si="242"/>
        <v>10</v>
      </c>
      <c r="AU271" s="185" t="str">
        <f t="shared" ca="1" si="242"/>
        <v>EPEAT Gold</v>
      </c>
      <c r="AV271" s="185" t="str">
        <f t="shared" ca="1" si="242"/>
        <v>802.11a/b/g/n/ac</v>
      </c>
      <c r="AW271" s="185">
        <f t="shared" ca="1" si="242"/>
        <v>4.2</v>
      </c>
      <c r="AX271" s="185">
        <f t="shared" ca="1" si="243"/>
        <v>10</v>
      </c>
      <c r="AY271" s="185" t="str">
        <f t="shared" ca="1" si="243"/>
        <v>10.2-inch iPad Wi-Fi 64GB</v>
      </c>
      <c r="AZ271" s="185">
        <f t="shared" ca="1" si="243"/>
        <v>0</v>
      </c>
      <c r="BA271" s="185" t="str">
        <f t="shared" ca="1" si="243"/>
        <v>iPadOS 14</v>
      </c>
      <c r="BB271" s="185">
        <f t="shared" ca="1" si="243"/>
        <v>4238</v>
      </c>
      <c r="BC271" s="185">
        <f t="shared" ca="1" si="243"/>
        <v>4238</v>
      </c>
      <c r="BD271" s="192" t="str">
        <f t="shared" ca="1" si="243"/>
        <v>eSTUFF</v>
      </c>
      <c r="BE271" s="192" t="str">
        <f t="shared" ca="1" si="243"/>
        <v>eSTUFF</v>
      </c>
      <c r="BF271" s="192" t="str">
        <f t="shared" ca="1" si="243"/>
        <v>DELTACO</v>
      </c>
      <c r="BG271" s="192" t="str">
        <f t="shared" ca="1" si="243"/>
        <v>DELTACO</v>
      </c>
      <c r="BH271" s="192" t="str">
        <f t="shared" ca="1" si="244"/>
        <v xml:space="preserve">ZAGG </v>
      </c>
      <c r="BI271" s="192" t="str">
        <f t="shared" ca="1" si="244"/>
        <v>ES682335-BULK - Baksidesskydd för surfplatta</v>
      </c>
      <c r="BJ271" s="192" t="str">
        <f t="shared" ca="1" si="244"/>
        <v>ES503200 - Titan Shield - skärmskydd för mobiltelefon</v>
      </c>
      <c r="BK271" s="192" t="str">
        <f t="shared" ca="1" si="244"/>
        <v xml:space="preserve">USBC-AC141 </v>
      </c>
      <c r="BL271" s="192" t="str">
        <f t="shared" ca="1" si="244"/>
        <v>TB-631</v>
      </c>
      <c r="BM271" s="192" t="str">
        <f t="shared" ca="1" si="244"/>
        <v>109912139 - Pro Stylus 2 - Aktiv penna - grå</v>
      </c>
      <c r="BN271" s="192">
        <f t="shared" ca="1" si="244"/>
        <v>181</v>
      </c>
      <c r="BO271" s="192">
        <f t="shared" ca="1" si="244"/>
        <v>219</v>
      </c>
      <c r="BP271" s="192">
        <f t="shared" ca="1" si="244"/>
        <v>144</v>
      </c>
      <c r="BQ271" s="192">
        <f t="shared" ca="1" si="244"/>
        <v>169</v>
      </c>
      <c r="BR271" s="192">
        <f t="shared" ca="1" si="244"/>
        <v>595</v>
      </c>
      <c r="BS271" s="192">
        <f t="shared" ca="1" si="244"/>
        <v>781</v>
      </c>
      <c r="BT271" s="192">
        <f t="shared" ca="1" si="244"/>
        <v>50</v>
      </c>
      <c r="BU271" s="192">
        <f t="shared" ca="1" si="244"/>
        <v>50</v>
      </c>
      <c r="BV271" s="192">
        <f t="shared" ca="1" si="244"/>
        <v>0</v>
      </c>
      <c r="BW271" s="192"/>
      <c r="BX271" s="192"/>
      <c r="BY271" s="192" t="str">
        <f t="shared" ca="1" si="245"/>
        <v>Advania Sverige AB</v>
      </c>
      <c r="BZ271" s="192" t="str">
        <f t="shared" ca="1" si="245"/>
        <v>Apple</v>
      </c>
      <c r="CA271" s="200" t="s">
        <v>141</v>
      </c>
      <c r="CB271" s="185">
        <v>128</v>
      </c>
      <c r="CC271" s="185">
        <v>4.2</v>
      </c>
      <c r="CD271" s="185" t="s">
        <v>86</v>
      </c>
      <c r="CE271" s="185" t="s">
        <v>353</v>
      </c>
      <c r="CF271" s="185" t="s">
        <v>164</v>
      </c>
      <c r="CG271" s="185" t="s">
        <v>470</v>
      </c>
      <c r="CH271" s="192" t="s">
        <v>142</v>
      </c>
      <c r="CI271" s="185" t="s">
        <v>86</v>
      </c>
      <c r="CJ271" s="185">
        <v>4.2</v>
      </c>
      <c r="CK271" s="185" t="s">
        <v>164</v>
      </c>
      <c r="CL271" s="185" t="s">
        <v>352</v>
      </c>
      <c r="CM271" s="185" t="s">
        <v>69</v>
      </c>
      <c r="CN271" s="185" t="s">
        <v>83</v>
      </c>
    </row>
    <row r="272" spans="2:92" ht="22.5" customHeight="1" outlineLevel="1" x14ac:dyDescent="0.35">
      <c r="C272" s="61" t="s">
        <v>7</v>
      </c>
      <c r="D272" s="64"/>
      <c r="F272" s="78" t="str">
        <f t="shared" si="246"/>
        <v/>
      </c>
      <c r="G272" s="79">
        <f t="shared" ca="1" si="247"/>
        <v>10.3</v>
      </c>
      <c r="H272" s="79">
        <f t="shared" ca="1" si="247"/>
        <v>10.1</v>
      </c>
      <c r="I272" s="120">
        <f t="shared" ca="1" si="247"/>
        <v>10.199999999999999</v>
      </c>
      <c r="J272" s="62"/>
      <c r="K272" s="185">
        <f t="shared" ca="1" si="223"/>
        <v>0</v>
      </c>
      <c r="L272" s="185" t="b">
        <f t="shared" si="224"/>
        <v>1</v>
      </c>
      <c r="M272" s="185" t="s">
        <v>128</v>
      </c>
      <c r="N272" s="185" t="str">
        <f t="shared" ca="1" si="225"/>
        <v>Offererad produktnr. 07Dustin Sverige AB</v>
      </c>
      <c r="O272" s="185" cm="1">
        <f t="array" aca="1" ref="O272" ca="1">MIN(IF(($BY$270:$BY$293=M272)*($AM$270:$AM$293=$O$267),$Z$270:$Z$293))</f>
        <v>3261</v>
      </c>
      <c r="P272" s="197">
        <f ca="1">SMALL($Z$270:$Z$295,3)</f>
        <v>3205</v>
      </c>
      <c r="Q272" s="185">
        <f t="shared" si="226"/>
        <v>0</v>
      </c>
      <c r="R272" s="185">
        <f t="shared" si="227"/>
        <v>0</v>
      </c>
      <c r="S272" s="185">
        <f t="shared" si="228"/>
        <v>0</v>
      </c>
      <c r="T272" s="185">
        <f t="shared" si="229"/>
        <v>0</v>
      </c>
      <c r="U272" s="185">
        <f t="shared" si="230"/>
        <v>0</v>
      </c>
      <c r="V272" s="185">
        <f t="shared" si="231"/>
        <v>0</v>
      </c>
      <c r="W272" s="185">
        <f t="shared" si="232"/>
        <v>0</v>
      </c>
      <c r="X272" s="185">
        <f t="shared" si="233"/>
        <v>0</v>
      </c>
      <c r="Y272" s="185">
        <f t="shared" si="234"/>
        <v>0</v>
      </c>
      <c r="Z272" s="196">
        <f t="shared" ca="1" si="235"/>
        <v>8671</v>
      </c>
      <c r="AA272" s="185" t="str">
        <f t="shared" si="236"/>
        <v>Offererad produktnr. 09Advania Sverige AB</v>
      </c>
      <c r="AB272" s="185" t="b">
        <f>IF(D271="",TRUE,IF(COUNTIF(Processor!$M$2:$M$3,D271)=0,IF(AN272=D271,TRUE,FALSE),IF(COUNTIF(AN272,INDEX(Processor!$N$2:$N$3,MATCH(Surfplattor!D271,Processor!$M$2:$M$3,0)))&gt;0,TRUE,FALSE)))</f>
        <v>1</v>
      </c>
      <c r="AC272" s="185" t="b">
        <f>IF($D$272="",TRUE,IF(COUNTIF(Processor!$I$2:$I$9,$D$272)&gt;0,AND(AO272&gt;INDEX(Processor!$J$2:$J$9,MATCH($D$272,Processor!$I$2:$I$9,0)),AO272&lt;INDEX(Processor!$K$2:$K$9,MATCH($D$272,Processor!$I$2:$I$9,0))),IF(AO272=$D$272,TRUE,FALSE)))</f>
        <v>1</v>
      </c>
      <c r="AD272" s="185" t="b">
        <f t="shared" si="237"/>
        <v>1</v>
      </c>
      <c r="AE272" s="185" t="b">
        <f t="shared" si="238"/>
        <v>1</v>
      </c>
      <c r="AF272" s="185" t="b">
        <f t="shared" si="239"/>
        <v>1</v>
      </c>
      <c r="AG272" s="185" t="b">
        <f t="shared" si="240"/>
        <v>1</v>
      </c>
      <c r="AH272" s="185" t="b">
        <f>IF($D$277="",TRUE,IF(INDEX(Processor!$C$14:$C$20,MATCH(LEFT(AT272,10)&amp;"",Processor!$A$14:$A$20,0))&gt;=INDEX(Processor!$C$14:$C$20,MATCH(LEFT($D$277,10)&amp;"",Processor!$A$14:$A$20,0)),TRUE,FALSE))</f>
        <v>1</v>
      </c>
      <c r="AI272" s="185" t="b">
        <f t="shared" si="241"/>
        <v>1</v>
      </c>
      <c r="AJ272" s="185"/>
      <c r="AK272" s="185"/>
      <c r="AL272" s="185" t="s">
        <v>206</v>
      </c>
      <c r="AM272" s="185">
        <v>1</v>
      </c>
      <c r="AN272" s="185" t="str">
        <f t="shared" ca="1" si="242"/>
        <v>Android 11</v>
      </c>
      <c r="AO272" s="185">
        <f t="shared" ca="1" si="242"/>
        <v>11</v>
      </c>
      <c r="AP272" s="185" t="str">
        <f t="shared" ca="1" si="242"/>
        <v>2560x1600</v>
      </c>
      <c r="AQ272" s="185">
        <f t="shared" ca="1" si="242"/>
        <v>128</v>
      </c>
      <c r="AR272" s="185">
        <f t="shared" ca="1" si="242"/>
        <v>5.3</v>
      </c>
      <c r="AS272" s="185" t="str">
        <f t="shared" ca="1" si="242"/>
        <v>802.11a/b/g/n/ac/ax</v>
      </c>
      <c r="AT272" s="185">
        <f t="shared" ca="1" si="242"/>
        <v>13</v>
      </c>
      <c r="AU272" s="185" t="str">
        <f t="shared" ca="1" si="242"/>
        <v>Ej miljömärkt</v>
      </c>
      <c r="AV272" s="185" t="str">
        <f t="shared" ca="1" si="242"/>
        <v>802.11a/b/g/n/ac/ax</v>
      </c>
      <c r="AW272" s="185">
        <f t="shared" ca="1" si="242"/>
        <v>5.3</v>
      </c>
      <c r="AX272" s="185">
        <f t="shared" ca="1" si="243"/>
        <v>13</v>
      </c>
      <c r="AY272" s="185" t="str">
        <f t="shared" ca="1" si="243"/>
        <v>Samsung Galaxy Tab S9</v>
      </c>
      <c r="AZ272" s="185">
        <f t="shared" ca="1" si="243"/>
        <v>0</v>
      </c>
      <c r="BA272" s="185" t="str">
        <f t="shared" ca="1" si="243"/>
        <v>Android 11</v>
      </c>
      <c r="BB272" s="185">
        <f t="shared" ca="1" si="243"/>
        <v>8671</v>
      </c>
      <c r="BC272" s="185">
        <f t="shared" ca="1" si="243"/>
        <v>8671</v>
      </c>
      <c r="BD272" s="192" t="str">
        <f t="shared" ca="1" si="243"/>
        <v>Insmat</v>
      </c>
      <c r="BE272" s="192" t="str">
        <f t="shared" ca="1" si="243"/>
        <v>Samsung</v>
      </c>
      <c r="BF272" s="192" t="str">
        <f t="shared" ca="1" si="243"/>
        <v>CoreParts</v>
      </c>
      <c r="BG272" s="192" t="str">
        <f t="shared" ca="1" si="243"/>
        <v>DELTACO</v>
      </c>
      <c r="BH272" s="192" t="str">
        <f t="shared" ca="1" si="244"/>
        <v>Samsung</v>
      </c>
      <c r="BI272" s="192" t="str">
        <f t="shared" ca="1" si="244"/>
        <v xml:space="preserve">652-1287 - Baksidesskydd för surfplatta - robust - rugged armor </v>
      </c>
      <c r="BJ272" s="192" t="str">
        <f t="shared" ca="1" si="244"/>
        <v>EF-UX710CTEGWW - EF-UX710 - Skärmskydd för surfplatta</v>
      </c>
      <c r="BK272" s="192" t="str">
        <f t="shared" ca="1" si="244"/>
        <v>MBXUSB-AC0011 - Strömadapter - 12 Watt - 2.4 A (USB) - på kabel: USB-C - vit - med USB-C cable (2m)</v>
      </c>
      <c r="BL272" s="192" t="str">
        <f t="shared" ca="1" si="244"/>
        <v>TB-631</v>
      </c>
      <c r="BM272" s="192" t="str">
        <f t="shared" ca="1" si="244"/>
        <v>EJ-PX710BBEGEU - S Pen - Aktiv penna - Bluetooth</v>
      </c>
      <c r="BN272" s="192">
        <f t="shared" ca="1" si="244"/>
        <v>174</v>
      </c>
      <c r="BO272" s="192">
        <f t="shared" ca="1" si="244"/>
        <v>219</v>
      </c>
      <c r="BP272" s="192">
        <f t="shared" ca="1" si="244"/>
        <v>108</v>
      </c>
      <c r="BQ272" s="192">
        <f t="shared" ca="1" si="244"/>
        <v>169</v>
      </c>
      <c r="BR272" s="192">
        <f t="shared" ca="1" si="244"/>
        <v>295</v>
      </c>
      <c r="BS272" s="192">
        <f t="shared" ca="1" si="244"/>
        <v>269</v>
      </c>
      <c r="BT272" s="192">
        <f t="shared" ca="1" si="244"/>
        <v>50</v>
      </c>
      <c r="BU272" s="192">
        <f t="shared" ca="1" si="244"/>
        <v>50</v>
      </c>
      <c r="BV272" s="192">
        <f t="shared" ca="1" si="244"/>
        <v>0</v>
      </c>
      <c r="BW272" s="192"/>
      <c r="BX272" s="192"/>
      <c r="BY272" s="192" t="str">
        <f t="shared" ca="1" si="245"/>
        <v>Advania Sverige AB</v>
      </c>
      <c r="BZ272" s="192" t="str">
        <f t="shared" ca="1" si="245"/>
        <v>Samsung</v>
      </c>
      <c r="CA272" s="199" t="s">
        <v>90</v>
      </c>
      <c r="CB272" s="185">
        <v>0</v>
      </c>
      <c r="CC272" s="186">
        <v>5</v>
      </c>
      <c r="CD272" s="185"/>
      <c r="CE272" s="185">
        <v>10.199999999999999</v>
      </c>
      <c r="CF272" s="185" t="s">
        <v>144</v>
      </c>
      <c r="CG272" s="185" t="s">
        <v>96</v>
      </c>
      <c r="CH272" s="185" t="s">
        <v>94</v>
      </c>
      <c r="CI272" s="185"/>
      <c r="CJ272" s="186">
        <v>5</v>
      </c>
      <c r="CK272" s="185" t="s">
        <v>144</v>
      </c>
      <c r="CL272" s="185"/>
      <c r="CM272" s="185"/>
      <c r="CN272" s="185" t="s">
        <v>91</v>
      </c>
    </row>
    <row r="273" spans="2:94" ht="22.5" customHeight="1" outlineLevel="1" x14ac:dyDescent="0.35">
      <c r="C273" s="61" t="s">
        <v>2</v>
      </c>
      <c r="D273" s="64"/>
      <c r="F273" s="78" t="str">
        <f t="shared" si="246"/>
        <v/>
      </c>
      <c r="G273" s="79" t="str">
        <f t="shared" ca="1" si="247"/>
        <v>1920x1200</v>
      </c>
      <c r="H273" s="79" t="str">
        <f t="shared" ca="1" si="247"/>
        <v>1920x1200</v>
      </c>
      <c r="I273" s="120" t="str">
        <f t="shared" ca="1" si="247"/>
        <v>2160x1620</v>
      </c>
      <c r="J273" s="62"/>
      <c r="K273" s="185">
        <f t="shared" ca="1" si="223"/>
        <v>0</v>
      </c>
      <c r="L273" s="185" t="b">
        <f t="shared" si="224"/>
        <v>1</v>
      </c>
      <c r="M273" s="185" t="s">
        <v>169</v>
      </c>
      <c r="N273" s="185" t="str">
        <f t="shared" ca="1" si="225"/>
        <v>Offererad produktnr. 08Foxway Education AB</v>
      </c>
      <c r="O273" s="185" cm="1">
        <f t="array" aca="1" ref="O273" ca="1">MIN(IF(($BY$270:$BY$293=M273)*($AM$270:$AM$293=$O$267),$Z$270:$Z$293))</f>
        <v>3894</v>
      </c>
      <c r="P273" s="197"/>
      <c r="Q273" s="185">
        <f t="shared" si="226"/>
        <v>0</v>
      </c>
      <c r="R273" s="185">
        <f t="shared" si="227"/>
        <v>0</v>
      </c>
      <c r="S273" s="185">
        <f t="shared" si="228"/>
        <v>0</v>
      </c>
      <c r="T273" s="185">
        <f t="shared" si="229"/>
        <v>0</v>
      </c>
      <c r="U273" s="185">
        <f t="shared" si="230"/>
        <v>0</v>
      </c>
      <c r="V273" s="185">
        <f t="shared" si="231"/>
        <v>0</v>
      </c>
      <c r="W273" s="185">
        <f t="shared" si="232"/>
        <v>0</v>
      </c>
      <c r="X273" s="185">
        <f t="shared" si="233"/>
        <v>0</v>
      </c>
      <c r="Y273" s="185">
        <f t="shared" si="234"/>
        <v>0</v>
      </c>
      <c r="Z273" s="196">
        <f t="shared" ca="1" si="235"/>
        <v>6116</v>
      </c>
      <c r="AA273" s="185" t="str">
        <f t="shared" si="236"/>
        <v>Offererad produktnr. 10Advania Sverige AB</v>
      </c>
      <c r="AB273" s="185" t="b">
        <f>IF(D271="",TRUE,IF(COUNTIF(Processor!$M$2:$M$3,D271)=0,IF(AN273=D271,TRUE,FALSE),IF(COUNTIF(AN273,INDEX(Processor!$N$2:$N$3,MATCH(Surfplattor!D271,Processor!$M$2:$M$3,0)))&gt;0,TRUE,FALSE)))</f>
        <v>1</v>
      </c>
      <c r="AC273" s="185" t="b">
        <f>IF($D$272="",TRUE,IF(COUNTIF(Processor!$I$2:$I$9,$D$272)&gt;0,AND(AO273&gt;INDEX(Processor!$J$2:$J$9,MATCH($D$272,Processor!$I$2:$I$9,0)),AO273&lt;INDEX(Processor!$K$2:$K$9,MATCH($D$272,Processor!$I$2:$I$9,0))),IF(AO273=$D$272,TRUE,FALSE)))</f>
        <v>1</v>
      </c>
      <c r="AD273" s="185" t="b">
        <f t="shared" si="237"/>
        <v>1</v>
      </c>
      <c r="AE273" s="185" t="b">
        <f t="shared" si="238"/>
        <v>1</v>
      </c>
      <c r="AF273" s="185" t="b">
        <f t="shared" si="239"/>
        <v>1</v>
      </c>
      <c r="AG273" s="185" t="b">
        <f t="shared" si="240"/>
        <v>1</v>
      </c>
      <c r="AH273" s="185" t="b">
        <f>IF($D$277="",TRUE,IF(INDEX(Processor!$C$14:$C$20,MATCH(LEFT(AT273,10)&amp;"",Processor!$A$14:$A$20,0))&gt;=INDEX(Processor!$C$14:$C$20,MATCH(LEFT($D$277,10)&amp;"",Processor!$A$14:$A$20,0)),TRUE,FALSE))</f>
        <v>1</v>
      </c>
      <c r="AI273" s="185" t="b">
        <f t="shared" si="241"/>
        <v>1</v>
      </c>
      <c r="AJ273" s="185"/>
      <c r="AK273" s="185"/>
      <c r="AL273" s="185" t="s">
        <v>207</v>
      </c>
      <c r="AM273" s="185">
        <v>1</v>
      </c>
      <c r="AN273" s="185" t="str">
        <f t="shared" ca="1" si="242"/>
        <v>Android 11</v>
      </c>
      <c r="AO273" s="185">
        <f t="shared" ca="1" si="242"/>
        <v>11</v>
      </c>
      <c r="AP273" s="185" t="str">
        <f t="shared" ca="1" si="242"/>
        <v>2560x1600</v>
      </c>
      <c r="AQ273" s="185">
        <f t="shared" ca="1" si="242"/>
        <v>128</v>
      </c>
      <c r="AR273" s="185">
        <f t="shared" ca="1" si="242"/>
        <v>5.2</v>
      </c>
      <c r="AS273" s="185" t="str">
        <f t="shared" ca="1" si="242"/>
        <v>802.11a/b/g/n/ac/ax</v>
      </c>
      <c r="AT273" s="185">
        <f t="shared" ca="1" si="242"/>
        <v>13</v>
      </c>
      <c r="AU273" s="185" t="str">
        <f t="shared" ca="1" si="242"/>
        <v>Ej miljömärkt</v>
      </c>
      <c r="AV273" s="185" t="str">
        <f t="shared" ca="1" si="242"/>
        <v>802.11a/b/g/n/ac/ax</v>
      </c>
      <c r="AW273" s="185">
        <f t="shared" ca="1" si="242"/>
        <v>5.2</v>
      </c>
      <c r="AX273" s="185">
        <f t="shared" ca="1" si="243"/>
        <v>13</v>
      </c>
      <c r="AY273" s="185" t="str">
        <f t="shared" ca="1" si="243"/>
        <v>Samsung Galaxy Tab S8</v>
      </c>
      <c r="AZ273" s="185">
        <f t="shared" ca="1" si="243"/>
        <v>0</v>
      </c>
      <c r="BA273" s="185" t="str">
        <f t="shared" ca="1" si="243"/>
        <v>Android 11</v>
      </c>
      <c r="BB273" s="185">
        <f t="shared" ca="1" si="243"/>
        <v>6116</v>
      </c>
      <c r="BC273" s="185">
        <f t="shared" ca="1" si="243"/>
        <v>6116</v>
      </c>
      <c r="BD273" s="192" t="str">
        <f t="shared" ca="1" si="243"/>
        <v>Insmat</v>
      </c>
      <c r="BE273" s="192" t="str">
        <f t="shared" ca="1" si="243"/>
        <v>Tolerate</v>
      </c>
      <c r="BF273" s="192" t="str">
        <f t="shared" ca="1" si="243"/>
        <v>CoreParts</v>
      </c>
      <c r="BG273" s="192" t="str">
        <f t="shared" ca="1" si="243"/>
        <v>DELTACO</v>
      </c>
      <c r="BH273" s="192" t="str">
        <f t="shared" ca="1" si="244"/>
        <v xml:space="preserve">ZAGG </v>
      </c>
      <c r="BI273" s="192" t="str">
        <f t="shared" ca="1" si="244"/>
        <v xml:space="preserve">652-1287 - Baksidesskydd för surfplatta - robust - rugged armor </v>
      </c>
      <c r="BJ273" s="192" t="str">
        <f t="shared" ca="1" si="244"/>
        <v>ED600189 - Skärmskydd för surfplatta</v>
      </c>
      <c r="BK273" s="192" t="str">
        <f t="shared" ca="1" si="244"/>
        <v>MBXUSB-AC0011 - Strömadapter - 12 Watt - 2.4 A (USB) - på kabel: USB-C - vit - med USB-C cable (2m)</v>
      </c>
      <c r="BL273" s="192" t="str">
        <f t="shared" ca="1" si="244"/>
        <v>TB-631</v>
      </c>
      <c r="BM273" s="192" t="str">
        <f t="shared" ca="1" si="244"/>
        <v>109912139 - Pro Stylus 2 - Aktiv penna - grå</v>
      </c>
      <c r="BN273" s="192">
        <f t="shared" ca="1" si="244"/>
        <v>181</v>
      </c>
      <c r="BO273" s="192">
        <f t="shared" ca="1" si="244"/>
        <v>228</v>
      </c>
      <c r="BP273" s="192">
        <f t="shared" ca="1" si="244"/>
        <v>108</v>
      </c>
      <c r="BQ273" s="192">
        <f t="shared" ca="1" si="244"/>
        <v>169</v>
      </c>
      <c r="BR273" s="192">
        <f t="shared" ca="1" si="244"/>
        <v>595</v>
      </c>
      <c r="BS273" s="192">
        <f t="shared" ca="1" si="244"/>
        <v>781</v>
      </c>
      <c r="BT273" s="192">
        <f t="shared" ca="1" si="244"/>
        <v>50</v>
      </c>
      <c r="BU273" s="192">
        <f t="shared" ca="1" si="244"/>
        <v>50</v>
      </c>
      <c r="BV273" s="192">
        <f t="shared" ca="1" si="244"/>
        <v>0</v>
      </c>
      <c r="BW273" s="192"/>
      <c r="BX273" s="192"/>
      <c r="BY273" s="192" t="str">
        <f t="shared" ca="1" si="245"/>
        <v>Advania Sverige AB</v>
      </c>
      <c r="BZ273" s="192" t="str">
        <f t="shared" ca="1" si="245"/>
        <v>Samsung</v>
      </c>
      <c r="CA273" s="199" t="s">
        <v>95</v>
      </c>
      <c r="CB273" s="185"/>
      <c r="CC273" s="185"/>
      <c r="CD273" s="185"/>
      <c r="CE273" s="185">
        <v>10.3</v>
      </c>
      <c r="CF273" s="185" t="s">
        <v>130</v>
      </c>
      <c r="CG273" s="185" t="s">
        <v>530</v>
      </c>
      <c r="CH273" s="185" t="s">
        <v>171</v>
      </c>
      <c r="CI273" s="185"/>
      <c r="CJ273" s="185">
        <v>5.2</v>
      </c>
      <c r="CK273" s="185" t="s">
        <v>130</v>
      </c>
      <c r="CL273" s="185"/>
      <c r="CM273" s="185"/>
      <c r="CN273" s="185" t="s">
        <v>96</v>
      </c>
    </row>
    <row r="274" spans="2:94" ht="22.5" customHeight="1" outlineLevel="1" x14ac:dyDescent="0.35">
      <c r="C274" s="61" t="s">
        <v>17</v>
      </c>
      <c r="D274" s="64"/>
      <c r="F274" s="78" t="str">
        <f t="shared" si="246"/>
        <v/>
      </c>
      <c r="G274" s="79">
        <f t="shared" ca="1" si="247"/>
        <v>64</v>
      </c>
      <c r="H274" s="79">
        <f t="shared" ca="1" si="247"/>
        <v>64</v>
      </c>
      <c r="I274" s="120">
        <f t="shared" ca="1" si="247"/>
        <v>64</v>
      </c>
      <c r="J274" s="62"/>
      <c r="K274" s="185">
        <f t="shared" ca="1" si="223"/>
        <v>0</v>
      </c>
      <c r="L274" s="185" t="b">
        <f t="shared" si="224"/>
        <v>1</v>
      </c>
      <c r="M274" s="185" t="s">
        <v>167</v>
      </c>
      <c r="N274" s="185" t="str">
        <f t="shared" ca="1" si="225"/>
        <v/>
      </c>
      <c r="O274" s="185" cm="1">
        <f t="array" aca="1" ref="O274" ca="1">MIN(IF(($BY$270:$BY$293=M274)*($AM$270:$AM$293=$O$267),$Z$270:$Z$293))</f>
        <v>0</v>
      </c>
      <c r="P274" s="197"/>
      <c r="Q274" s="185">
        <f t="shared" si="226"/>
        <v>0</v>
      </c>
      <c r="R274" s="185">
        <f t="shared" si="227"/>
        <v>0</v>
      </c>
      <c r="S274" s="185">
        <f t="shared" si="228"/>
        <v>0</v>
      </c>
      <c r="T274" s="185">
        <f t="shared" si="229"/>
        <v>0</v>
      </c>
      <c r="U274" s="185">
        <f t="shared" si="230"/>
        <v>0</v>
      </c>
      <c r="V274" s="185">
        <f t="shared" si="231"/>
        <v>0</v>
      </c>
      <c r="W274" s="185">
        <f t="shared" si="232"/>
        <v>0</v>
      </c>
      <c r="X274" s="185">
        <f t="shared" si="233"/>
        <v>0</v>
      </c>
      <c r="Y274" s="185">
        <f t="shared" si="234"/>
        <v>0</v>
      </c>
      <c r="Z274" s="196">
        <f t="shared" ca="1" si="235"/>
        <v>9140</v>
      </c>
      <c r="AA274" s="185" t="str">
        <f t="shared" si="236"/>
        <v>Offererad produktnr. 07Atea Sverige AB</v>
      </c>
      <c r="AB274" s="185" t="b">
        <f>IF(D271="",TRUE,IF(COUNTIF(Processor!$M$2:$M$3,D271)=0,IF(AN274=D271,TRUE,FALSE),IF(COUNTIF(AN274,INDEX(Processor!$N$2:$N$3,MATCH(Surfplattor!D271,Processor!$M$2:$M$3,0)))&gt;0,TRUE,FALSE)))</f>
        <v>1</v>
      </c>
      <c r="AC274" s="185" t="b">
        <f>IF($D$272="",TRUE,IF(COUNTIF(Processor!$I$2:$I$9,$D$272)&gt;0,AND(AO274&gt;INDEX(Processor!$J$2:$J$9,MATCH($D$272,Processor!$I$2:$I$9,0)),AO274&lt;INDEX(Processor!$K$2:$K$9,MATCH($D$272,Processor!$I$2:$I$9,0))),IF(AO274=$D$272,TRUE,FALSE)))</f>
        <v>1</v>
      </c>
      <c r="AD274" s="185" t="b">
        <f t="shared" si="237"/>
        <v>1</v>
      </c>
      <c r="AE274" s="185" t="b">
        <f t="shared" si="238"/>
        <v>1</v>
      </c>
      <c r="AF274" s="185" t="b">
        <f t="shared" si="239"/>
        <v>1</v>
      </c>
      <c r="AG274" s="185" t="b">
        <f t="shared" si="240"/>
        <v>1</v>
      </c>
      <c r="AH274" s="185" t="b">
        <f>IF($D$277="",TRUE,IF(INDEX(Processor!$C$14:$C$20,MATCH(LEFT(AT274,10)&amp;"",Processor!$A$14:$A$20,0))&gt;=INDEX(Processor!$C$14:$C$20,MATCH(LEFT($D$277,10)&amp;"",Processor!$A$14:$A$20,0)),TRUE,FALSE))</f>
        <v>1</v>
      </c>
      <c r="AI274" s="185" t="b">
        <f t="shared" si="241"/>
        <v>1</v>
      </c>
      <c r="AJ274" s="185"/>
      <c r="AK274" s="185"/>
      <c r="AL274" s="185" t="s">
        <v>192</v>
      </c>
      <c r="AM274" s="185">
        <v>1</v>
      </c>
      <c r="AN274" s="185" t="str">
        <f t="shared" ca="1" si="242"/>
        <v>iPadOS 15</v>
      </c>
      <c r="AO274" s="185">
        <f t="shared" ca="1" si="242"/>
        <v>10.9</v>
      </c>
      <c r="AP274" s="185" t="str">
        <f t="shared" ca="1" si="242"/>
        <v>2360x1640</v>
      </c>
      <c r="AQ274" s="185">
        <f t="shared" ca="1" si="242"/>
        <v>64</v>
      </c>
      <c r="AR274" s="185">
        <f t="shared" ca="1" si="242"/>
        <v>5</v>
      </c>
      <c r="AS274" s="185" t="str">
        <f t="shared" ca="1" si="242"/>
        <v>802.11a/b/g/n/ac/ax</v>
      </c>
      <c r="AT274" s="185">
        <f t="shared" ca="1" si="242"/>
        <v>10</v>
      </c>
      <c r="AU274" s="185" t="str">
        <f t="shared" ca="1" si="242"/>
        <v>EPEAT Gold</v>
      </c>
      <c r="AV274" s="185" t="str">
        <f t="shared" ca="1" si="242"/>
        <v>802.11a/b/g/n/ac/ax</v>
      </c>
      <c r="AW274" s="185">
        <f t="shared" ca="1" si="242"/>
        <v>5</v>
      </c>
      <c r="AX274" s="185">
        <f t="shared" ca="1" si="243"/>
        <v>10</v>
      </c>
      <c r="AY274" s="185" t="str">
        <f t="shared" ca="1" si="243"/>
        <v>10.9-inch iPad Air Wi-Fi 5th Gen</v>
      </c>
      <c r="AZ274" s="185">
        <f t="shared" ca="1" si="243"/>
        <v>0</v>
      </c>
      <c r="BA274" s="185" t="str">
        <f t="shared" ca="1" si="243"/>
        <v>iPadOS 15</v>
      </c>
      <c r="BB274" s="185">
        <f t="shared" ca="1" si="243"/>
        <v>9140</v>
      </c>
      <c r="BC274" s="185">
        <f t="shared" ca="1" si="243"/>
        <v>9140</v>
      </c>
      <c r="BD274" s="192" t="str">
        <f t="shared" ca="1" si="243"/>
        <v>ZAGG</v>
      </c>
      <c r="BE274" s="192" t="str">
        <f t="shared" ca="1" si="243"/>
        <v>ZAGG</v>
      </c>
      <c r="BF274" s="192" t="str">
        <f t="shared" ca="1" si="243"/>
        <v xml:space="preserve">Mophie </v>
      </c>
      <c r="BG274" s="192" t="str">
        <f t="shared" ca="1" si="243"/>
        <v>Tolerate</v>
      </c>
      <c r="BH274" s="192" t="str">
        <f t="shared" ca="1" si="244"/>
        <v>Apple</v>
      </c>
      <c r="BI274" s="192" t="str">
        <f t="shared" ca="1" si="244"/>
        <v>GEAR4 Case Brompton + Folio Apple iPad Air 10.9" (4th Gen)/ iPad Pro 11" (1st &amp; 2nd Gen) - smoke</v>
      </c>
      <c r="BJ274" s="192" t="str">
        <f t="shared" ca="1" si="244"/>
        <v>InvisibleShield Glass Elite+ iPad Air 4/11P (2021) Case friendly Screen</v>
      </c>
      <c r="BK274" s="192" t="str">
        <f t="shared" ca="1" si="244"/>
        <v>Mophie USB typ C-kabel/MOPHIE WALL ADAPTER USB-C 20W</v>
      </c>
      <c r="BL274" s="192" t="str">
        <f t="shared" ca="1" si="244"/>
        <v>TOLERATE KEYBOARD FOLIO IPAD AIR 10,9 BLACK</v>
      </c>
      <c r="BM274" s="192" t="str">
        <f t="shared" ca="1" si="244"/>
        <v>Apple Pencil 2nd Generation - Penna för surfplatta - för 10.9-inch iPad Air (4th generation); 11-inch iPad Pro (1st generation, 2nd generation, 3rd generation); 12.9-inch iPad Pro (3rd generation, 4th generation, 5th generation)</v>
      </c>
      <c r="BN274" s="192">
        <f t="shared" ca="1" si="244"/>
        <v>344</v>
      </c>
      <c r="BO274" s="192">
        <f t="shared" ca="1" si="244"/>
        <v>302</v>
      </c>
      <c r="BP274" s="192">
        <f t="shared" ca="1" si="244"/>
        <v>289</v>
      </c>
      <c r="BQ274" s="192">
        <f t="shared" ca="1" si="244"/>
        <v>756</v>
      </c>
      <c r="BR274" s="192">
        <f t="shared" ca="1" si="244"/>
        <v>1742</v>
      </c>
      <c r="BS274" s="192">
        <f t="shared" ca="1" si="244"/>
        <v>672</v>
      </c>
      <c r="BT274" s="192">
        <f t="shared" ca="1" si="244"/>
        <v>85</v>
      </c>
      <c r="BU274" s="192">
        <f t="shared" ca="1" si="244"/>
        <v>100</v>
      </c>
      <c r="BV274" s="192">
        <f t="shared" ca="1" si="244"/>
        <v>0</v>
      </c>
      <c r="BW274" s="192"/>
      <c r="BX274" s="192"/>
      <c r="BY274" s="192" t="str">
        <f t="shared" ca="1" si="245"/>
        <v>Atea Sverige AB</v>
      </c>
      <c r="BZ274" s="192" t="str">
        <f t="shared" ca="1" si="245"/>
        <v>Apple</v>
      </c>
      <c r="CA274" s="199" t="s">
        <v>435</v>
      </c>
      <c r="CB274" s="185"/>
      <c r="CC274" s="185"/>
      <c r="CD274" s="185"/>
      <c r="CE274" s="185">
        <v>10.4</v>
      </c>
      <c r="CF274" s="185" t="s">
        <v>225</v>
      </c>
      <c r="CG274" s="185" t="s">
        <v>165</v>
      </c>
      <c r="CH274" s="185"/>
      <c r="CI274" s="185"/>
      <c r="CJ274" s="185"/>
      <c r="CK274" s="185" t="s">
        <v>225</v>
      </c>
      <c r="CL274" s="185"/>
      <c r="CM274" s="185"/>
      <c r="CN274" s="185"/>
    </row>
    <row r="275" spans="2:94" ht="28.5" customHeight="1" outlineLevel="1" x14ac:dyDescent="0.35">
      <c r="C275" s="61" t="s">
        <v>75</v>
      </c>
      <c r="D275" s="110"/>
      <c r="F275" s="78" t="str">
        <f t="shared" si="246"/>
        <v/>
      </c>
      <c r="G275" s="79">
        <f t="shared" ca="1" si="247"/>
        <v>5</v>
      </c>
      <c r="H275" s="79">
        <f t="shared" ca="1" si="247"/>
        <v>5</v>
      </c>
      <c r="I275" s="120">
        <f t="shared" ca="1" si="247"/>
        <v>4.2</v>
      </c>
      <c r="J275" s="62"/>
      <c r="K275" s="185">
        <f t="shared" ca="1" si="223"/>
        <v>0</v>
      </c>
      <c r="L275" s="185" t="b">
        <f t="shared" si="224"/>
        <v>1</v>
      </c>
      <c r="M275" s="185" t="s">
        <v>546</v>
      </c>
      <c r="N275" s="185" t="str">
        <f t="shared" ca="1" si="225"/>
        <v>Offererad produktnr. 07Qlosr Göteborg AB</v>
      </c>
      <c r="O275" s="185" cm="1">
        <f t="array" aca="1" ref="O275" ca="1">MIN(IF(($BY$270:$BY$293=M275)*($AM$270:$AM$293=$O$267),$Z$270:$Z$293))</f>
        <v>1700</v>
      </c>
      <c r="P275" s="197"/>
      <c r="Q275" s="185">
        <f t="shared" si="226"/>
        <v>0</v>
      </c>
      <c r="R275" s="185">
        <f t="shared" si="227"/>
        <v>0</v>
      </c>
      <c r="S275" s="185">
        <f t="shared" si="228"/>
        <v>0</v>
      </c>
      <c r="T275" s="185">
        <f t="shared" si="229"/>
        <v>0</v>
      </c>
      <c r="U275" s="185">
        <f t="shared" si="230"/>
        <v>0</v>
      </c>
      <c r="V275" s="185">
        <f t="shared" si="231"/>
        <v>0</v>
      </c>
      <c r="W275" s="185">
        <f t="shared" si="232"/>
        <v>0</v>
      </c>
      <c r="X275" s="185">
        <f t="shared" si="233"/>
        <v>0</v>
      </c>
      <c r="Y275" s="185">
        <f t="shared" si="234"/>
        <v>0</v>
      </c>
      <c r="Z275" s="196">
        <f t="shared" ca="1" si="235"/>
        <v>5254</v>
      </c>
      <c r="AA275" s="185" t="str">
        <f t="shared" si="236"/>
        <v>Offererad produktnr. 08Atea Sverige AB</v>
      </c>
      <c r="AB275" s="185" t="b">
        <f>IF(D271="",TRUE,IF(COUNTIF(Processor!$M$2:$M$3,D271)=0,IF(AN275=D271,TRUE,FALSE),IF(COUNTIF(AN275,INDEX(Processor!$N$2:$N$3,MATCH(Surfplattor!D271,Processor!$M$2:$M$3,0)))&gt;0,TRUE,FALSE)))</f>
        <v>1</v>
      </c>
      <c r="AC275" s="185" t="b">
        <f>IF($D$272="",TRUE,IF(COUNTIF(Processor!$I$2:$I$9,$D$272)&gt;0,AND(AO275&gt;INDEX(Processor!$J$2:$J$9,MATCH($D$272,Processor!$I$2:$I$9,0)),AO275&lt;INDEX(Processor!$K$2:$K$9,MATCH($D$272,Processor!$I$2:$I$9,0))),IF(AO275=$D$272,TRUE,FALSE)))</f>
        <v>1</v>
      </c>
      <c r="AD275" s="185" t="b">
        <f t="shared" si="237"/>
        <v>1</v>
      </c>
      <c r="AE275" s="185" t="b">
        <f t="shared" si="238"/>
        <v>1</v>
      </c>
      <c r="AF275" s="185" t="b">
        <f t="shared" si="239"/>
        <v>1</v>
      </c>
      <c r="AG275" s="185" t="b">
        <f t="shared" si="240"/>
        <v>1</v>
      </c>
      <c r="AH275" s="185" t="b">
        <f>IF($D$277="",TRUE,IF(INDEX(Processor!$C$14:$C$20,MATCH(LEFT(AT275,10)&amp;"",Processor!$A$14:$A$20,0))&gt;=INDEX(Processor!$C$14:$C$20,MATCH(LEFT($D$277,10)&amp;"",Processor!$A$14:$A$20,0)),TRUE,FALSE))</f>
        <v>1</v>
      </c>
      <c r="AI275" s="185" t="b">
        <f t="shared" si="241"/>
        <v>1</v>
      </c>
      <c r="AJ275" s="185"/>
      <c r="AK275" s="185"/>
      <c r="AL275" s="185" t="s">
        <v>193</v>
      </c>
      <c r="AM275" s="185">
        <v>1</v>
      </c>
      <c r="AN275" s="185" t="str">
        <f t="shared" ca="1" si="242"/>
        <v>iPadOS 14</v>
      </c>
      <c r="AO275" s="185">
        <f t="shared" ca="1" si="242"/>
        <v>10.199999999999999</v>
      </c>
      <c r="AP275" s="185" t="str">
        <f t="shared" ca="1" si="242"/>
        <v>2160x1620</v>
      </c>
      <c r="AQ275" s="185">
        <f t="shared" ca="1" si="242"/>
        <v>64</v>
      </c>
      <c r="AR275" s="185">
        <f t="shared" ca="1" si="242"/>
        <v>4.2</v>
      </c>
      <c r="AS275" s="185" t="str">
        <f t="shared" ca="1" si="242"/>
        <v>802.11a/b/g/n/ac</v>
      </c>
      <c r="AT275" s="185">
        <f t="shared" ca="1" si="242"/>
        <v>10</v>
      </c>
      <c r="AU275" s="185" t="str">
        <f t="shared" ca="1" si="242"/>
        <v>EPEAT Gold</v>
      </c>
      <c r="AV275" s="185" t="str">
        <f t="shared" ca="1" si="242"/>
        <v>802.11a/b/g/n/ac</v>
      </c>
      <c r="AW275" s="185">
        <f t="shared" ca="1" si="242"/>
        <v>4.2</v>
      </c>
      <c r="AX275" s="185">
        <f t="shared" ca="1" si="243"/>
        <v>10</v>
      </c>
      <c r="AY275" s="185" t="str">
        <f t="shared" ca="1" si="243"/>
        <v>iPad Wi-Fi 9:e Generationen</v>
      </c>
      <c r="AZ275" s="185">
        <f t="shared" ca="1" si="243"/>
        <v>0</v>
      </c>
      <c r="BA275" s="185" t="str">
        <f t="shared" ca="1" si="243"/>
        <v>iPadOS 14</v>
      </c>
      <c r="BB275" s="185">
        <f t="shared" ca="1" si="243"/>
        <v>5254</v>
      </c>
      <c r="BC275" s="185">
        <f t="shared" ca="1" si="243"/>
        <v>5254</v>
      </c>
      <c r="BD275" s="192" t="str">
        <f t="shared" ca="1" si="243"/>
        <v>ZAGG</v>
      </c>
      <c r="BE275" s="192" t="str">
        <f t="shared" ca="1" si="243"/>
        <v>ZAGG</v>
      </c>
      <c r="BF275" s="192" t="str">
        <f t="shared" ca="1" si="243"/>
        <v>Mophie</v>
      </c>
      <c r="BG275" s="192" t="str">
        <f t="shared" ca="1" si="243"/>
        <v>Tolerate</v>
      </c>
      <c r="BH275" s="192" t="str">
        <f t="shared" ca="1" si="244"/>
        <v>Apple</v>
      </c>
      <c r="BI275" s="192" t="str">
        <f t="shared" ca="1" si="244"/>
        <v>ZAGG Rugged Messenger Case - Skyddsfodral för surfplatta - robust - 10.2" - för Apple 10.2-inch iPad</v>
      </c>
      <c r="BJ275" s="192" t="str">
        <f t="shared" ca="1" si="244"/>
        <v>InvisibleShield Glass Elite+ Apple iPad 10.2" Screen</v>
      </c>
      <c r="BK275" s="192" t="str">
        <f t="shared" ca="1" si="244"/>
        <v>Wall Adapter-USB-C-20W-White-EU/mophie Charge and Sync Cable- USB-C to Lightning Cable 1.8M – White</v>
      </c>
      <c r="BL275" s="192" t="str">
        <f t="shared" ca="1" si="244"/>
        <v>Tolerate KEYBOARD FOLIO - Tangentbord och foliefodral - Bluetooth - svensk - svart - för Apple 10.2-inch iPad</v>
      </c>
      <c r="BM275" s="192" t="str">
        <f t="shared" ca="1" si="244"/>
        <v>Apple Pencil - Penna för surfplatta - för 10.2-inch iPad (7th generation, 8th generation); 10.5-inch iPad Air (3rd generation); 10.5-inch iPad Pro; 12.9-inch iPad Pro (1st generation, 2nd generation); 9.7-inch iPad (6th generation); 9.7-inch iPad Pro; iPad mini 5</v>
      </c>
      <c r="BN275" s="192">
        <f t="shared" ca="1" si="244"/>
        <v>430</v>
      </c>
      <c r="BO275" s="192">
        <f t="shared" ca="1" si="244"/>
        <v>302</v>
      </c>
      <c r="BP275" s="192">
        <f t="shared" ca="1" si="244"/>
        <v>226</v>
      </c>
      <c r="BQ275" s="192">
        <f t="shared" ca="1" si="244"/>
        <v>756</v>
      </c>
      <c r="BR275" s="192">
        <f t="shared" ca="1" si="244"/>
        <v>1284</v>
      </c>
      <c r="BS275" s="192">
        <f t="shared" ca="1" si="244"/>
        <v>672</v>
      </c>
      <c r="BT275" s="192">
        <f t="shared" ca="1" si="244"/>
        <v>85</v>
      </c>
      <c r="BU275" s="192">
        <f t="shared" ca="1" si="244"/>
        <v>100</v>
      </c>
      <c r="BV275" s="192">
        <f t="shared" ca="1" si="244"/>
        <v>0</v>
      </c>
      <c r="BW275" s="192"/>
      <c r="BX275" s="192"/>
      <c r="BY275" s="192" t="str">
        <f t="shared" ca="1" si="245"/>
        <v>Atea Sverige AB</v>
      </c>
      <c r="BZ275" s="192" t="str">
        <f t="shared" ca="1" si="245"/>
        <v>Apple</v>
      </c>
      <c r="CA275" s="199" t="s">
        <v>93</v>
      </c>
      <c r="CB275" s="185"/>
      <c r="CC275" s="185"/>
      <c r="CD275" s="185"/>
      <c r="CE275" s="185">
        <v>10.9</v>
      </c>
      <c r="CF275" s="185" t="s">
        <v>146</v>
      </c>
      <c r="CG275" s="185" t="s">
        <v>91</v>
      </c>
      <c r="CH275" s="185"/>
      <c r="CI275" s="185"/>
      <c r="CJ275" s="185"/>
      <c r="CK275" s="185" t="s">
        <v>146</v>
      </c>
      <c r="CL275" s="185"/>
      <c r="CM275" s="185"/>
      <c r="CN275" s="185"/>
    </row>
    <row r="276" spans="2:94" ht="29.25" customHeight="1" outlineLevel="1" x14ac:dyDescent="0.35">
      <c r="C276" s="61" t="s">
        <v>103</v>
      </c>
      <c r="D276" s="64"/>
      <c r="F276" s="78" t="str">
        <f t="shared" si="246"/>
        <v/>
      </c>
      <c r="G276" s="79" t="str">
        <f t="shared" ca="1" si="247"/>
        <v>802.11a/b/g/n/ac</v>
      </c>
      <c r="H276" s="79" t="str">
        <f t="shared" ca="1" si="247"/>
        <v>802.11a/b/g/n/ac</v>
      </c>
      <c r="I276" s="120" t="str">
        <f t="shared" ca="1" si="247"/>
        <v>802.11a/b/g/n/ac</v>
      </c>
      <c r="J276" s="62"/>
      <c r="Q276" s="185">
        <f t="shared" si="226"/>
        <v>0</v>
      </c>
      <c r="R276" s="185">
        <f t="shared" si="227"/>
        <v>0</v>
      </c>
      <c r="S276" s="185">
        <f t="shared" si="228"/>
        <v>0</v>
      </c>
      <c r="T276" s="185">
        <f t="shared" si="229"/>
        <v>0</v>
      </c>
      <c r="U276" s="185">
        <f t="shared" si="230"/>
        <v>0</v>
      </c>
      <c r="V276" s="185">
        <f t="shared" si="231"/>
        <v>0</v>
      </c>
      <c r="W276" s="185">
        <f t="shared" si="232"/>
        <v>0</v>
      </c>
      <c r="X276" s="185">
        <f t="shared" si="233"/>
        <v>0</v>
      </c>
      <c r="Y276" s="185">
        <f t="shared" si="234"/>
        <v>0</v>
      </c>
      <c r="Z276" s="196">
        <f t="shared" ca="1" si="235"/>
        <v>10177</v>
      </c>
      <c r="AA276" s="185" t="str">
        <f t="shared" si="236"/>
        <v>Offererad produktnr. 09Atea Sverige AB</v>
      </c>
      <c r="AB276" s="185" t="b">
        <f>IF(D271="",TRUE,IF(COUNTIF(Processor!$M$2:$M$3,D271)=0,IF(AN276=D271,TRUE,FALSE),IF(COUNTIF(AN276,INDEX(Processor!$N$2:$N$3,MATCH(Surfplattor!D271,Processor!$M$2:$M$3,0)))&gt;0,TRUE,FALSE)))</f>
        <v>1</v>
      </c>
      <c r="AC276" s="185" t="b">
        <f>IF($D$272="",TRUE,IF(COUNTIF(Processor!$I$2:$I$9,$D$272)&gt;0,AND(AO276&gt;INDEX(Processor!$J$2:$J$9,MATCH($D$272,Processor!$I$2:$I$9,0)),AO276&lt;INDEX(Processor!$K$2:$K$9,MATCH($D$272,Processor!$I$2:$I$9,0))),IF(AO276=$D$272,TRUE,FALSE)))</f>
        <v>1</v>
      </c>
      <c r="AD276" s="185" t="b">
        <f t="shared" si="237"/>
        <v>1</v>
      </c>
      <c r="AE276" s="185" t="b">
        <f t="shared" si="238"/>
        <v>1</v>
      </c>
      <c r="AF276" s="185" t="b">
        <f t="shared" si="239"/>
        <v>1</v>
      </c>
      <c r="AG276" s="185" t="b">
        <f t="shared" si="240"/>
        <v>1</v>
      </c>
      <c r="AH276" s="185" t="b">
        <f>IF($D$277="",TRUE,IF(INDEX(Processor!$C$14:$C$20,MATCH(LEFT(AT276,10)&amp;"",Processor!$A$14:$A$20,0))&gt;=INDEX(Processor!$C$14:$C$20,MATCH(LEFT($D$277,10)&amp;"",Processor!$A$14:$A$20,0)),TRUE,FALSE))</f>
        <v>1</v>
      </c>
      <c r="AI276" s="185" t="b">
        <f t="shared" si="241"/>
        <v>1</v>
      </c>
      <c r="AJ276" s="185"/>
      <c r="AK276" s="185"/>
      <c r="AL276" s="185" t="s">
        <v>194</v>
      </c>
      <c r="AM276" s="185">
        <v>1</v>
      </c>
      <c r="AN276" s="185" t="str">
        <f t="shared" ca="1" si="242"/>
        <v>Android 13</v>
      </c>
      <c r="AO276" s="185">
        <f t="shared" ca="1" si="242"/>
        <v>11</v>
      </c>
      <c r="AP276" s="185" t="str">
        <f t="shared" ca="1" si="242"/>
        <v>2560x1600</v>
      </c>
      <c r="AQ276" s="185">
        <f t="shared" ca="1" si="242"/>
        <v>128</v>
      </c>
      <c r="AR276" s="185">
        <f t="shared" ca="1" si="242"/>
        <v>5.3</v>
      </c>
      <c r="AS276" s="185" t="str">
        <f t="shared" ca="1" si="242"/>
        <v>802.11a/b/g/n/ac/ax</v>
      </c>
      <c r="AT276" s="185">
        <f t="shared" ca="1" si="242"/>
        <v>13</v>
      </c>
      <c r="AU276" s="185" t="str">
        <f t="shared" ca="1" si="242"/>
        <v>Ej miljömärkt</v>
      </c>
      <c r="AV276" s="185" t="str">
        <f t="shared" ca="1" si="242"/>
        <v>802.11a/b/g/n/ac/ax</v>
      </c>
      <c r="AW276" s="185">
        <f t="shared" ca="1" si="242"/>
        <v>5.3</v>
      </c>
      <c r="AX276" s="185">
        <f t="shared" ca="1" si="243"/>
        <v>13</v>
      </c>
      <c r="AY276" s="185" t="str">
        <f t="shared" ca="1" si="243"/>
        <v>Galaxy Tab S9 Wifi (128GB)</v>
      </c>
      <c r="AZ276" s="185">
        <f t="shared" ca="1" si="243"/>
        <v>0</v>
      </c>
      <c r="BA276" s="185" t="str">
        <f t="shared" ca="1" si="243"/>
        <v>Android 13</v>
      </c>
      <c r="BB276" s="185">
        <f t="shared" ca="1" si="243"/>
        <v>10177</v>
      </c>
      <c r="BC276" s="185">
        <f t="shared" ca="1" si="243"/>
        <v>10177</v>
      </c>
      <c r="BD276" s="192" t="str">
        <f t="shared" ca="1" si="243"/>
        <v>Tolerate</v>
      </c>
      <c r="BE276" s="192" t="str">
        <f t="shared" ca="1" si="243"/>
        <v>Tolerate</v>
      </c>
      <c r="BF276" s="192" t="str">
        <f t="shared" ca="1" si="243"/>
        <v>Samsung</v>
      </c>
      <c r="BG276" s="192" t="str">
        <f t="shared" ca="1" si="243"/>
        <v>Tolerate</v>
      </c>
      <c r="BH276" s="192" t="str">
        <f t="shared" ca="1" si="244"/>
        <v>Samsung</v>
      </c>
      <c r="BI276" s="192" t="str">
        <f t="shared" ca="1" si="244"/>
        <v>TOLERATE ARMOUR FOLIO TAB S9 BULK</v>
      </c>
      <c r="BJ276" s="192" t="str">
        <f t="shared" ca="1" si="244"/>
        <v>TOLERATE GLASS SCREEN PROTECTOR SAMSUNG TAB S9 BULK</v>
      </c>
      <c r="BK276" s="192" t="str">
        <f t="shared" ca="1" si="244"/>
        <v>Samsung Travel Adapter/USB-C till USB-A-kabel - 1.5 m</v>
      </c>
      <c r="BL276" s="192" t="str">
        <f t="shared" ca="1" si="244"/>
        <v xml:space="preserve">TOLERATE KEYBOARD FOLIO SAMSUNG TAB S8 </v>
      </c>
      <c r="BM276" s="192" t="str">
        <f t="shared" ca="1" si="244"/>
        <v>Samsung S-Pen</v>
      </c>
      <c r="BN276" s="192">
        <f t="shared" ca="1" si="244"/>
        <v>461</v>
      </c>
      <c r="BO276" s="192">
        <f t="shared" ca="1" si="244"/>
        <v>281</v>
      </c>
      <c r="BP276" s="192">
        <f t="shared" ca="1" si="244"/>
        <v>386</v>
      </c>
      <c r="BQ276" s="192">
        <f t="shared" ca="1" si="244"/>
        <v>756</v>
      </c>
      <c r="BR276" s="192">
        <f t="shared" ca="1" si="244"/>
        <v>504</v>
      </c>
      <c r="BS276" s="192">
        <f t="shared" ca="1" si="244"/>
        <v>1</v>
      </c>
      <c r="BT276" s="192">
        <f t="shared" ca="1" si="244"/>
        <v>85</v>
      </c>
      <c r="BU276" s="192">
        <f t="shared" ca="1" si="244"/>
        <v>100</v>
      </c>
      <c r="BV276" s="192">
        <f t="shared" ca="1" si="244"/>
        <v>0</v>
      </c>
      <c r="BW276" s="192"/>
      <c r="BX276" s="192"/>
      <c r="BY276" s="192" t="str">
        <f t="shared" ca="1" si="245"/>
        <v>Atea Sverige AB</v>
      </c>
      <c r="BZ276" s="192" t="str">
        <f t="shared" ca="1" si="245"/>
        <v>Samsung</v>
      </c>
      <c r="CA276" s="199" t="s">
        <v>147</v>
      </c>
      <c r="CB276" s="185"/>
      <c r="CC276" s="185"/>
      <c r="CD276" s="185"/>
      <c r="CE276" s="185">
        <v>11</v>
      </c>
      <c r="CF276" s="185"/>
      <c r="CG276" s="192"/>
      <c r="CH276" s="185"/>
      <c r="CI276" s="185"/>
      <c r="CJ276" s="185"/>
      <c r="CK276" s="185"/>
      <c r="CL276" s="185"/>
      <c r="CM276" s="185"/>
      <c r="CN276" s="192"/>
    </row>
    <row r="277" spans="2:94" ht="29.25" customHeight="1" outlineLevel="1" x14ac:dyDescent="0.35">
      <c r="C277" s="61" t="s">
        <v>120</v>
      </c>
      <c r="D277" s="64"/>
      <c r="F277" s="80" t="str">
        <f t="shared" si="246"/>
        <v/>
      </c>
      <c r="G277" s="81">
        <f t="shared" ca="1" si="247"/>
        <v>9</v>
      </c>
      <c r="H277" s="81">
        <f t="shared" ca="1" si="247"/>
        <v>9</v>
      </c>
      <c r="I277" s="121">
        <f t="shared" ca="1" si="247"/>
        <v>10</v>
      </c>
      <c r="J277" s="62"/>
      <c r="Q277" s="185">
        <f t="shared" si="226"/>
        <v>0</v>
      </c>
      <c r="R277" s="185">
        <f t="shared" si="227"/>
        <v>0</v>
      </c>
      <c r="S277" s="185">
        <f t="shared" si="228"/>
        <v>0</v>
      </c>
      <c r="T277" s="185">
        <f t="shared" si="229"/>
        <v>0</v>
      </c>
      <c r="U277" s="185">
        <f t="shared" si="230"/>
        <v>0</v>
      </c>
      <c r="V277" s="185">
        <f t="shared" si="231"/>
        <v>0</v>
      </c>
      <c r="W277" s="185">
        <f t="shared" si="232"/>
        <v>0</v>
      </c>
      <c r="X277" s="185">
        <f t="shared" si="233"/>
        <v>0</v>
      </c>
      <c r="Y277" s="185">
        <f t="shared" si="234"/>
        <v>0</v>
      </c>
      <c r="Z277" s="196">
        <f t="shared" ca="1" si="235"/>
        <v>8276</v>
      </c>
      <c r="AA277" s="185" t="str">
        <f t="shared" si="236"/>
        <v>Offererad produktnr. 10Atea Sverige AB</v>
      </c>
      <c r="AB277" s="185" t="b">
        <f>IF(D271="",TRUE,IF(COUNTIF(Processor!$M$2:$M$3,D271)=0,IF(AN277=D271,TRUE,FALSE),IF(COUNTIF(AN277,INDEX(Processor!$N$2:$N$3,MATCH(Surfplattor!D271,Processor!$M$2:$M$3,0)))&gt;0,TRUE,FALSE)))</f>
        <v>1</v>
      </c>
      <c r="AC277" s="185" t="b">
        <f>IF($D$272="",TRUE,IF(COUNTIF(Processor!$I$2:$I$9,$D$272)&gt;0,AND(AO277&gt;INDEX(Processor!$J$2:$J$9,MATCH($D$272,Processor!$I$2:$I$9,0)),AO277&lt;INDEX(Processor!$K$2:$K$9,MATCH($D$272,Processor!$I$2:$I$9,0))),IF(AO277=$D$272,TRUE,FALSE)))</f>
        <v>1</v>
      </c>
      <c r="AD277" s="185" t="b">
        <f t="shared" si="237"/>
        <v>1</v>
      </c>
      <c r="AE277" s="185" t="b">
        <f t="shared" si="238"/>
        <v>1</v>
      </c>
      <c r="AF277" s="185" t="b">
        <f t="shared" si="239"/>
        <v>1</v>
      </c>
      <c r="AG277" s="185" t="b">
        <f t="shared" si="240"/>
        <v>1</v>
      </c>
      <c r="AH277" s="185" t="b">
        <f>IF($D$277="",TRUE,IF(INDEX(Processor!$C$14:$C$20,MATCH(LEFT(AT277,10)&amp;"",Processor!$A$14:$A$20,0))&gt;=INDEX(Processor!$C$14:$C$20,MATCH(LEFT($D$277,10)&amp;"",Processor!$A$14:$A$20,0)),TRUE,FALSE))</f>
        <v>1</v>
      </c>
      <c r="AI277" s="185" t="b">
        <f t="shared" si="241"/>
        <v>1</v>
      </c>
      <c r="AJ277" s="185"/>
      <c r="AK277" s="185"/>
      <c r="AL277" s="185" t="s">
        <v>195</v>
      </c>
      <c r="AM277" s="185">
        <v>1</v>
      </c>
      <c r="AN277" s="185" t="str">
        <f t="shared" ca="1" si="242"/>
        <v>Android 10</v>
      </c>
      <c r="AO277" s="185">
        <f t="shared" ca="1" si="242"/>
        <v>11.5</v>
      </c>
      <c r="AP277" s="185" t="str">
        <f t="shared" ca="1" si="242"/>
        <v>2560x1600</v>
      </c>
      <c r="AQ277" s="185">
        <f t="shared" ca="1" si="242"/>
        <v>128</v>
      </c>
      <c r="AR277" s="185">
        <f t="shared" ca="1" si="242"/>
        <v>5</v>
      </c>
      <c r="AS277" s="185" t="str">
        <f t="shared" ca="1" si="242"/>
        <v>802.11a/b/g/n/ac</v>
      </c>
      <c r="AT277" s="185">
        <f t="shared" ca="1" si="242"/>
        <v>8</v>
      </c>
      <c r="AU277" s="185" t="str">
        <f t="shared" ca="1" si="242"/>
        <v>Ej miljömärkt</v>
      </c>
      <c r="AV277" s="185" t="str">
        <f t="shared" ca="1" si="242"/>
        <v>802.11a/b/g/n/ac</v>
      </c>
      <c r="AW277" s="185">
        <f t="shared" ca="1" si="242"/>
        <v>5</v>
      </c>
      <c r="AX277" s="185">
        <f t="shared" ca="1" si="243"/>
        <v>8</v>
      </c>
      <c r="AY277" s="185" t="str">
        <f t="shared" ca="1" si="243"/>
        <v>Lenovo Tab P11 Pro</v>
      </c>
      <c r="AZ277" s="185">
        <f t="shared" ca="1" si="243"/>
        <v>0</v>
      </c>
      <c r="BA277" s="185" t="str">
        <f t="shared" ca="1" si="243"/>
        <v>Android 10</v>
      </c>
      <c r="BB277" s="185">
        <f t="shared" ca="1" si="243"/>
        <v>8276</v>
      </c>
      <c r="BC277" s="185">
        <f t="shared" ca="1" si="243"/>
        <v>8276</v>
      </c>
      <c r="BD277" s="192" t="str">
        <f t="shared" ca="1" si="243"/>
        <v>Tolerate</v>
      </c>
      <c r="BE277" s="192" t="str">
        <f t="shared" ca="1" si="243"/>
        <v>Zagg</v>
      </c>
      <c r="BF277" s="192" t="str">
        <f t="shared" ca="1" si="243"/>
        <v>Lenovo</v>
      </c>
      <c r="BG277" s="192" t="str">
        <f t="shared" ca="1" si="243"/>
        <v>Lenovo</v>
      </c>
      <c r="BH277" s="192" t="str">
        <f t="shared" ca="1" si="244"/>
        <v>Lenovo</v>
      </c>
      <c r="BI277" s="192" t="str">
        <f t="shared" ca="1" si="244"/>
        <v>TOLERATE ARMOR FOLIO LENOVO TAB 11 PRO</v>
      </c>
      <c r="BJ277" s="192" t="str">
        <f t="shared" ca="1" si="244"/>
        <v>InvisibleShield Glass Elite+</v>
      </c>
      <c r="BK277" s="192" t="str">
        <f t="shared" ca="1" si="244"/>
        <v xml:space="preserve">Lenovo Smart Charge station </v>
      </c>
      <c r="BL277" s="192" t="str">
        <f t="shared" ca="1" si="244"/>
        <v>Lenovo P11 Pro Keyboard</v>
      </c>
      <c r="BM277" s="192" t="str">
        <f t="shared" ca="1" si="244"/>
        <v>Lenovo Precision Pen 2</v>
      </c>
      <c r="BN277" s="192">
        <f t="shared" ca="1" si="244"/>
        <v>502</v>
      </c>
      <c r="BO277" s="192">
        <f t="shared" ca="1" si="244"/>
        <v>293</v>
      </c>
      <c r="BP277" s="192">
        <f t="shared" ca="1" si="244"/>
        <v>324</v>
      </c>
      <c r="BQ277" s="192">
        <f t="shared" ca="1" si="244"/>
        <v>1138</v>
      </c>
      <c r="BR277" s="192">
        <f t="shared" ca="1" si="244"/>
        <v>718</v>
      </c>
      <c r="BS277" s="192">
        <f t="shared" ca="1" si="244"/>
        <v>1</v>
      </c>
      <c r="BT277" s="192">
        <f t="shared" ca="1" si="244"/>
        <v>85</v>
      </c>
      <c r="BU277" s="192">
        <f t="shared" ca="1" si="244"/>
        <v>100</v>
      </c>
      <c r="BV277" s="192">
        <f t="shared" ca="1" si="244"/>
        <v>0</v>
      </c>
      <c r="BW277" s="192"/>
      <c r="BX277" s="192"/>
      <c r="BY277" s="192" t="str">
        <f t="shared" ca="1" si="245"/>
        <v>Atea Sverige AB</v>
      </c>
      <c r="BZ277" s="192" t="str">
        <f t="shared" ca="1" si="245"/>
        <v>Lenovo</v>
      </c>
      <c r="CA277" s="199"/>
      <c r="CB277" s="185"/>
      <c r="CC277" s="185"/>
      <c r="CD277" s="185"/>
      <c r="CE277" s="185">
        <v>11.5</v>
      </c>
      <c r="CF277" s="185"/>
      <c r="CG277" s="185"/>
      <c r="CH277" s="185"/>
      <c r="CI277" s="185"/>
      <c r="CJ277" s="185"/>
      <c r="CK277" s="192"/>
      <c r="CL277" s="185"/>
      <c r="CM277" s="185"/>
      <c r="CN277" s="185"/>
    </row>
    <row r="278" spans="2:94" ht="29.25" customHeight="1" outlineLevel="1" x14ac:dyDescent="0.35">
      <c r="C278" s="61" t="s">
        <v>39</v>
      </c>
      <c r="D278" s="64"/>
      <c r="F278" s="78" t="str">
        <f t="shared" si="246"/>
        <v/>
      </c>
      <c r="G278" s="79" t="str">
        <f t="shared" ca="1" si="247"/>
        <v>Ej miljömärkt</v>
      </c>
      <c r="H278" s="79" t="str">
        <f t="shared" ca="1" si="247"/>
        <v>Ej miljömärkt</v>
      </c>
      <c r="I278" s="120" t="str">
        <f t="shared" ca="1" si="247"/>
        <v>Ej miljömärkt</v>
      </c>
      <c r="J278" s="62"/>
      <c r="Q278" s="185">
        <f t="shared" si="226"/>
        <v>0</v>
      </c>
      <c r="R278" s="185">
        <f t="shared" si="227"/>
        <v>0</v>
      </c>
      <c r="S278" s="185">
        <f t="shared" si="228"/>
        <v>0</v>
      </c>
      <c r="T278" s="185">
        <f t="shared" si="229"/>
        <v>0</v>
      </c>
      <c r="U278" s="185">
        <f t="shared" si="230"/>
        <v>0</v>
      </c>
      <c r="V278" s="185">
        <f t="shared" si="231"/>
        <v>0</v>
      </c>
      <c r="W278" s="185">
        <f t="shared" si="232"/>
        <v>0</v>
      </c>
      <c r="X278" s="185">
        <f t="shared" si="233"/>
        <v>0</v>
      </c>
      <c r="Y278" s="185">
        <f t="shared" si="234"/>
        <v>0</v>
      </c>
      <c r="Z278" s="196">
        <f t="shared" ca="1" si="235"/>
        <v>3261</v>
      </c>
      <c r="AA278" s="185" t="str">
        <f t="shared" si="236"/>
        <v>Offererad produktnr. 07Dustin Sverige AB</v>
      </c>
      <c r="AB278" s="185" t="b">
        <f>IF(D271="",TRUE,IF(COUNTIF(Processor!$M$2:$M$3,D271)=0,IF(AN278=D271,TRUE,FALSE),IF(COUNTIF(AN278,INDEX(Processor!$N$2:$N$3,MATCH(Surfplattor!D271,Processor!$M$2:$M$3,0)))&gt;0,TRUE,FALSE)))</f>
        <v>1</v>
      </c>
      <c r="AC278" s="185" t="b">
        <f>IF($D$272="",TRUE,IF(COUNTIF(Processor!$I$2:$I$9,$D$272)&gt;0,AND(AO278&gt;INDEX(Processor!$J$2:$J$9,MATCH($D$272,Processor!$I$2:$I$9,0)),AO278&lt;INDEX(Processor!$K$2:$K$9,MATCH($D$272,Processor!$I$2:$I$9,0))),IF(AO278=$D$272,TRUE,FALSE)))</f>
        <v>1</v>
      </c>
      <c r="AD278" s="185" t="b">
        <f t="shared" si="237"/>
        <v>1</v>
      </c>
      <c r="AE278" s="185" t="b">
        <f t="shared" si="238"/>
        <v>1</v>
      </c>
      <c r="AF278" s="185" t="b">
        <f t="shared" si="239"/>
        <v>1</v>
      </c>
      <c r="AG278" s="185" t="b">
        <f t="shared" si="240"/>
        <v>1</v>
      </c>
      <c r="AH278" s="185" t="b">
        <f>IF($D$277="",TRUE,IF(INDEX(Processor!$C$14:$C$20,MATCH(LEFT(AT278,10)&amp;"",Processor!$A$14:$A$20,0))&gt;=INDEX(Processor!$C$14:$C$20,MATCH(LEFT($D$277,10)&amp;"",Processor!$A$14:$A$20,0)),TRUE,FALSE))</f>
        <v>1</v>
      </c>
      <c r="AI278" s="185" t="b">
        <f t="shared" si="241"/>
        <v>1</v>
      </c>
      <c r="AJ278" s="185"/>
      <c r="AK278" s="185"/>
      <c r="AL278" s="185" t="s">
        <v>180</v>
      </c>
      <c r="AM278" s="185">
        <v>1</v>
      </c>
      <c r="AN278" s="185" t="str">
        <f t="shared" ca="1" si="242"/>
        <v>Android 11</v>
      </c>
      <c r="AO278" s="185">
        <f t="shared" ca="1" si="242"/>
        <v>10.4</v>
      </c>
      <c r="AP278" s="185" t="str">
        <f t="shared" ca="1" si="242"/>
        <v>2000x1200</v>
      </c>
      <c r="AQ278" s="185">
        <f t="shared" ca="1" si="242"/>
        <v>64</v>
      </c>
      <c r="AR278" s="185">
        <f t="shared" ca="1" si="242"/>
        <v>5</v>
      </c>
      <c r="AS278" s="185" t="str">
        <f t="shared" ca="1" si="242"/>
        <v>802.11a/b/g/n/ac</v>
      </c>
      <c r="AT278" s="185">
        <f t="shared" ca="1" si="242"/>
        <v>12</v>
      </c>
      <c r="AU278" s="185" t="str">
        <f t="shared" ca="1" si="242"/>
        <v>EPEAT Bronze (Canada)</v>
      </c>
      <c r="AV278" s="185" t="str">
        <f t="shared" ca="1" si="242"/>
        <v>802.11a/b/g/n/ac</v>
      </c>
      <c r="AW278" s="185">
        <f t="shared" ca="1" si="242"/>
        <v>5</v>
      </c>
      <c r="AX278" s="185">
        <f t="shared" ca="1" si="243"/>
        <v>12</v>
      </c>
      <c r="AY278" s="185" t="str">
        <f t="shared" ca="1" si="243"/>
        <v>Galaxy Tab S6 Lite WiFi (64GB)</v>
      </c>
      <c r="AZ278" s="185">
        <f t="shared" ca="1" si="243"/>
        <v>0</v>
      </c>
      <c r="BA278" s="185" t="str">
        <f t="shared" ca="1" si="243"/>
        <v>Android 11</v>
      </c>
      <c r="BB278" s="185">
        <f t="shared" ca="1" si="243"/>
        <v>3261</v>
      </c>
      <c r="BC278" s="185">
        <f t="shared" ca="1" si="243"/>
        <v>3261</v>
      </c>
      <c r="BD278" s="192" t="str">
        <f t="shared" ca="1" si="243"/>
        <v>Samsung</v>
      </c>
      <c r="BE278" s="192" t="str">
        <f t="shared" ca="1" si="243"/>
        <v>Hama</v>
      </c>
      <c r="BF278" s="192" t="str">
        <f t="shared" ca="1" si="243"/>
        <v>Samsung</v>
      </c>
      <c r="BG278" s="192" t="str">
        <f t="shared" ca="1" si="243"/>
        <v>Voxicon</v>
      </c>
      <c r="BH278" s="192" t="str">
        <f t="shared" ca="1" si="244"/>
        <v>Samsung</v>
      </c>
      <c r="BI278" s="192" t="str">
        <f t="shared" ca="1" si="244"/>
        <v>GH96-13408A</v>
      </c>
      <c r="BJ278" s="192" t="str">
        <f t="shared" ca="1" si="244"/>
        <v>KAP12483</v>
      </c>
      <c r="BK278" s="192" t="str">
        <f t="shared" ca="1" si="244"/>
        <v>EP-T1510NBEGEU / EP-TA20EWECGWW</v>
      </c>
      <c r="BL278" s="192" t="str">
        <f t="shared" ca="1" si="244"/>
        <v>DK-199B-G</v>
      </c>
      <c r="BM278" s="192" t="str">
        <f t="shared" ca="1" si="244"/>
        <v>EJ-PP610BJEGEU / EJ-PP610BLEGEU</v>
      </c>
      <c r="BN278" s="192">
        <f t="shared" ca="1" si="244"/>
        <v>518</v>
      </c>
      <c r="BO278" s="192">
        <f t="shared" ca="1" si="244"/>
        <v>219</v>
      </c>
      <c r="BP278" s="192">
        <f t="shared" ca="1" si="244"/>
        <v>111</v>
      </c>
      <c r="BQ278" s="192">
        <f t="shared" ca="1" si="244"/>
        <v>936</v>
      </c>
      <c r="BR278" s="192">
        <f t="shared" ca="1" si="244"/>
        <v>305</v>
      </c>
      <c r="BS278" s="192">
        <f t="shared" ca="1" si="244"/>
        <v>532</v>
      </c>
      <c r="BT278" s="192">
        <f t="shared" ca="1" si="244"/>
        <v>20</v>
      </c>
      <c r="BU278" s="192">
        <f t="shared" ca="1" si="244"/>
        <v>20</v>
      </c>
      <c r="BV278" s="192">
        <f t="shared" ca="1" si="244"/>
        <v>0</v>
      </c>
      <c r="BW278" s="192"/>
      <c r="BX278" s="192"/>
      <c r="BY278" s="192" t="str">
        <f t="shared" ca="1" si="245"/>
        <v>Dustin Sverige AB</v>
      </c>
      <c r="BZ278" s="192" t="str">
        <f t="shared" ca="1" si="245"/>
        <v>Samsung</v>
      </c>
      <c r="CA278" s="199"/>
      <c r="CB278" s="185"/>
      <c r="CC278" s="185"/>
      <c r="CD278" s="185"/>
      <c r="CE278" s="186">
        <v>12.4</v>
      </c>
      <c r="CF278" s="185"/>
      <c r="CG278" s="185"/>
      <c r="CH278" s="185"/>
      <c r="CI278" s="185"/>
      <c r="CJ278" s="185"/>
      <c r="CK278" s="185"/>
      <c r="CL278" s="185"/>
      <c r="CM278" s="185"/>
      <c r="CN278" s="185"/>
    </row>
    <row r="279" spans="2:94" ht="22.5" customHeight="1" outlineLevel="1" x14ac:dyDescent="0.35">
      <c r="C279" s="66"/>
      <c r="D279" s="67"/>
      <c r="G279" s="62"/>
      <c r="H279" s="62"/>
      <c r="I279" s="62"/>
      <c r="J279" s="62"/>
      <c r="Q279" s="185">
        <f t="shared" si="226"/>
        <v>0</v>
      </c>
      <c r="R279" s="185">
        <f t="shared" si="227"/>
        <v>0</v>
      </c>
      <c r="S279" s="185">
        <f t="shared" si="228"/>
        <v>0</v>
      </c>
      <c r="T279" s="185">
        <f t="shared" si="229"/>
        <v>0</v>
      </c>
      <c r="U279" s="185">
        <f t="shared" si="230"/>
        <v>0</v>
      </c>
      <c r="V279" s="185">
        <f t="shared" si="231"/>
        <v>0</v>
      </c>
      <c r="W279" s="185">
        <f t="shared" si="232"/>
        <v>0</v>
      </c>
      <c r="X279" s="185">
        <f t="shared" si="233"/>
        <v>0</v>
      </c>
      <c r="Y279" s="185">
        <f t="shared" si="234"/>
        <v>0</v>
      </c>
      <c r="Z279" s="196">
        <f t="shared" ca="1" si="235"/>
        <v>3751</v>
      </c>
      <c r="AA279" s="185" t="str">
        <f t="shared" si="236"/>
        <v>Offererad produktnr. 08Dustin Sverige AB</v>
      </c>
      <c r="AB279" s="185" t="b">
        <f>IF(D271="",TRUE,IF(COUNTIF(Processor!$M$2:$M$3,D271)=0,IF(AN279=D271,TRUE,FALSE),IF(COUNTIF(AN279,INDEX(Processor!$N$2:$N$3,MATCH(Surfplattor!D271,Processor!$M$2:$M$3,0)))&gt;0,TRUE,FALSE)))</f>
        <v>1</v>
      </c>
      <c r="AC279" s="185" t="b">
        <f>IF($D$272="",TRUE,IF(COUNTIF(Processor!$I$2:$I$9,$D$272)&gt;0,AND(AO279&gt;INDEX(Processor!$J$2:$J$9,MATCH($D$272,Processor!$I$2:$I$9,0)),AO279&lt;INDEX(Processor!$K$2:$K$9,MATCH($D$272,Processor!$I$2:$I$9,0))),IF(AO279=$D$272,TRUE,FALSE)))</f>
        <v>1</v>
      </c>
      <c r="AD279" s="185" t="b">
        <f t="shared" si="237"/>
        <v>1</v>
      </c>
      <c r="AE279" s="185" t="b">
        <f t="shared" si="238"/>
        <v>1</v>
      </c>
      <c r="AF279" s="185" t="b">
        <f t="shared" si="239"/>
        <v>1</v>
      </c>
      <c r="AG279" s="185" t="b">
        <f t="shared" si="240"/>
        <v>1</v>
      </c>
      <c r="AH279" s="185" t="b">
        <f>IF($D$277="",TRUE,IF(INDEX(Processor!$C$14:$C$20,MATCH(LEFT(AT279,10)&amp;"",Processor!$A$14:$A$20,0))&gt;=INDEX(Processor!$C$14:$C$20,MATCH(LEFT($D$277,10)&amp;"",Processor!$A$14:$A$20,0)),TRUE,FALSE))</f>
        <v>1</v>
      </c>
      <c r="AI279" s="185" t="b">
        <f t="shared" si="241"/>
        <v>1</v>
      </c>
      <c r="AJ279" s="185"/>
      <c r="AK279" s="185"/>
      <c r="AL279" s="185" t="s">
        <v>181</v>
      </c>
      <c r="AM279" s="185">
        <v>1</v>
      </c>
      <c r="AN279" s="185" t="str">
        <f t="shared" ca="1" si="242"/>
        <v>iPadOS 14</v>
      </c>
      <c r="AO279" s="185">
        <f t="shared" ca="1" si="242"/>
        <v>10.199999999999999</v>
      </c>
      <c r="AP279" s="185" t="str">
        <f t="shared" ca="1" si="242"/>
        <v>2160x1620</v>
      </c>
      <c r="AQ279" s="185">
        <f t="shared" ca="1" si="242"/>
        <v>64</v>
      </c>
      <c r="AR279" s="185">
        <f t="shared" ca="1" si="242"/>
        <v>4.2</v>
      </c>
      <c r="AS279" s="185" t="str">
        <f t="shared" ca="1" si="242"/>
        <v>802.11a/b/g/n/ac</v>
      </c>
      <c r="AT279" s="185">
        <f t="shared" ca="1" si="242"/>
        <v>10</v>
      </c>
      <c r="AU279" s="185" t="str">
        <f t="shared" ca="1" si="242"/>
        <v>EPEAT Gold</v>
      </c>
      <c r="AV279" s="185" t="str">
        <f t="shared" ca="1" si="242"/>
        <v>802.11a/b/g/n/ac</v>
      </c>
      <c r="AW279" s="185">
        <f t="shared" ca="1" si="242"/>
        <v>4.2</v>
      </c>
      <c r="AX279" s="185">
        <f t="shared" ca="1" si="243"/>
        <v>10</v>
      </c>
      <c r="AY279" s="185" t="str">
        <f t="shared" ca="1" si="243"/>
        <v>iPad 9th gen</v>
      </c>
      <c r="AZ279" s="185">
        <f t="shared" ca="1" si="243"/>
        <v>0</v>
      </c>
      <c r="BA279" s="185" t="str">
        <f t="shared" ca="1" si="243"/>
        <v>iPadOS 14</v>
      </c>
      <c r="BB279" s="185">
        <f t="shared" ca="1" si="243"/>
        <v>3751</v>
      </c>
      <c r="BC279" s="185">
        <f t="shared" ca="1" si="243"/>
        <v>3751</v>
      </c>
      <c r="BD279" s="192" t="str">
        <f t="shared" ca="1" si="243"/>
        <v>Cirafon</v>
      </c>
      <c r="BE279" s="192" t="str">
        <f t="shared" ca="1" si="243"/>
        <v>Cirafon</v>
      </c>
      <c r="BF279" s="192" t="str">
        <f t="shared" ca="1" si="243"/>
        <v>Cirafon</v>
      </c>
      <c r="BG279" s="192" t="str">
        <f t="shared" ca="1" si="243"/>
        <v>Voxicon</v>
      </c>
      <c r="BH279" s="192" t="str">
        <f t="shared" ca="1" si="244"/>
        <v>Zagg</v>
      </c>
      <c r="BI279" s="192" t="str">
        <f t="shared" ca="1" si="244"/>
        <v>APD9-HBSFO-BLCK</v>
      </c>
      <c r="BJ279" s="192" t="str">
        <f t="shared" ca="1" si="244"/>
        <v>CG-TG-APL-IDP102</v>
      </c>
      <c r="BK279" s="192" t="str">
        <f t="shared" ca="1" si="244"/>
        <v>PD20E-1TGA-W/DMA-038#KIT</v>
      </c>
      <c r="BL279" s="192" t="str">
        <f t="shared" ca="1" si="244"/>
        <v>DK-400B-WHT</v>
      </c>
      <c r="BM279" s="192">
        <f t="shared" ca="1" si="244"/>
        <v>109907068</v>
      </c>
      <c r="BN279" s="192">
        <f t="shared" ca="1" si="244"/>
        <v>347</v>
      </c>
      <c r="BO279" s="192">
        <f t="shared" ca="1" si="244"/>
        <v>234</v>
      </c>
      <c r="BP279" s="192">
        <f t="shared" ca="1" si="244"/>
        <v>309</v>
      </c>
      <c r="BQ279" s="192">
        <f t="shared" ca="1" si="244"/>
        <v>407</v>
      </c>
      <c r="BR279" s="192">
        <f t="shared" ca="1" si="244"/>
        <v>373</v>
      </c>
      <c r="BS279" s="192">
        <f t="shared" ca="1" si="244"/>
        <v>532</v>
      </c>
      <c r="BT279" s="192">
        <f t="shared" ca="1" si="244"/>
        <v>20</v>
      </c>
      <c r="BU279" s="192">
        <f t="shared" ca="1" si="244"/>
        <v>20</v>
      </c>
      <c r="BV279" s="192">
        <f t="shared" ca="1" si="244"/>
        <v>0</v>
      </c>
      <c r="BW279" s="192"/>
      <c r="BX279" s="192"/>
      <c r="BY279" s="192" t="str">
        <f t="shared" ca="1" si="245"/>
        <v>Dustin Sverige AB</v>
      </c>
      <c r="BZ279" s="192" t="str">
        <f t="shared" ca="1" si="245"/>
        <v>Apple</v>
      </c>
      <c r="CA279" s="199"/>
      <c r="CB279" s="185"/>
      <c r="CC279" s="185"/>
      <c r="CD279" s="185"/>
      <c r="CE279" s="185"/>
      <c r="CF279" s="185"/>
      <c r="CG279" s="185"/>
      <c r="CH279" s="185"/>
      <c r="CI279" s="185"/>
      <c r="CJ279" s="185"/>
      <c r="CK279" s="185"/>
      <c r="CL279" s="185"/>
      <c r="CM279" s="185"/>
      <c r="CN279" s="185"/>
    </row>
    <row r="280" spans="2:94" ht="22.5" customHeight="1" outlineLevel="1" x14ac:dyDescent="0.35">
      <c r="C280" s="212" t="s">
        <v>366</v>
      </c>
      <c r="D280" s="213"/>
      <c r="E280" s="213"/>
      <c r="F280" s="213"/>
      <c r="G280" s="213"/>
      <c r="H280" s="213"/>
      <c r="I280" s="214"/>
      <c r="J280" s="94"/>
      <c r="Q280" s="185">
        <f t="shared" si="226"/>
        <v>0</v>
      </c>
      <c r="R280" s="185">
        <f t="shared" si="227"/>
        <v>0</v>
      </c>
      <c r="S280" s="185">
        <f t="shared" si="228"/>
        <v>0</v>
      </c>
      <c r="T280" s="185">
        <f t="shared" si="229"/>
        <v>0</v>
      </c>
      <c r="U280" s="185">
        <f t="shared" si="230"/>
        <v>0</v>
      </c>
      <c r="V280" s="185">
        <f t="shared" si="231"/>
        <v>0</v>
      </c>
      <c r="W280" s="185">
        <f t="shared" si="232"/>
        <v>0</v>
      </c>
      <c r="X280" s="185">
        <f t="shared" si="233"/>
        <v>0</v>
      </c>
      <c r="Y280" s="185">
        <f t="shared" si="234"/>
        <v>0</v>
      </c>
      <c r="Z280" s="196">
        <f t="shared" ca="1" si="235"/>
        <v>5710</v>
      </c>
      <c r="AA280" s="185" t="str">
        <f t="shared" si="236"/>
        <v>Offererad produktnr. 09Dustin Sverige AB</v>
      </c>
      <c r="AB280" s="185" t="b">
        <f>IF(D271="",TRUE,IF(COUNTIF(Processor!$M$2:$M$3,D271)=0,IF(AN280=D271,TRUE,FALSE),IF(COUNTIF(AN280,INDEX(Processor!$N$2:$N$3,MATCH(Surfplattor!D271,Processor!$M$2:$M$3,0)))&gt;0,TRUE,FALSE)))</f>
        <v>1</v>
      </c>
      <c r="AC280" s="185" t="b">
        <f>IF($D$272="",TRUE,IF(COUNTIF(Processor!$I$2:$I$9,$D$272)&gt;0,AND(AO280&gt;INDEX(Processor!$J$2:$J$9,MATCH($D$272,Processor!$I$2:$I$9,0)),AO280&lt;INDEX(Processor!$K$2:$K$9,MATCH($D$272,Processor!$I$2:$I$9,0))),IF(AO280=$D$272,TRUE,FALSE)))</f>
        <v>1</v>
      </c>
      <c r="AD280" s="185" t="b">
        <f t="shared" si="237"/>
        <v>1</v>
      </c>
      <c r="AE280" s="185" t="b">
        <f t="shared" si="238"/>
        <v>1</v>
      </c>
      <c r="AF280" s="185" t="b">
        <f t="shared" si="239"/>
        <v>1</v>
      </c>
      <c r="AG280" s="185" t="b">
        <f t="shared" si="240"/>
        <v>1</v>
      </c>
      <c r="AH280" s="185" t="b">
        <f>IF($D$277="",TRUE,IF(INDEX(Processor!$C$14:$C$20,MATCH(LEFT(AT280,10)&amp;"",Processor!$A$14:$A$20,0))&gt;=INDEX(Processor!$C$14:$C$20,MATCH(LEFT($D$277,10)&amp;"",Processor!$A$14:$A$20,0)),TRUE,FALSE))</f>
        <v>1</v>
      </c>
      <c r="AI280" s="185" t="b">
        <f t="shared" si="241"/>
        <v>1</v>
      </c>
      <c r="AJ280" s="185"/>
      <c r="AK280" s="185"/>
      <c r="AL280" s="185" t="s">
        <v>182</v>
      </c>
      <c r="AM280" s="185">
        <v>1</v>
      </c>
      <c r="AN280" s="185" t="str">
        <f t="shared" ref="AN280:AW289" ca="1" si="248">IFERROR(INDEX(INDIRECT(AN$265&amp;"!$A$10:CC100000"),MATCH($AL280,INDIRECT(AN$265&amp;"!BH$10:BH100000"),0),MATCH(AN$267,INDIRECT(AN$265&amp;"!a10:CC10"),0)),"False")</f>
        <v>Android 13</v>
      </c>
      <c r="AO280" s="185">
        <f t="shared" ca="1" si="248"/>
        <v>11</v>
      </c>
      <c r="AP280" s="185" t="str">
        <f t="shared" ca="1" si="248"/>
        <v>2560x1600</v>
      </c>
      <c r="AQ280" s="185">
        <f t="shared" ca="1" si="248"/>
        <v>128</v>
      </c>
      <c r="AR280" s="185">
        <f t="shared" ca="1" si="248"/>
        <v>5.3</v>
      </c>
      <c r="AS280" s="185" t="str">
        <f t="shared" ca="1" si="248"/>
        <v>802.11a/b/g/n/ac/ax</v>
      </c>
      <c r="AT280" s="185">
        <f t="shared" ca="1" si="248"/>
        <v>13</v>
      </c>
      <c r="AU280" s="185" t="str">
        <f t="shared" ca="1" si="248"/>
        <v>EPEAT Bronze (Canada)</v>
      </c>
      <c r="AV280" s="185" t="str">
        <f t="shared" ca="1" si="248"/>
        <v>802.11a/b/g/n/ac/ax</v>
      </c>
      <c r="AW280" s="185">
        <f t="shared" ca="1" si="248"/>
        <v>5.3</v>
      </c>
      <c r="AX280" s="185">
        <f t="shared" ref="AX280:BG289" ca="1" si="249">IFERROR(INDEX(INDIRECT(AX$265&amp;"!$A$10:CC100000"),MATCH($AL280,INDIRECT(AX$265&amp;"!BH$10:BH100000"),0),MATCH(AX$267,INDIRECT(AX$265&amp;"!a10:CC10"),0)),"False")</f>
        <v>13</v>
      </c>
      <c r="AY280" s="185" t="str">
        <f t="shared" ca="1" si="249"/>
        <v>Galaxy Tab S9</v>
      </c>
      <c r="AZ280" s="185">
        <f t="shared" ca="1" si="249"/>
        <v>0</v>
      </c>
      <c r="BA280" s="185" t="str">
        <f t="shared" ca="1" si="249"/>
        <v>Android 13</v>
      </c>
      <c r="BB280" s="185">
        <f t="shared" ca="1" si="249"/>
        <v>5710</v>
      </c>
      <c r="BC280" s="185">
        <f t="shared" ca="1" si="249"/>
        <v>5710</v>
      </c>
      <c r="BD280" s="192" t="str">
        <f t="shared" ca="1" si="249"/>
        <v>UAG METROPOLIS SE</v>
      </c>
      <c r="BE280" s="192" t="str">
        <f t="shared" ca="1" si="249"/>
        <v>Panzerglass</v>
      </c>
      <c r="BF280" s="192" t="str">
        <f t="shared" ca="1" si="249"/>
        <v xml:space="preserve">Samsung </v>
      </c>
      <c r="BG280" s="192" t="str">
        <f t="shared" ca="1" si="249"/>
        <v>Voxicon</v>
      </c>
      <c r="BH280" s="192" t="str">
        <f t="shared" ref="BH280:BV289" ca="1" si="250">IFERROR(INDEX(INDIRECT(BH$265&amp;"!$A$10:CC100000"),MATCH($AL280,INDIRECT(BH$265&amp;"!BH$10:BH100000"),0),MATCH(BH$267,INDIRECT(BH$265&amp;"!a10:CC10"),0)),"False")</f>
        <v>INGÅR</v>
      </c>
      <c r="BI280" s="192">
        <f t="shared" ca="1" si="250"/>
        <v>224339114040</v>
      </c>
      <c r="BJ280" s="192">
        <f t="shared" ca="1" si="250"/>
        <v>7332</v>
      </c>
      <c r="BK280" s="192" t="str">
        <f t="shared" ca="1" si="250"/>
        <v>EP-T1510NBEGEU / EP-TA20EWECGWW</v>
      </c>
      <c r="BL280" s="192" t="str">
        <f t="shared" ca="1" si="250"/>
        <v>DK-199B-G</v>
      </c>
      <c r="BM280" s="192">
        <f t="shared" ca="1" si="250"/>
        <v>0</v>
      </c>
      <c r="BN280" s="192">
        <f t="shared" ca="1" si="250"/>
        <v>419</v>
      </c>
      <c r="BO280" s="192">
        <f t="shared" ca="1" si="250"/>
        <v>269</v>
      </c>
      <c r="BP280" s="192">
        <f t="shared" ca="1" si="250"/>
        <v>111</v>
      </c>
      <c r="BQ280" s="192">
        <f t="shared" ca="1" si="250"/>
        <v>866</v>
      </c>
      <c r="BR280" s="192">
        <f t="shared" ca="1" si="250"/>
        <v>0</v>
      </c>
      <c r="BS280" s="192">
        <f t="shared" ca="1" si="250"/>
        <v>532</v>
      </c>
      <c r="BT280" s="192">
        <f t="shared" ca="1" si="250"/>
        <v>20</v>
      </c>
      <c r="BU280" s="192">
        <f t="shared" ca="1" si="250"/>
        <v>20</v>
      </c>
      <c r="BV280" s="192">
        <f t="shared" ca="1" si="250"/>
        <v>0</v>
      </c>
      <c r="BW280" s="192"/>
      <c r="BX280" s="192"/>
      <c r="BY280" s="192" t="str">
        <f t="shared" ca="1" si="245"/>
        <v>Dustin Sverige AB</v>
      </c>
      <c r="BZ280" s="192" t="str">
        <f t="shared" ca="1" si="245"/>
        <v>Samsung</v>
      </c>
      <c r="CE280" s="101"/>
    </row>
    <row r="281" spans="2:94" ht="30" customHeight="1" outlineLevel="1" x14ac:dyDescent="0.35">
      <c r="B281" s="69" t="s">
        <v>53</v>
      </c>
      <c r="C281" s="115" t="s">
        <v>372</v>
      </c>
      <c r="D281" s="70"/>
      <c r="F281" s="161" t="str">
        <f t="shared" ref="F281:F295" si="251">IF(F$268="Inget antal angivet","",IFERROR(INDEX($AN$269:$BZ$295,MATCH(F$265,$AL$269:$AL$295,0),MATCH($B281,$AN$269:$BZ$269,0)),""))</f>
        <v/>
      </c>
      <c r="G281" s="162">
        <f t="shared" ref="G281:I295" ca="1" si="252">IFERROR(INDEX($AN$269:$BZ$295,MATCH(G$265,$AL$269:$AL$295,0),MATCH($B281,$AN$269:$BZ$269,0)),"")</f>
        <v>325</v>
      </c>
      <c r="H281" s="162">
        <f t="shared" ca="1" si="252"/>
        <v>251</v>
      </c>
      <c r="I281" s="162">
        <f t="shared" ca="1" si="252"/>
        <v>460</v>
      </c>
      <c r="J281" s="62"/>
      <c r="Q281" s="185">
        <f t="shared" si="226"/>
        <v>0</v>
      </c>
      <c r="R281" s="185">
        <f t="shared" si="227"/>
        <v>0</v>
      </c>
      <c r="S281" s="185">
        <f t="shared" si="228"/>
        <v>0</v>
      </c>
      <c r="T281" s="185">
        <f t="shared" si="229"/>
        <v>0</v>
      </c>
      <c r="U281" s="185">
        <f t="shared" si="230"/>
        <v>0</v>
      </c>
      <c r="V281" s="185">
        <f t="shared" si="231"/>
        <v>0</v>
      </c>
      <c r="W281" s="185">
        <f t="shared" si="232"/>
        <v>0</v>
      </c>
      <c r="X281" s="185">
        <f t="shared" si="233"/>
        <v>0</v>
      </c>
      <c r="Y281" s="185">
        <f t="shared" si="234"/>
        <v>0</v>
      </c>
      <c r="Z281" s="196">
        <f t="shared" ca="1" si="235"/>
        <v>10190</v>
      </c>
      <c r="AA281" s="185" t="str">
        <f t="shared" si="236"/>
        <v>Offererad produktnr. 10Dustin Sverige AB</v>
      </c>
      <c r="AB281" s="185" t="b">
        <f>IF(D271="",TRUE,IF(COUNTIF(Processor!$M$2:$M$3,D271)=0,IF(AN281=D271,TRUE,FALSE),IF(COUNTIF(AN281,INDEX(Processor!$N$2:$N$3,MATCH(Surfplattor!D271,Processor!$M$2:$M$3,0)))&gt;0,TRUE,FALSE)))</f>
        <v>1</v>
      </c>
      <c r="AC281" s="185" t="b">
        <f>IF($D$272="",TRUE,IF(COUNTIF(Processor!$I$2:$I$9,$D$272)&gt;0,AND(AO281&gt;INDEX(Processor!$J$2:$J$9,MATCH($D$272,Processor!$I$2:$I$9,0)),AO281&lt;INDEX(Processor!$K$2:$K$9,MATCH($D$272,Processor!$I$2:$I$9,0))),IF(AO281=$D$272,TRUE,FALSE)))</f>
        <v>1</v>
      </c>
      <c r="AD281" s="185" t="b">
        <f t="shared" si="237"/>
        <v>1</v>
      </c>
      <c r="AE281" s="185" t="b">
        <f t="shared" si="238"/>
        <v>1</v>
      </c>
      <c r="AF281" s="185" t="b">
        <f t="shared" si="239"/>
        <v>1</v>
      </c>
      <c r="AG281" s="185" t="b">
        <f t="shared" si="240"/>
        <v>1</v>
      </c>
      <c r="AH281" s="185" t="b">
        <f>IF($D$277="",TRUE,IF(INDEX(Processor!$C$14:$C$20,MATCH(LEFT(AT281,10)&amp;"",Processor!$A$14:$A$20,0))&gt;=INDEX(Processor!$C$14:$C$20,MATCH(LEFT($D$277,10)&amp;"",Processor!$A$14:$A$20,0)),TRUE,FALSE))</f>
        <v>1</v>
      </c>
      <c r="AI281" s="185" t="b">
        <f t="shared" si="241"/>
        <v>1</v>
      </c>
      <c r="AJ281" s="185"/>
      <c r="AK281" s="185"/>
      <c r="AL281" s="185" t="s">
        <v>183</v>
      </c>
      <c r="AM281" s="185">
        <v>1</v>
      </c>
      <c r="AN281" s="185" t="str">
        <f t="shared" ca="1" si="248"/>
        <v>Android 13</v>
      </c>
      <c r="AO281" s="185">
        <f t="shared" ca="1" si="248"/>
        <v>12.4</v>
      </c>
      <c r="AP281" s="185" t="str">
        <f t="shared" ca="1" si="248"/>
        <v>2800x1752</v>
      </c>
      <c r="AQ281" s="185">
        <f t="shared" ca="1" si="248"/>
        <v>256</v>
      </c>
      <c r="AR281" s="185">
        <f t="shared" ca="1" si="248"/>
        <v>5.3</v>
      </c>
      <c r="AS281" s="185" t="str">
        <f t="shared" ca="1" si="248"/>
        <v>802.11a/b/g/n/ac/ax</v>
      </c>
      <c r="AT281" s="185">
        <f t="shared" ca="1" si="248"/>
        <v>13</v>
      </c>
      <c r="AU281" s="185" t="str">
        <f t="shared" ca="1" si="248"/>
        <v>EPEAT Bronze (Canada)</v>
      </c>
      <c r="AV281" s="185" t="str">
        <f t="shared" ca="1" si="248"/>
        <v>802.11a/b/g/n/ac/ax</v>
      </c>
      <c r="AW281" s="185">
        <f t="shared" ca="1" si="248"/>
        <v>5.3</v>
      </c>
      <c r="AX281" s="185">
        <f t="shared" ca="1" si="249"/>
        <v>13</v>
      </c>
      <c r="AY281" s="185" t="str">
        <f t="shared" ca="1" si="249"/>
        <v>Galaxy Tab S9+</v>
      </c>
      <c r="AZ281" s="185">
        <f t="shared" ca="1" si="249"/>
        <v>0</v>
      </c>
      <c r="BA281" s="185" t="str">
        <f t="shared" ca="1" si="249"/>
        <v>Android 13</v>
      </c>
      <c r="BB281" s="185">
        <f t="shared" ca="1" si="249"/>
        <v>10190</v>
      </c>
      <c r="BC281" s="185">
        <f t="shared" ca="1" si="249"/>
        <v>10190</v>
      </c>
      <c r="BD281" s="192" t="str">
        <f t="shared" ca="1" si="249"/>
        <v>Targus</v>
      </c>
      <c r="BE281" s="192" t="str">
        <f t="shared" ca="1" si="249"/>
        <v>Panzerglass</v>
      </c>
      <c r="BF281" s="192" t="str">
        <f t="shared" ca="1" si="249"/>
        <v>Samsung</v>
      </c>
      <c r="BG281" s="192" t="str">
        <f t="shared" ca="1" si="249"/>
        <v>Voxicon</v>
      </c>
      <c r="BH281" s="192" t="str">
        <f t="shared" ca="1" si="250"/>
        <v>INGÅR</v>
      </c>
      <c r="BI281" s="192" t="str">
        <f t="shared" ca="1" si="250"/>
        <v>THZ904GL </v>
      </c>
      <c r="BJ281" s="192">
        <f t="shared" ca="1" si="250"/>
        <v>7242</v>
      </c>
      <c r="BK281" s="192" t="str">
        <f t="shared" ca="1" si="250"/>
        <v>EP-T1510NBEGEU / EP-TA20EWECGWW</v>
      </c>
      <c r="BL281" s="192" t="str">
        <f t="shared" ca="1" si="250"/>
        <v>DK-199B-G</v>
      </c>
      <c r="BM281" s="192">
        <f t="shared" ca="1" si="250"/>
        <v>0</v>
      </c>
      <c r="BN281" s="192">
        <f t="shared" ca="1" si="250"/>
        <v>279</v>
      </c>
      <c r="BO281" s="192">
        <f t="shared" ca="1" si="250"/>
        <v>206</v>
      </c>
      <c r="BP281" s="192">
        <f t="shared" ca="1" si="250"/>
        <v>111</v>
      </c>
      <c r="BQ281" s="192">
        <f t="shared" ca="1" si="250"/>
        <v>979</v>
      </c>
      <c r="BR281" s="192">
        <f t="shared" ca="1" si="250"/>
        <v>0</v>
      </c>
      <c r="BS281" s="192">
        <f t="shared" ca="1" si="250"/>
        <v>532</v>
      </c>
      <c r="BT281" s="192">
        <f t="shared" ca="1" si="250"/>
        <v>20</v>
      </c>
      <c r="BU281" s="192">
        <f t="shared" ca="1" si="250"/>
        <v>20</v>
      </c>
      <c r="BV281" s="192">
        <f t="shared" ca="1" si="250"/>
        <v>0</v>
      </c>
      <c r="BW281" s="192"/>
      <c r="BX281" s="192"/>
      <c r="BY281" s="192" t="str">
        <f t="shared" ca="1" si="245"/>
        <v>Dustin Sverige AB</v>
      </c>
      <c r="BZ281" s="192" t="str">
        <f t="shared" ca="1" si="245"/>
        <v>Samsung</v>
      </c>
      <c r="CE281" s="101"/>
    </row>
    <row r="282" spans="2:94" ht="30" customHeight="1" outlineLevel="1" x14ac:dyDescent="0.35">
      <c r="B282" s="69" t="s">
        <v>340</v>
      </c>
      <c r="C282" s="96" t="s">
        <v>51</v>
      </c>
      <c r="D282" s="131" t="str">
        <f>IF("Ska Ingå"=D281,"Ska Ingå","")</f>
        <v/>
      </c>
      <c r="F282" s="84" t="str">
        <f t="shared" si="251"/>
        <v/>
      </c>
      <c r="G282" s="85" t="str">
        <f t="shared" ca="1" si="252"/>
        <v>Phonelife</v>
      </c>
      <c r="H282" s="85" t="str">
        <f t="shared" ca="1" si="252"/>
        <v>eSTUFF</v>
      </c>
      <c r="I282" s="85" t="str">
        <f t="shared" ca="1" si="252"/>
        <v>Otterbox Defender Series</v>
      </c>
      <c r="J282" s="62"/>
      <c r="Q282" s="185">
        <f t="shared" si="226"/>
        <v>0</v>
      </c>
      <c r="R282" s="185">
        <f t="shared" si="227"/>
        <v>0</v>
      </c>
      <c r="S282" s="185">
        <f t="shared" si="228"/>
        <v>0</v>
      </c>
      <c r="T282" s="185">
        <f t="shared" si="229"/>
        <v>0</v>
      </c>
      <c r="U282" s="185">
        <f t="shared" si="230"/>
        <v>0</v>
      </c>
      <c r="V282" s="185">
        <f t="shared" si="231"/>
        <v>0</v>
      </c>
      <c r="W282" s="185">
        <f t="shared" si="232"/>
        <v>0</v>
      </c>
      <c r="X282" s="185">
        <f t="shared" si="233"/>
        <v>0</v>
      </c>
      <c r="Y282" s="185">
        <f t="shared" si="234"/>
        <v>0</v>
      </c>
      <c r="Z282" s="196">
        <f t="shared" ca="1" si="235"/>
        <v>4068</v>
      </c>
      <c r="AA282" s="185" t="str">
        <f t="shared" si="236"/>
        <v>Offererad produktnr. 07Foxway Education AB</v>
      </c>
      <c r="AB282" s="185" t="b">
        <f>IF(D271="",TRUE,IF(COUNTIF(Processor!$M$2:$M$3,D271)=0,IF(AN282=D271,TRUE,FALSE),IF(COUNTIF(AN282,INDEX(Processor!$N$2:$N$3,MATCH(Surfplattor!D271,Processor!$M$2:$M$3,0)))&gt;0,TRUE,FALSE)))</f>
        <v>1</v>
      </c>
      <c r="AC282" s="185" t="b">
        <f>IF($D$272="",TRUE,IF(COUNTIF(Processor!$I$2:$I$9,$D$272)&gt;0,AND(AO282&gt;INDEX(Processor!$J$2:$J$9,MATCH($D$272,Processor!$I$2:$I$9,0)),AO282&lt;INDEX(Processor!$K$2:$K$9,MATCH($D$272,Processor!$I$2:$I$9,0))),IF(AO282=$D$272,TRUE,FALSE)))</f>
        <v>1</v>
      </c>
      <c r="AD282" s="185" t="b">
        <f t="shared" si="237"/>
        <v>1</v>
      </c>
      <c r="AE282" s="185" t="b">
        <f t="shared" si="238"/>
        <v>1</v>
      </c>
      <c r="AF282" s="185" t="b">
        <f t="shared" si="239"/>
        <v>1</v>
      </c>
      <c r="AG282" s="185" t="b">
        <f t="shared" si="240"/>
        <v>1</v>
      </c>
      <c r="AH282" s="185" t="b">
        <f>IF($D$277="",TRUE,IF(INDEX(Processor!$C$14:$C$20,MATCH(LEFT(AT282,10)&amp;"",Processor!$A$14:$A$20,0))&gt;=INDEX(Processor!$C$14:$C$20,MATCH(LEFT($D$277,10)&amp;"",Processor!$A$14:$A$20,0)),TRUE,FALSE))</f>
        <v>1</v>
      </c>
      <c r="AI282" s="185" t="b">
        <f t="shared" si="241"/>
        <v>1</v>
      </c>
      <c r="AJ282" s="185"/>
      <c r="AK282" s="185"/>
      <c r="AL282" s="185" t="s">
        <v>216</v>
      </c>
      <c r="AM282" s="185">
        <v>1</v>
      </c>
      <c r="AN282" s="185" t="str">
        <f t="shared" ca="1" si="248"/>
        <v>iPadOS 15</v>
      </c>
      <c r="AO282" s="185">
        <f t="shared" ca="1" si="248"/>
        <v>10.199999999999999</v>
      </c>
      <c r="AP282" s="185" t="str">
        <f t="shared" ca="1" si="248"/>
        <v>2160x1620</v>
      </c>
      <c r="AQ282" s="185">
        <f t="shared" ca="1" si="248"/>
        <v>64</v>
      </c>
      <c r="AR282" s="185">
        <f t="shared" ca="1" si="248"/>
        <v>4.2</v>
      </c>
      <c r="AS282" s="185" t="str">
        <f t="shared" ca="1" si="248"/>
        <v>802.11a/b/g/n/ac</v>
      </c>
      <c r="AT282" s="185">
        <f t="shared" ca="1" si="248"/>
        <v>10</v>
      </c>
      <c r="AU282" s="185" t="str">
        <f t="shared" ca="1" si="248"/>
        <v>EPEAT Gold</v>
      </c>
      <c r="AV282" s="185" t="str">
        <f t="shared" ca="1" si="248"/>
        <v>802.11a/b/g/n/ac</v>
      </c>
      <c r="AW282" s="185">
        <f t="shared" ca="1" si="248"/>
        <v>4.2</v>
      </c>
      <c r="AX282" s="185">
        <f t="shared" ca="1" si="249"/>
        <v>10</v>
      </c>
      <c r="AY282" s="185" t="str">
        <f t="shared" ca="1" si="249"/>
        <v>10.2-inch (9th-gen) iPad Wi-Fi 64GB</v>
      </c>
      <c r="AZ282" s="185">
        <f t="shared" ca="1" si="249"/>
        <v>0</v>
      </c>
      <c r="BA282" s="185" t="str">
        <f t="shared" ca="1" si="249"/>
        <v>iPadOS 15</v>
      </c>
      <c r="BB282" s="185">
        <f t="shared" ca="1" si="249"/>
        <v>4068</v>
      </c>
      <c r="BC282" s="185">
        <f t="shared" ca="1" si="249"/>
        <v>4068</v>
      </c>
      <c r="BD282" s="192" t="str">
        <f t="shared" ca="1" si="249"/>
        <v>Targus</v>
      </c>
      <c r="BE282" s="192" t="str">
        <f t="shared" ca="1" si="249"/>
        <v>Screenor</v>
      </c>
      <c r="BF282" s="192" t="str">
        <f t="shared" ca="1" si="249"/>
        <v>Apple</v>
      </c>
      <c r="BG282" s="192" t="str">
        <f t="shared" ca="1" si="249"/>
        <v>Deltaco</v>
      </c>
      <c r="BH282" s="192" t="str">
        <f t="shared" ca="1" si="250"/>
        <v>Apple</v>
      </c>
      <c r="BI282" s="192" t="str">
        <f t="shared" ca="1" si="250"/>
        <v>Targus SafePORT Rugged</v>
      </c>
      <c r="BJ282" s="192" t="str">
        <f t="shared" ca="1" si="250"/>
        <v>SCREENOR TEMPERED IPAD 10.2</v>
      </c>
      <c r="BK282" s="192" t="str">
        <f t="shared" ca="1" si="250"/>
        <v>Laddkit iPad</v>
      </c>
      <c r="BL282" s="192" t="str">
        <f t="shared" ca="1" si="250"/>
        <v>DELTACO trådlöst minitangentbord, 78 tangenter, Bluetooth, nordisk layout, dämpade tangenter, svart</v>
      </c>
      <c r="BM282" s="192" t="str">
        <f t="shared" ca="1" si="250"/>
        <v>Apple Pencil</v>
      </c>
      <c r="BN282" s="192">
        <f t="shared" ca="1" si="250"/>
        <v>210</v>
      </c>
      <c r="BO282" s="192">
        <f t="shared" ca="1" si="250"/>
        <v>240</v>
      </c>
      <c r="BP282" s="192">
        <f t="shared" ca="1" si="250"/>
        <v>372</v>
      </c>
      <c r="BQ282" s="192">
        <f t="shared" ca="1" si="250"/>
        <v>156</v>
      </c>
      <c r="BR282" s="192">
        <f t="shared" ca="1" si="250"/>
        <v>1080</v>
      </c>
      <c r="BS282" s="192">
        <f t="shared" ca="1" si="250"/>
        <v>480</v>
      </c>
      <c r="BT282" s="192">
        <f t="shared" ca="1" si="250"/>
        <v>60</v>
      </c>
      <c r="BU282" s="192">
        <f t="shared" ca="1" si="250"/>
        <v>50</v>
      </c>
      <c r="BV282" s="192">
        <f t="shared" ca="1" si="250"/>
        <v>0</v>
      </c>
      <c r="BW282" s="192"/>
      <c r="BX282" s="192"/>
      <c r="BY282" s="192" t="str">
        <f t="shared" ca="1" si="245"/>
        <v>Foxway Education AB</v>
      </c>
      <c r="BZ282" s="192" t="str">
        <f t="shared" ca="1" si="245"/>
        <v>Apple</v>
      </c>
      <c r="CB282" s="63"/>
      <c r="CC282" s="63"/>
      <c r="CD282" s="63"/>
      <c r="CE282" s="102"/>
      <c r="CF282" s="63"/>
      <c r="CG282" s="63"/>
      <c r="CH282" s="63"/>
      <c r="CI282" s="63"/>
      <c r="CJ282" s="63"/>
      <c r="CK282" s="63"/>
      <c r="CL282" s="63"/>
      <c r="CM282" s="63"/>
      <c r="CN282" s="63"/>
      <c r="CO282" s="63"/>
      <c r="CP282" s="63"/>
    </row>
    <row r="283" spans="2:94" ht="67.5" customHeight="1" outlineLevel="1" x14ac:dyDescent="0.35">
      <c r="B283" s="69" t="s">
        <v>345</v>
      </c>
      <c r="C283" s="97" t="s">
        <v>52</v>
      </c>
      <c r="D283" s="132" t="str">
        <f>IF("Ska Ingå"=D281,"Ska Ingå","")</f>
        <v/>
      </c>
      <c r="F283" s="86" t="str">
        <f t="shared" si="251"/>
        <v/>
      </c>
      <c r="G283" s="87" t="str">
        <f t="shared" ca="1" si="252"/>
        <v>GBXRUGGEDLENTAB-V1</v>
      </c>
      <c r="H283" s="87" t="str">
        <f t="shared" ca="1" si="252"/>
        <v>ES685307-BULK - Vikbart fodral för surfplatta - polyuretan, polykarbonat, konstläder, mikrofiber - svart - för Lenovo Tab M10 (3rd Gen)</v>
      </c>
      <c r="I283" s="87" t="str">
        <f t="shared" ca="1" si="252"/>
        <v>GBX77-62032</v>
      </c>
      <c r="J283" s="62"/>
      <c r="Q283" s="185">
        <f t="shared" si="226"/>
        <v>0</v>
      </c>
      <c r="R283" s="185">
        <f t="shared" si="227"/>
        <v>0</v>
      </c>
      <c r="S283" s="185">
        <f t="shared" si="228"/>
        <v>0</v>
      </c>
      <c r="T283" s="185">
        <f t="shared" si="229"/>
        <v>0</v>
      </c>
      <c r="U283" s="185">
        <f t="shared" si="230"/>
        <v>0</v>
      </c>
      <c r="V283" s="185">
        <f t="shared" si="231"/>
        <v>0</v>
      </c>
      <c r="W283" s="185">
        <f t="shared" si="232"/>
        <v>0</v>
      </c>
      <c r="X283" s="185">
        <f t="shared" si="233"/>
        <v>0</v>
      </c>
      <c r="Y283" s="185">
        <f t="shared" si="234"/>
        <v>0</v>
      </c>
      <c r="Z283" s="196">
        <f t="shared" ca="1" si="235"/>
        <v>3894</v>
      </c>
      <c r="AA283" s="185" t="str">
        <f t="shared" si="236"/>
        <v>Offererad produktnr. 08Foxway Education AB</v>
      </c>
      <c r="AB283" s="185" t="b">
        <f>IF(D271="",TRUE,IF(COUNTIF(Processor!$M$2:$M$3,D271)=0,IF(AN283=D271,TRUE,FALSE),IF(COUNTIF(AN283,INDEX(Processor!$N$2:$N$3,MATCH(Surfplattor!D271,Processor!$M$2:$M$3,0)))&gt;0,TRUE,FALSE)))</f>
        <v>1</v>
      </c>
      <c r="AC283" s="185" t="b">
        <f>IF($D$272="",TRUE,IF(COUNTIF(Processor!$I$2:$I$9,$D$272)&gt;0,AND(AO283&gt;INDEX(Processor!$J$2:$J$9,MATCH($D$272,Processor!$I$2:$I$9,0)),AO283&lt;INDEX(Processor!$K$2:$K$9,MATCH($D$272,Processor!$I$2:$I$9,0))),IF(AO283=$D$272,TRUE,FALSE)))</f>
        <v>1</v>
      </c>
      <c r="AD283" s="185" t="b">
        <f t="shared" si="237"/>
        <v>1</v>
      </c>
      <c r="AE283" s="185" t="b">
        <f t="shared" si="238"/>
        <v>1</v>
      </c>
      <c r="AF283" s="185" t="b">
        <f t="shared" si="239"/>
        <v>1</v>
      </c>
      <c r="AG283" s="185" t="b">
        <f t="shared" si="240"/>
        <v>1</v>
      </c>
      <c r="AH283" s="185" t="b">
        <f>IF($D$277="",TRUE,IF(INDEX(Processor!$C$14:$C$20,MATCH(LEFT(AT283,10)&amp;"",Processor!$A$14:$A$20,0))&gt;=INDEX(Processor!$C$14:$C$20,MATCH(LEFT($D$277,10)&amp;"",Processor!$A$14:$A$20,0)),TRUE,FALSE))</f>
        <v>1</v>
      </c>
      <c r="AI283" s="185" t="b">
        <f t="shared" si="241"/>
        <v>1</v>
      </c>
      <c r="AJ283" s="185"/>
      <c r="AK283" s="185"/>
      <c r="AL283" s="185" t="s">
        <v>217</v>
      </c>
      <c r="AM283" s="185">
        <v>1</v>
      </c>
      <c r="AN283" s="185" t="str">
        <f t="shared" ca="1" si="248"/>
        <v>Android 11</v>
      </c>
      <c r="AO283" s="185">
        <f t="shared" ca="1" si="248"/>
        <v>10.4</v>
      </c>
      <c r="AP283" s="185" t="str">
        <f t="shared" ca="1" si="248"/>
        <v>2000x1200</v>
      </c>
      <c r="AQ283" s="185">
        <f t="shared" ca="1" si="248"/>
        <v>64</v>
      </c>
      <c r="AR283" s="185">
        <f t="shared" ca="1" si="248"/>
        <v>5</v>
      </c>
      <c r="AS283" s="185" t="str">
        <f t="shared" ca="1" si="248"/>
        <v>802.11a/b/g/n/ac</v>
      </c>
      <c r="AT283" s="185">
        <f t="shared" ca="1" si="248"/>
        <v>12</v>
      </c>
      <c r="AU283" s="185" t="str">
        <f t="shared" ca="1" si="248"/>
        <v>Epeat Bronze</v>
      </c>
      <c r="AV283" s="185" t="str">
        <f t="shared" ca="1" si="248"/>
        <v>802.11a/b/g/n/ac</v>
      </c>
      <c r="AW283" s="185">
        <f t="shared" ca="1" si="248"/>
        <v>5</v>
      </c>
      <c r="AX283" s="185">
        <f t="shared" ca="1" si="249"/>
        <v>12</v>
      </c>
      <c r="AY283" s="185" t="str">
        <f t="shared" ca="1" si="249"/>
        <v>Galaxy Tab S6 Lite WiFi (64GB)</v>
      </c>
      <c r="AZ283" s="185">
        <f t="shared" ca="1" si="249"/>
        <v>0</v>
      </c>
      <c r="BA283" s="185" t="str">
        <f t="shared" ca="1" si="249"/>
        <v>Android 11</v>
      </c>
      <c r="BB283" s="185">
        <f t="shared" ca="1" si="249"/>
        <v>3894</v>
      </c>
      <c r="BC283" s="185">
        <f t="shared" ca="1" si="249"/>
        <v>3894</v>
      </c>
      <c r="BD283" s="192" t="str">
        <f t="shared" ca="1" si="249"/>
        <v>Tolerate</v>
      </c>
      <c r="BE283" s="192" t="str">
        <f t="shared" ca="1" si="249"/>
        <v xml:space="preserve">Insmat </v>
      </c>
      <c r="BF283" s="192" t="str">
        <f t="shared" ca="1" si="249"/>
        <v>Samsung</v>
      </c>
      <c r="BG283" s="192" t="str">
        <f t="shared" ca="1" si="249"/>
        <v>Deltaco</v>
      </c>
      <c r="BH283" s="192" t="str">
        <f t="shared" ca="1" si="250"/>
        <v>Samsung</v>
      </c>
      <c r="BI283" s="192" t="str">
        <f t="shared" ca="1" si="250"/>
        <v xml:space="preserve">TOLERATE ARMOR FOLIO SAMSUNG TAB S6 LITE BLACK </v>
      </c>
      <c r="BJ283" s="192" t="str">
        <f t="shared" ca="1" si="250"/>
        <v>Insmat Brilliant</v>
      </c>
      <c r="BK283" s="192" t="str">
        <f t="shared" ca="1" si="250"/>
        <v>SAMSUNG FAST TRAVEL CHARGER USB-C BLACK</v>
      </c>
      <c r="BL283" s="192" t="str">
        <f t="shared" ca="1" si="250"/>
        <v>DELTACO trådlöst minitangentbord, 78 tangenter, Bluetooth, nordisk layout, dämpade tangenter, svart</v>
      </c>
      <c r="BM283" s="192" t="str">
        <f t="shared" ca="1" si="250"/>
        <v xml:space="preserve">SAMSUNG S-PEN GALAXY TAB S6 LITE GREY </v>
      </c>
      <c r="BN283" s="192">
        <f t="shared" ca="1" si="250"/>
        <v>350</v>
      </c>
      <c r="BO283" s="192">
        <f t="shared" ca="1" si="250"/>
        <v>165</v>
      </c>
      <c r="BP283" s="192">
        <f t="shared" ca="1" si="250"/>
        <v>114</v>
      </c>
      <c r="BQ283" s="192">
        <f t="shared" ca="1" si="250"/>
        <v>156</v>
      </c>
      <c r="BR283" s="192">
        <f t="shared" ca="1" si="250"/>
        <v>306</v>
      </c>
      <c r="BS283" s="192">
        <f t="shared" ca="1" si="250"/>
        <v>1</v>
      </c>
      <c r="BT283" s="192">
        <f t="shared" ca="1" si="250"/>
        <v>60</v>
      </c>
      <c r="BU283" s="192">
        <f t="shared" ca="1" si="250"/>
        <v>50</v>
      </c>
      <c r="BV283" s="192">
        <f t="shared" ca="1" si="250"/>
        <v>0</v>
      </c>
      <c r="BW283" s="192"/>
      <c r="BX283" s="192"/>
      <c r="BY283" s="192" t="str">
        <f t="shared" ca="1" si="245"/>
        <v>Foxway Education AB</v>
      </c>
      <c r="BZ283" s="192" t="str">
        <f t="shared" ca="1" si="245"/>
        <v>Samsung</v>
      </c>
      <c r="CA283" s="63"/>
      <c r="CB283" s="63"/>
      <c r="CC283" s="63"/>
      <c r="CD283" s="63"/>
      <c r="CE283" s="63"/>
      <c r="CF283" s="63"/>
      <c r="CG283" s="63"/>
      <c r="CH283" s="63"/>
      <c r="CI283" s="63"/>
      <c r="CJ283" s="63"/>
      <c r="CK283" s="63"/>
      <c r="CL283" s="63"/>
      <c r="CM283" s="63"/>
      <c r="CN283" s="63"/>
    </row>
    <row r="284" spans="2:94" ht="30" customHeight="1" outlineLevel="1" x14ac:dyDescent="0.35">
      <c r="B284" s="69" t="s">
        <v>54</v>
      </c>
      <c r="C284" s="98" t="s">
        <v>373</v>
      </c>
      <c r="D284" s="70"/>
      <c r="F284" s="157" t="str">
        <f t="shared" si="251"/>
        <v/>
      </c>
      <c r="G284" s="158">
        <f t="shared" ca="1" si="252"/>
        <v>180</v>
      </c>
      <c r="H284" s="158">
        <f t="shared" ca="1" si="252"/>
        <v>251</v>
      </c>
      <c r="I284" s="158">
        <f t="shared" ca="1" si="252"/>
        <v>189</v>
      </c>
      <c r="J284" s="62"/>
      <c r="Q284" s="185">
        <f t="shared" si="226"/>
        <v>0</v>
      </c>
      <c r="R284" s="185">
        <f t="shared" si="227"/>
        <v>0</v>
      </c>
      <c r="S284" s="185">
        <f t="shared" si="228"/>
        <v>0</v>
      </c>
      <c r="T284" s="185">
        <f t="shared" si="229"/>
        <v>0</v>
      </c>
      <c r="U284" s="185">
        <f t="shared" si="230"/>
        <v>0</v>
      </c>
      <c r="V284" s="185">
        <f t="shared" si="231"/>
        <v>0</v>
      </c>
      <c r="W284" s="185">
        <f t="shared" si="232"/>
        <v>0</v>
      </c>
      <c r="X284" s="185">
        <f t="shared" si="233"/>
        <v>0</v>
      </c>
      <c r="Y284" s="185">
        <f t="shared" si="234"/>
        <v>0</v>
      </c>
      <c r="Z284" s="196">
        <f t="shared" ca="1" si="235"/>
        <v>7350</v>
      </c>
      <c r="AA284" s="185" t="str">
        <f t="shared" si="236"/>
        <v>Offererad produktnr. 09Foxway Education AB</v>
      </c>
      <c r="AB284" s="185" t="b">
        <f>IF(D271="",TRUE,IF(COUNTIF(Processor!$M$2:$M$3,D271)=0,IF(AN284=D271,TRUE,FALSE),IF(COUNTIF(AN284,INDEX(Processor!$N$2:$N$3,MATCH(Surfplattor!D271,Processor!$M$2:$M$3,0)))&gt;0,TRUE,FALSE)))</f>
        <v>1</v>
      </c>
      <c r="AC284" s="185" t="b">
        <f>IF($D$272="",TRUE,IF(COUNTIF(Processor!$I$2:$I$9,$D$272)&gt;0,AND(AO284&gt;INDEX(Processor!$J$2:$J$9,MATCH($D$272,Processor!$I$2:$I$9,0)),AO284&lt;INDEX(Processor!$K$2:$K$9,MATCH($D$272,Processor!$I$2:$I$9,0))),IF(AO284=$D$272,TRUE,FALSE)))</f>
        <v>1</v>
      </c>
      <c r="AD284" s="185" t="b">
        <f t="shared" si="237"/>
        <v>1</v>
      </c>
      <c r="AE284" s="185" t="b">
        <f t="shared" si="238"/>
        <v>1</v>
      </c>
      <c r="AF284" s="185" t="b">
        <f t="shared" si="239"/>
        <v>1</v>
      </c>
      <c r="AG284" s="185" t="b">
        <f t="shared" si="240"/>
        <v>1</v>
      </c>
      <c r="AH284" s="185" t="b">
        <f>IF($D$277="",TRUE,IF(INDEX(Processor!$C$14:$C$20,MATCH(LEFT(AT284,10)&amp;"",Processor!$A$14:$A$20,0))&gt;=INDEX(Processor!$C$14:$C$20,MATCH(LEFT($D$277,10)&amp;"",Processor!$A$14:$A$20,0)),TRUE,FALSE))</f>
        <v>1</v>
      </c>
      <c r="AI284" s="185" t="b">
        <f t="shared" si="241"/>
        <v>1</v>
      </c>
      <c r="AJ284" s="185"/>
      <c r="AK284" s="185"/>
      <c r="AL284" s="185" t="s">
        <v>218</v>
      </c>
      <c r="AM284" s="185">
        <v>1</v>
      </c>
      <c r="AN284" s="185" t="str">
        <f t="shared" ca="1" si="248"/>
        <v>Android 11</v>
      </c>
      <c r="AO284" s="185">
        <f t="shared" ca="1" si="248"/>
        <v>11</v>
      </c>
      <c r="AP284" s="185" t="str">
        <f t="shared" ca="1" si="248"/>
        <v>2560x1600</v>
      </c>
      <c r="AQ284" s="185">
        <f t="shared" ca="1" si="248"/>
        <v>128</v>
      </c>
      <c r="AR284" s="185">
        <f t="shared" ca="1" si="248"/>
        <v>5</v>
      </c>
      <c r="AS284" s="185" t="str">
        <f t="shared" ca="1" si="248"/>
        <v>802.11a/b/g/n/ac/ax</v>
      </c>
      <c r="AT284" s="185">
        <f t="shared" ca="1" si="248"/>
        <v>13</v>
      </c>
      <c r="AU284" s="185" t="str">
        <f t="shared" ca="1" si="248"/>
        <v>Epeat Bronze</v>
      </c>
      <c r="AV284" s="185" t="str">
        <f t="shared" ca="1" si="248"/>
        <v>802.11a/b/g/n/ac/ax</v>
      </c>
      <c r="AW284" s="185">
        <f t="shared" ca="1" si="248"/>
        <v>5</v>
      </c>
      <c r="AX284" s="185">
        <f t="shared" ca="1" si="249"/>
        <v>13</v>
      </c>
      <c r="AY284" s="185" t="str">
        <f t="shared" ca="1" si="249"/>
        <v>Galaxy Tab S8 Wifi (128GB)</v>
      </c>
      <c r="AZ284" s="185">
        <f t="shared" ca="1" si="249"/>
        <v>0</v>
      </c>
      <c r="BA284" s="185" t="str">
        <f t="shared" ca="1" si="249"/>
        <v>Android 11</v>
      </c>
      <c r="BB284" s="185">
        <f t="shared" ca="1" si="249"/>
        <v>7350</v>
      </c>
      <c r="BC284" s="185">
        <f t="shared" ca="1" si="249"/>
        <v>7350</v>
      </c>
      <c r="BD284" s="192" t="str">
        <f t="shared" ca="1" si="249"/>
        <v>Insmat</v>
      </c>
      <c r="BE284" s="192" t="str">
        <f t="shared" ca="1" si="249"/>
        <v>Tolerate</v>
      </c>
      <c r="BF284" s="192" t="str">
        <f t="shared" ca="1" si="249"/>
        <v>Samsung</v>
      </c>
      <c r="BG284" s="192" t="str">
        <f t="shared" ca="1" si="249"/>
        <v>Deltaco</v>
      </c>
      <c r="BH284" s="192" t="str">
        <f t="shared" ca="1" si="250"/>
        <v>Samsung</v>
      </c>
      <c r="BI284" s="192" t="str">
        <f t="shared" ca="1" si="250"/>
        <v>Insmat Rugged Armor S8</v>
      </c>
      <c r="BJ284" s="192" t="str">
        <f t="shared" ca="1" si="250"/>
        <v>TOLERATE GLASS SCREEN PROTECTOR SAMSUNG TAB S8</v>
      </c>
      <c r="BK284" s="192" t="str">
        <f t="shared" ca="1" si="250"/>
        <v>SAMSUNG FAST TRAVEL CHARGER USB-C BLACK</v>
      </c>
      <c r="BL284" s="192" t="str">
        <f t="shared" ca="1" si="250"/>
        <v>DELTACO trådlöst minitangentbord, 78 tangenter, Bluetooth, nordisk layout, dämpade tangenter, svart</v>
      </c>
      <c r="BM284" s="192" t="str">
        <f t="shared" ca="1" si="250"/>
        <v>SAMSUNG S-PEN GALAXY TAB S7</v>
      </c>
      <c r="BN284" s="192">
        <f t="shared" ca="1" si="250"/>
        <v>340</v>
      </c>
      <c r="BO284" s="185">
        <f t="shared" ca="1" si="250"/>
        <v>205</v>
      </c>
      <c r="BP284" s="192">
        <f t="shared" ca="1" si="250"/>
        <v>114</v>
      </c>
      <c r="BQ284" s="192">
        <f t="shared" ca="1" si="250"/>
        <v>156</v>
      </c>
      <c r="BR284" s="192">
        <f t="shared" ca="1" si="250"/>
        <v>360</v>
      </c>
      <c r="BS284" s="185">
        <f t="shared" ca="1" si="250"/>
        <v>1</v>
      </c>
      <c r="BT284" s="185">
        <f t="shared" ca="1" si="250"/>
        <v>60</v>
      </c>
      <c r="BU284" s="185">
        <f t="shared" ca="1" si="250"/>
        <v>50</v>
      </c>
      <c r="BV284" s="185">
        <f t="shared" ca="1" si="250"/>
        <v>0</v>
      </c>
      <c r="BW284" s="185"/>
      <c r="BX284" s="185"/>
      <c r="BY284" s="185" t="str">
        <f t="shared" ca="1" si="245"/>
        <v>Foxway Education AB</v>
      </c>
      <c r="BZ284" s="185" t="str">
        <f t="shared" ca="1" si="245"/>
        <v>Samsung</v>
      </c>
      <c r="CA284" s="63"/>
      <c r="CB284" s="63"/>
      <c r="CC284" s="63"/>
      <c r="CD284" s="63"/>
      <c r="CE284" s="63"/>
      <c r="CF284" s="63"/>
      <c r="CG284" s="63"/>
      <c r="CH284" s="63"/>
      <c r="CI284" s="63"/>
      <c r="CJ284" s="63"/>
      <c r="CK284" s="63"/>
      <c r="CL284" s="63"/>
      <c r="CM284" s="63"/>
      <c r="CN284" s="63"/>
    </row>
    <row r="285" spans="2:94" ht="30" customHeight="1" outlineLevel="1" x14ac:dyDescent="0.35">
      <c r="B285" s="69" t="s">
        <v>341</v>
      </c>
      <c r="C285" s="61" t="s">
        <v>51</v>
      </c>
      <c r="D285" s="131" t="str">
        <f>IF("Ska Ingå"=D284,"Ska Ingå","")</f>
        <v/>
      </c>
      <c r="F285" s="88" t="str">
        <f t="shared" si="251"/>
        <v/>
      </c>
      <c r="G285" s="89" t="str">
        <f t="shared" ca="1" si="252"/>
        <v>Lenovo</v>
      </c>
      <c r="H285" s="89" t="str">
        <f t="shared" ca="1" si="252"/>
        <v>eSTUFF</v>
      </c>
      <c r="I285" s="89" t="str">
        <f t="shared" ca="1" si="252"/>
        <v>ZAGG</v>
      </c>
      <c r="J285" s="62"/>
      <c r="Q285" s="185">
        <f t="shared" si="226"/>
        <v>0</v>
      </c>
      <c r="R285" s="185">
        <f t="shared" si="227"/>
        <v>0</v>
      </c>
      <c r="S285" s="185">
        <f t="shared" si="228"/>
        <v>0</v>
      </c>
      <c r="T285" s="185">
        <f t="shared" si="229"/>
        <v>0</v>
      </c>
      <c r="U285" s="185">
        <f t="shared" si="230"/>
        <v>0</v>
      </c>
      <c r="V285" s="185">
        <f t="shared" si="231"/>
        <v>0</v>
      </c>
      <c r="W285" s="185">
        <f t="shared" si="232"/>
        <v>0</v>
      </c>
      <c r="X285" s="185">
        <f t="shared" si="233"/>
        <v>0</v>
      </c>
      <c r="Y285" s="185">
        <f t="shared" si="234"/>
        <v>0</v>
      </c>
      <c r="Z285" s="196">
        <f t="shared" ca="1" si="235"/>
        <v>5256</v>
      </c>
      <c r="AA285" s="185" t="str">
        <f t="shared" si="236"/>
        <v>Offererad produktnr. 10Foxway Education AB</v>
      </c>
      <c r="AB285" s="185" t="b">
        <f>IF(D271="",TRUE,IF(COUNTIF(Processor!$M$2:$M$3,D271)=0,IF(AN285=D271,TRUE,FALSE),IF(COUNTIF(AN285,INDEX(Processor!$N$2:$N$3,MATCH(Surfplattor!D271,Processor!$M$2:$M$3,0)))&gt;0,TRUE,FALSE)))</f>
        <v>1</v>
      </c>
      <c r="AC285" s="185" t="b">
        <f>IF($D$272="",TRUE,IF(COUNTIF(Processor!$I$2:$I$9,$D$272)&gt;0,AND(AO285&gt;INDEX(Processor!$J$2:$J$9,MATCH($D$272,Processor!$I$2:$I$9,0)),AO285&lt;INDEX(Processor!$K$2:$K$9,MATCH($D$272,Processor!$I$2:$I$9,0))),IF(AO285=$D$272,TRUE,FALSE)))</f>
        <v>1</v>
      </c>
      <c r="AD285" s="185" t="b">
        <f t="shared" si="237"/>
        <v>1</v>
      </c>
      <c r="AE285" s="185" t="b">
        <f t="shared" si="238"/>
        <v>1</v>
      </c>
      <c r="AF285" s="185" t="b">
        <f t="shared" si="239"/>
        <v>1</v>
      </c>
      <c r="AG285" s="185" t="b">
        <f t="shared" si="240"/>
        <v>1</v>
      </c>
      <c r="AH285" s="185" t="b">
        <f>IF($D$277="",TRUE,IF(INDEX(Processor!$C$14:$C$20,MATCH(LEFT(AT285,10)&amp;"",Processor!$A$14:$A$20,0))&gt;=INDEX(Processor!$C$14:$C$20,MATCH(LEFT($D$277,10)&amp;"",Processor!$A$14:$A$20,0)),TRUE,FALSE))</f>
        <v>1</v>
      </c>
      <c r="AI285" s="185" t="b">
        <f t="shared" si="241"/>
        <v>1</v>
      </c>
      <c r="AJ285" s="185"/>
      <c r="AK285" s="185"/>
      <c r="AL285" s="185" t="s">
        <v>219</v>
      </c>
      <c r="AM285" s="185">
        <v>1</v>
      </c>
      <c r="AN285" s="185" t="str">
        <f t="shared" ca="1" si="248"/>
        <v>Android 10</v>
      </c>
      <c r="AO285" s="185">
        <f t="shared" ca="1" si="248"/>
        <v>11.5</v>
      </c>
      <c r="AP285" s="185" t="str">
        <f t="shared" ca="1" si="248"/>
        <v>2560x1600</v>
      </c>
      <c r="AQ285" s="185">
        <f t="shared" ca="1" si="248"/>
        <v>128</v>
      </c>
      <c r="AR285" s="185">
        <f t="shared" ca="1" si="248"/>
        <v>5</v>
      </c>
      <c r="AS285" s="185" t="str">
        <f t="shared" ca="1" si="248"/>
        <v>802.11a/b/g/n/ac</v>
      </c>
      <c r="AT285" s="185">
        <f t="shared" ca="1" si="248"/>
        <v>8</v>
      </c>
      <c r="AU285" s="185" t="str">
        <f t="shared" ca="1" si="248"/>
        <v>Ej miljömärkt</v>
      </c>
      <c r="AV285" s="185" t="str">
        <f t="shared" ca="1" si="248"/>
        <v>802.11a/b/g/n/ac</v>
      </c>
      <c r="AW285" s="185">
        <f t="shared" ca="1" si="248"/>
        <v>5</v>
      </c>
      <c r="AX285" s="185">
        <f t="shared" ca="1" si="249"/>
        <v>8</v>
      </c>
      <c r="AY285" s="185" t="str">
        <f t="shared" ca="1" si="249"/>
        <v>Tab P11 Pro</v>
      </c>
      <c r="AZ285" s="185">
        <f t="shared" ca="1" si="249"/>
        <v>0</v>
      </c>
      <c r="BA285" s="185" t="str">
        <f t="shared" ca="1" si="249"/>
        <v>Android 10</v>
      </c>
      <c r="BB285" s="185">
        <f t="shared" ca="1" si="249"/>
        <v>5256</v>
      </c>
      <c r="BC285" s="185">
        <f t="shared" ca="1" si="249"/>
        <v>5256</v>
      </c>
      <c r="BD285" s="192" t="str">
        <f t="shared" ca="1" si="249"/>
        <v>Lenovo</v>
      </c>
      <c r="BE285" s="192" t="str">
        <f t="shared" ca="1" si="249"/>
        <v>Lenovo</v>
      </c>
      <c r="BF285" s="192" t="str">
        <f t="shared" ca="1" si="249"/>
        <v>Lenovo</v>
      </c>
      <c r="BG285" s="192" t="str">
        <f t="shared" ca="1" si="249"/>
        <v>Deltaco</v>
      </c>
      <c r="BH285" s="192" t="str">
        <f t="shared" ca="1" si="250"/>
        <v>Lenovo</v>
      </c>
      <c r="BI285" s="192" t="str">
        <f t="shared" ca="1" si="250"/>
        <v>P11 Pro Folio Case &amp; Film Grey</v>
      </c>
      <c r="BJ285" s="192" t="str">
        <f t="shared" ca="1" si="250"/>
        <v>Skyddsfilm</v>
      </c>
      <c r="BK285" s="192" t="str">
        <f t="shared" ca="1" si="250"/>
        <v xml:space="preserve">Lenovo Smart Charge station </v>
      </c>
      <c r="BL285" s="192" t="str">
        <f t="shared" ca="1" si="250"/>
        <v>DELTACO trådlöst minitangentbord, 78 tangenter, Bluetooth, nordisk layout, dämpade tangenter, svart</v>
      </c>
      <c r="BM285" s="192" t="str">
        <f t="shared" ca="1" si="250"/>
        <v>Lenovo Precision Pen 2</v>
      </c>
      <c r="BN285" s="192">
        <f t="shared" ca="1" si="250"/>
        <v>210</v>
      </c>
      <c r="BO285" s="185">
        <f t="shared" ca="1" si="250"/>
        <v>276</v>
      </c>
      <c r="BP285" s="192">
        <f t="shared" ca="1" si="250"/>
        <v>240</v>
      </c>
      <c r="BQ285" s="192">
        <f t="shared" ca="1" si="250"/>
        <v>156</v>
      </c>
      <c r="BR285" s="192">
        <f t="shared" ca="1" si="250"/>
        <v>564</v>
      </c>
      <c r="BS285" s="185">
        <f t="shared" ca="1" si="250"/>
        <v>550</v>
      </c>
      <c r="BT285" s="185">
        <f t="shared" ca="1" si="250"/>
        <v>60</v>
      </c>
      <c r="BU285" s="185">
        <f t="shared" ca="1" si="250"/>
        <v>50</v>
      </c>
      <c r="BV285" s="185">
        <f t="shared" ca="1" si="250"/>
        <v>0</v>
      </c>
      <c r="BW285" s="185"/>
      <c r="BX285" s="185"/>
      <c r="BY285" s="185" t="str">
        <f t="shared" ca="1" si="245"/>
        <v>Foxway Education AB</v>
      </c>
      <c r="BZ285" s="185" t="str">
        <f t="shared" ca="1" si="245"/>
        <v>Lenovo</v>
      </c>
      <c r="CA285" s="63"/>
      <c r="CB285" s="63"/>
      <c r="CC285" s="63"/>
      <c r="CD285" s="63"/>
      <c r="CE285" s="63"/>
      <c r="CF285" s="63"/>
      <c r="CG285" s="63"/>
      <c r="CH285" s="63"/>
      <c r="CI285" s="63"/>
      <c r="CJ285" s="63"/>
      <c r="CK285" s="63"/>
      <c r="CL285" s="63"/>
      <c r="CM285" s="63"/>
      <c r="CN285" s="63"/>
    </row>
    <row r="286" spans="2:94" ht="68.25" customHeight="1" outlineLevel="1" x14ac:dyDescent="0.35">
      <c r="B286" s="69" t="s">
        <v>346</v>
      </c>
      <c r="C286" s="99" t="s">
        <v>52</v>
      </c>
      <c r="D286" s="132" t="str">
        <f>IF("Ska Ingå"=D284,"Ska Ingå","")</f>
        <v/>
      </c>
      <c r="F286" s="90" t="str">
        <f t="shared" si="251"/>
        <v/>
      </c>
      <c r="G286" s="91" t="str">
        <f t="shared" ca="1" si="252"/>
        <v>GBXLENFILM</v>
      </c>
      <c r="H286" s="91" t="str">
        <f t="shared" ca="1" si="252"/>
        <v>ES517003 - Skärmskydd för surfplatta - glas - klar - för Lenovo Tab M10 (3rd Gen)</v>
      </c>
      <c r="I286" s="91" t="str">
        <f t="shared" ca="1" si="252"/>
        <v>gbx200106077</v>
      </c>
      <c r="J286" s="73"/>
      <c r="Q286" s="185">
        <f t="shared" si="226"/>
        <v>0</v>
      </c>
      <c r="R286" s="185">
        <f t="shared" si="227"/>
        <v>0</v>
      </c>
      <c r="S286" s="185">
        <f t="shared" si="228"/>
        <v>0</v>
      </c>
      <c r="T286" s="185">
        <f t="shared" si="229"/>
        <v>0</v>
      </c>
      <c r="U286" s="185">
        <f t="shared" si="230"/>
        <v>0</v>
      </c>
      <c r="V286" s="185">
        <f t="shared" si="231"/>
        <v>0</v>
      </c>
      <c r="W286" s="185">
        <f t="shared" si="232"/>
        <v>0</v>
      </c>
      <c r="X286" s="185">
        <f t="shared" si="233"/>
        <v>0</v>
      </c>
      <c r="Y286" s="185">
        <f t="shared" si="234"/>
        <v>0</v>
      </c>
      <c r="Z286" s="196">
        <f t="shared" ca="1" si="235"/>
        <v>1700</v>
      </c>
      <c r="AA286" s="185" t="str">
        <f t="shared" si="236"/>
        <v>Offererad produktnr. 07Qlosr Göteborg AB</v>
      </c>
      <c r="AB286" s="185" t="b">
        <f>IF(D271="",TRUE,IF(COUNTIF(Processor!$M$2:$M$3,D271)=0,IF(AN286=D271,TRUE,FALSE),IF(COUNTIF(AN286,INDEX(Processor!$N$2:$N$3,MATCH(Surfplattor!D271,Processor!$M$2:$M$3,0)))&gt;0,TRUE,FALSE)))</f>
        <v>1</v>
      </c>
      <c r="AC286" s="185" t="b">
        <f>IF($D$272="",TRUE,IF(COUNTIF(Processor!$I$2:$I$9,$D$272)&gt;0,AND(AO286&gt;INDEX(Processor!$J$2:$J$9,MATCH($D$272,Processor!$I$2:$I$9,0)),AO286&lt;INDEX(Processor!$K$2:$K$9,MATCH($D$272,Processor!$I$2:$I$9,0))),IF(AO286=$D$272,TRUE,FALSE)))</f>
        <v>1</v>
      </c>
      <c r="AD286" s="185" t="b">
        <f t="shared" si="237"/>
        <v>1</v>
      </c>
      <c r="AE286" s="185" t="b">
        <f t="shared" si="238"/>
        <v>1</v>
      </c>
      <c r="AF286" s="185" t="b">
        <f t="shared" si="239"/>
        <v>1</v>
      </c>
      <c r="AG286" s="185" t="b">
        <f t="shared" si="240"/>
        <v>1</v>
      </c>
      <c r="AH286" s="185" t="b">
        <f>IF($D$277="",TRUE,IF(INDEX(Processor!$C$14:$C$20,MATCH(LEFT(AT286,10)&amp;"",Processor!$A$14:$A$20,0))&gt;=INDEX(Processor!$C$14:$C$20,MATCH(LEFT($D$277,10)&amp;"",Processor!$A$14:$A$20,0)),TRUE,FALSE))</f>
        <v>1</v>
      </c>
      <c r="AI286" s="185" t="b">
        <f t="shared" si="241"/>
        <v>1</v>
      </c>
      <c r="AJ286" s="185"/>
      <c r="AK286" s="185"/>
      <c r="AL286" s="185" t="s">
        <v>558</v>
      </c>
      <c r="AM286" s="185">
        <v>1</v>
      </c>
      <c r="AN286" s="185" t="str">
        <f t="shared" ca="1" si="248"/>
        <v>Android 9</v>
      </c>
      <c r="AO286" s="185">
        <f t="shared" ca="1" si="248"/>
        <v>10.3</v>
      </c>
      <c r="AP286" s="185" t="str">
        <f t="shared" ca="1" si="248"/>
        <v>1920x1200</v>
      </c>
      <c r="AQ286" s="185">
        <f t="shared" ca="1" si="248"/>
        <v>64</v>
      </c>
      <c r="AR286" s="185">
        <f t="shared" ca="1" si="248"/>
        <v>5</v>
      </c>
      <c r="AS286" s="185" t="str">
        <f t="shared" ca="1" si="248"/>
        <v>802.11a/b/g/n/ac</v>
      </c>
      <c r="AT286" s="185">
        <f t="shared" ca="1" si="248"/>
        <v>9</v>
      </c>
      <c r="AU286" s="185" t="str">
        <f t="shared" ca="1" si="248"/>
        <v>Ej miljömärkt</v>
      </c>
      <c r="AV286" s="185" t="str">
        <f t="shared" ca="1" si="248"/>
        <v>802.11a/b/g/n/ac</v>
      </c>
      <c r="AW286" s="185">
        <f t="shared" ca="1" si="248"/>
        <v>5</v>
      </c>
      <c r="AX286" s="185">
        <f t="shared" ca="1" si="249"/>
        <v>9</v>
      </c>
      <c r="AY286" s="185" t="str">
        <f t="shared" ca="1" si="249"/>
        <v>M10 FHD G2</v>
      </c>
      <c r="AZ286" s="185">
        <f t="shared" ca="1" si="249"/>
        <v>0</v>
      </c>
      <c r="BA286" s="185" t="str">
        <f t="shared" ca="1" si="249"/>
        <v>Android 9</v>
      </c>
      <c r="BB286" s="185">
        <f t="shared" ca="1" si="249"/>
        <v>1700</v>
      </c>
      <c r="BC286" s="185">
        <f t="shared" ca="1" si="249"/>
        <v>1700</v>
      </c>
      <c r="BD286" s="192" t="str">
        <f t="shared" ca="1" si="249"/>
        <v>Phonelife</v>
      </c>
      <c r="BE286" s="192" t="str">
        <f t="shared" ca="1" si="249"/>
        <v>Lenovo</v>
      </c>
      <c r="BF286" s="192" t="str">
        <f t="shared" ca="1" si="249"/>
        <v>Lenovo</v>
      </c>
      <c r="BG286" s="192" t="str">
        <f t="shared" ca="1" si="249"/>
        <v>DELTACO</v>
      </c>
      <c r="BH286" s="192" t="str">
        <f t="shared" ca="1" si="250"/>
        <v>Kecow</v>
      </c>
      <c r="BI286" s="192" t="str">
        <f t="shared" ca="1" si="250"/>
        <v>GBXRUGGEDLENTAB-V1</v>
      </c>
      <c r="BJ286" s="192" t="str">
        <f t="shared" ca="1" si="250"/>
        <v>GBXLENFILM</v>
      </c>
      <c r="BK286" s="192" t="str">
        <f t="shared" ca="1" si="250"/>
        <v>GBXLENCHARGE</v>
      </c>
      <c r="BL286" s="192" t="str">
        <f t="shared" ca="1" si="250"/>
        <v>GBX TB-631</v>
      </c>
      <c r="BM286" s="192" t="str">
        <f t="shared" ca="1" si="250"/>
        <v>GBXPP2PENMAGNETIC</v>
      </c>
      <c r="BN286" s="192">
        <f t="shared" ca="1" si="250"/>
        <v>325</v>
      </c>
      <c r="BO286" s="185">
        <f t="shared" ca="1" si="250"/>
        <v>180</v>
      </c>
      <c r="BP286" s="192">
        <f t="shared" ca="1" si="250"/>
        <v>220</v>
      </c>
      <c r="BQ286" s="192">
        <f t="shared" ca="1" si="250"/>
        <v>150</v>
      </c>
      <c r="BR286" s="192">
        <f t="shared" ca="1" si="250"/>
        <v>399</v>
      </c>
      <c r="BS286" s="185">
        <f t="shared" ca="1" si="250"/>
        <v>570</v>
      </c>
      <c r="BT286" s="185">
        <f t="shared" ca="1" si="250"/>
        <v>25</v>
      </c>
      <c r="BU286" s="185">
        <f t="shared" ca="1" si="250"/>
        <v>25</v>
      </c>
      <c r="BV286" s="185">
        <f t="shared" ca="1" si="250"/>
        <v>0</v>
      </c>
      <c r="BW286" s="185"/>
      <c r="BX286" s="185"/>
      <c r="BY286" s="185" t="str">
        <f t="shared" ca="1" si="245"/>
        <v>Qlosr Göteborg AB</v>
      </c>
      <c r="BZ286" s="185" t="str">
        <f t="shared" ca="1" si="245"/>
        <v>Lenovo</v>
      </c>
      <c r="CA286" s="63"/>
      <c r="CB286" s="63"/>
      <c r="CC286" s="63"/>
      <c r="CD286" s="63"/>
      <c r="CE286" s="63"/>
      <c r="CF286" s="63"/>
      <c r="CG286" s="63"/>
      <c r="CH286" s="63"/>
      <c r="CI286" s="63"/>
      <c r="CJ286" s="63"/>
      <c r="CK286" s="63"/>
      <c r="CL286" s="63"/>
      <c r="CM286" s="63"/>
      <c r="CN286" s="63"/>
    </row>
    <row r="287" spans="2:94" ht="30" customHeight="1" outlineLevel="1" x14ac:dyDescent="0.35">
      <c r="B287" s="69" t="s">
        <v>55</v>
      </c>
      <c r="C287" s="95" t="s">
        <v>371</v>
      </c>
      <c r="D287" s="70"/>
      <c r="F287" s="159" t="str">
        <f t="shared" si="251"/>
        <v/>
      </c>
      <c r="G287" s="160">
        <f t="shared" ca="1" si="252"/>
        <v>220</v>
      </c>
      <c r="H287" s="160">
        <f t="shared" ca="1" si="252"/>
        <v>108</v>
      </c>
      <c r="I287" s="160">
        <f t="shared" ca="1" si="252"/>
        <v>279</v>
      </c>
      <c r="J287" s="54"/>
      <c r="Q287" s="185">
        <f t="shared" si="226"/>
        <v>0</v>
      </c>
      <c r="R287" s="185">
        <f t="shared" si="227"/>
        <v>0</v>
      </c>
      <c r="S287" s="185">
        <f t="shared" si="228"/>
        <v>0</v>
      </c>
      <c r="T287" s="185">
        <f t="shared" si="229"/>
        <v>0</v>
      </c>
      <c r="U287" s="185">
        <f t="shared" si="230"/>
        <v>0</v>
      </c>
      <c r="V287" s="185">
        <f t="shared" si="231"/>
        <v>0</v>
      </c>
      <c r="W287" s="185">
        <f t="shared" si="232"/>
        <v>0</v>
      </c>
      <c r="X287" s="185">
        <f t="shared" si="233"/>
        <v>0</v>
      </c>
      <c r="Y287" s="185">
        <f t="shared" si="234"/>
        <v>0</v>
      </c>
      <c r="Z287" s="196">
        <f t="shared" ca="1" si="235"/>
        <v>3205</v>
      </c>
      <c r="AA287" s="185" t="str">
        <f t="shared" si="236"/>
        <v>Offererad produktnr. 08Qlosr Göteborg AB</v>
      </c>
      <c r="AB287" s="185" t="b">
        <f>IF(D271="",TRUE,IF(COUNTIF(Processor!$M$2:$M$3,D271)=0,IF(AN287=D271,TRUE,FALSE),IF(COUNTIF(AN287,INDEX(Processor!$N$2:$N$3,MATCH(Surfplattor!D271,Processor!$M$2:$M$3,0)))&gt;0,TRUE,FALSE)))</f>
        <v>1</v>
      </c>
      <c r="AC287" s="185" t="b">
        <f>IF($D$272="",TRUE,IF(COUNTIF(Processor!$I$2:$I$9,$D$272)&gt;0,AND(AO287&gt;INDEX(Processor!$J$2:$J$9,MATCH($D$272,Processor!$I$2:$I$9,0)),AO287&lt;INDEX(Processor!$K$2:$K$9,MATCH($D$272,Processor!$I$2:$I$9,0))),IF(AO287=$D$272,TRUE,FALSE)))</f>
        <v>1</v>
      </c>
      <c r="AD287" s="185" t="b">
        <f t="shared" si="237"/>
        <v>1</v>
      </c>
      <c r="AE287" s="185" t="b">
        <f t="shared" si="238"/>
        <v>1</v>
      </c>
      <c r="AF287" s="185" t="b">
        <f t="shared" si="239"/>
        <v>1</v>
      </c>
      <c r="AG287" s="185" t="b">
        <f t="shared" si="240"/>
        <v>1</v>
      </c>
      <c r="AH287" s="185" t="b">
        <f>IF($D$277="",TRUE,IF(INDEX(Processor!$C$14:$C$20,MATCH(LEFT(AT287,10)&amp;"",Processor!$A$14:$A$20,0))&gt;=INDEX(Processor!$C$14:$C$20,MATCH(LEFT($D$277,10)&amp;"",Processor!$A$14:$A$20,0)),TRUE,FALSE))</f>
        <v>1</v>
      </c>
      <c r="AI287" s="185" t="b">
        <f t="shared" si="241"/>
        <v>1</v>
      </c>
      <c r="AJ287" s="185"/>
      <c r="AK287" s="185"/>
      <c r="AL287" s="185" t="s">
        <v>559</v>
      </c>
      <c r="AM287" s="185">
        <v>1</v>
      </c>
      <c r="AN287" s="185" t="str">
        <f t="shared" ca="1" si="248"/>
        <v>iPadOS 15</v>
      </c>
      <c r="AO287" s="185">
        <f t="shared" ca="1" si="248"/>
        <v>10.199999999999999</v>
      </c>
      <c r="AP287" s="185" t="str">
        <f t="shared" ca="1" si="248"/>
        <v>2160x1620</v>
      </c>
      <c r="AQ287" s="185">
        <f t="shared" ca="1" si="248"/>
        <v>64</v>
      </c>
      <c r="AR287" s="185">
        <f t="shared" ca="1" si="248"/>
        <v>4.2</v>
      </c>
      <c r="AS287" s="185" t="str">
        <f t="shared" ca="1" si="248"/>
        <v>802.11a/b/g/n/ac</v>
      </c>
      <c r="AT287" s="185">
        <f t="shared" ca="1" si="248"/>
        <v>10</v>
      </c>
      <c r="AU287" s="185" t="str">
        <f t="shared" ca="1" si="248"/>
        <v>Ej miljömärkt</v>
      </c>
      <c r="AV287" s="185" t="str">
        <f t="shared" ca="1" si="248"/>
        <v>802.11a/b/g/n/ac</v>
      </c>
      <c r="AW287" s="185">
        <f t="shared" ca="1" si="248"/>
        <v>4.2</v>
      </c>
      <c r="AX287" s="185">
        <f t="shared" ca="1" si="249"/>
        <v>10</v>
      </c>
      <c r="AY287" s="185" t="str">
        <f t="shared" ca="1" si="249"/>
        <v>iPad 9th gen (2021)</v>
      </c>
      <c r="AZ287" s="185">
        <f t="shared" ca="1" si="249"/>
        <v>0</v>
      </c>
      <c r="BA287" s="185" t="str">
        <f t="shared" ca="1" si="249"/>
        <v>iPadOS 15</v>
      </c>
      <c r="BB287" s="185">
        <f t="shared" ca="1" si="249"/>
        <v>3205</v>
      </c>
      <c r="BC287" s="185">
        <f t="shared" ca="1" si="249"/>
        <v>3205</v>
      </c>
      <c r="BD287" s="192" t="str">
        <f t="shared" ca="1" si="249"/>
        <v>Otterbox Defender Series</v>
      </c>
      <c r="BE287" s="192" t="str">
        <f t="shared" ca="1" si="249"/>
        <v>ZAGG</v>
      </c>
      <c r="BF287" s="192" t="str">
        <f t="shared" ca="1" si="249"/>
        <v>Belkin</v>
      </c>
      <c r="BG287" s="192" t="str">
        <f t="shared" ca="1" si="249"/>
        <v>DELTACO</v>
      </c>
      <c r="BH287" s="192" t="str">
        <f t="shared" ca="1" si="250"/>
        <v>Apple</v>
      </c>
      <c r="BI287" s="192" t="str">
        <f t="shared" ca="1" si="250"/>
        <v>GBX77-62032</v>
      </c>
      <c r="BJ287" s="192" t="str">
        <f t="shared" ca="1" si="250"/>
        <v>gbx200106077</v>
      </c>
      <c r="BK287" s="192" t="str">
        <f t="shared" ca="1" si="250"/>
        <v>GBXWCA003VF04WH</v>
      </c>
      <c r="BL287" s="192" t="str">
        <f t="shared" ca="1" si="250"/>
        <v>GBX TB-631</v>
      </c>
      <c r="BM287" s="192" t="str">
        <f t="shared" ca="1" si="250"/>
        <v>MK0C2ZM/A</v>
      </c>
      <c r="BN287" s="192">
        <f t="shared" ca="1" si="250"/>
        <v>460</v>
      </c>
      <c r="BO287" s="185">
        <f t="shared" ca="1" si="250"/>
        <v>189</v>
      </c>
      <c r="BP287" s="192">
        <f t="shared" ca="1" si="250"/>
        <v>279</v>
      </c>
      <c r="BQ287" s="192">
        <f t="shared" ca="1" si="250"/>
        <v>150</v>
      </c>
      <c r="BR287" s="192">
        <f t="shared" ca="1" si="250"/>
        <v>839</v>
      </c>
      <c r="BS287" s="185">
        <f t="shared" ca="1" si="250"/>
        <v>514</v>
      </c>
      <c r="BT287" s="185">
        <f t="shared" ca="1" si="250"/>
        <v>25</v>
      </c>
      <c r="BU287" s="185">
        <f t="shared" ca="1" si="250"/>
        <v>25</v>
      </c>
      <c r="BV287" s="185">
        <f t="shared" ca="1" si="250"/>
        <v>0</v>
      </c>
      <c r="BW287" s="185"/>
      <c r="BX287" s="185"/>
      <c r="BY287" s="185" t="str">
        <f t="shared" ca="1" si="245"/>
        <v>Qlosr Göteborg AB</v>
      </c>
      <c r="BZ287" s="185" t="str">
        <f t="shared" ca="1" si="245"/>
        <v>Apple</v>
      </c>
      <c r="CA287" s="63"/>
      <c r="CB287" s="63"/>
      <c r="CC287" s="63"/>
      <c r="CD287" s="63"/>
      <c r="CE287" s="63"/>
      <c r="CF287" s="63"/>
      <c r="CG287" s="63"/>
      <c r="CH287" s="63"/>
      <c r="CI287" s="63"/>
      <c r="CJ287" s="63"/>
      <c r="CK287" s="63"/>
      <c r="CL287" s="63"/>
      <c r="CM287" s="63"/>
      <c r="CN287" s="63"/>
    </row>
    <row r="288" spans="2:94" ht="30" customHeight="1" outlineLevel="1" x14ac:dyDescent="0.35">
      <c r="B288" s="69" t="s">
        <v>342</v>
      </c>
      <c r="C288" s="96" t="s">
        <v>51</v>
      </c>
      <c r="D288" s="131" t="str">
        <f>IF("Ska Ingå"=D287,"Ska Ingå","")</f>
        <v/>
      </c>
      <c r="F288" s="84" t="str">
        <f t="shared" si="251"/>
        <v/>
      </c>
      <c r="G288" s="85" t="str">
        <f t="shared" ca="1" si="252"/>
        <v>Lenovo</v>
      </c>
      <c r="H288" s="85" t="str">
        <f t="shared" ca="1" si="252"/>
        <v>CoreParts</v>
      </c>
      <c r="I288" s="85" t="str">
        <f t="shared" ca="1" si="252"/>
        <v>Belkin</v>
      </c>
      <c r="J288" s="73"/>
      <c r="Q288" s="185">
        <f t="shared" si="226"/>
        <v>0</v>
      </c>
      <c r="R288" s="185">
        <f t="shared" si="227"/>
        <v>0</v>
      </c>
      <c r="S288" s="185">
        <f t="shared" si="228"/>
        <v>0</v>
      </c>
      <c r="T288" s="185">
        <f t="shared" si="229"/>
        <v>0</v>
      </c>
      <c r="U288" s="185">
        <f t="shared" si="230"/>
        <v>0</v>
      </c>
      <c r="V288" s="185">
        <f t="shared" si="231"/>
        <v>0</v>
      </c>
      <c r="W288" s="185">
        <f t="shared" si="232"/>
        <v>0</v>
      </c>
      <c r="X288" s="185">
        <f t="shared" si="233"/>
        <v>0</v>
      </c>
      <c r="Y288" s="185">
        <f t="shared" si="234"/>
        <v>0</v>
      </c>
      <c r="Z288" s="196">
        <f t="shared" ca="1" si="235"/>
        <v>7256</v>
      </c>
      <c r="AA288" s="185" t="str">
        <f t="shared" si="236"/>
        <v>Offererad produktnr. 09Qlosr Göteborg AB</v>
      </c>
      <c r="AB288" s="185" t="b">
        <f>IF(D271="",TRUE,IF(COUNTIF(Processor!$M$2:$M$3,D271)=0,IF(AN288=D271,TRUE,FALSE),IF(COUNTIF(AN288,INDEX(Processor!$N$2:$N$3,MATCH(Surfplattor!D271,Processor!$M$2:$M$3,0)))&gt;0,TRUE,FALSE)))</f>
        <v>1</v>
      </c>
      <c r="AC288" s="185" t="b">
        <f>IF($D$272="",TRUE,IF(COUNTIF(Processor!$I$2:$I$9,$D$272)&gt;0,AND(AO288&gt;INDEX(Processor!$J$2:$J$9,MATCH($D$272,Processor!$I$2:$I$9,0)),AO288&lt;INDEX(Processor!$K$2:$K$9,MATCH($D$272,Processor!$I$2:$I$9,0))),IF(AO288=$D$272,TRUE,FALSE)))</f>
        <v>1</v>
      </c>
      <c r="AD288" s="185" t="b">
        <f t="shared" si="237"/>
        <v>1</v>
      </c>
      <c r="AE288" s="185" t="b">
        <f t="shared" si="238"/>
        <v>1</v>
      </c>
      <c r="AF288" s="185" t="b">
        <f t="shared" si="239"/>
        <v>1</v>
      </c>
      <c r="AG288" s="185" t="b">
        <f t="shared" si="240"/>
        <v>1</v>
      </c>
      <c r="AH288" s="185" t="b">
        <f>IF($D$277="",TRUE,IF(INDEX(Processor!$C$14:$C$20,MATCH(LEFT(AT288,10)&amp;"",Processor!$A$14:$A$20,0))&gt;=INDEX(Processor!$C$14:$C$20,MATCH(LEFT($D$277,10)&amp;"",Processor!$A$14:$A$20,0)),TRUE,FALSE))</f>
        <v>1</v>
      </c>
      <c r="AI288" s="185" t="b">
        <f t="shared" si="241"/>
        <v>1</v>
      </c>
      <c r="AJ288" s="185"/>
      <c r="AK288" s="185"/>
      <c r="AL288" s="185" t="s">
        <v>560</v>
      </c>
      <c r="AM288" s="185">
        <v>1</v>
      </c>
      <c r="AN288" s="185" t="str">
        <f t="shared" ca="1" si="248"/>
        <v>iPadOS 14</v>
      </c>
      <c r="AO288" s="185">
        <f t="shared" ca="1" si="248"/>
        <v>11</v>
      </c>
      <c r="AP288" s="185" t="str">
        <f t="shared" ca="1" si="248"/>
        <v>2388x1668</v>
      </c>
      <c r="AQ288" s="185">
        <f t="shared" ca="1" si="248"/>
        <v>128</v>
      </c>
      <c r="AR288" s="185">
        <f t="shared" ca="1" si="248"/>
        <v>5</v>
      </c>
      <c r="AS288" s="185" t="str">
        <f t="shared" ca="1" si="248"/>
        <v>802.11a/b/g/n/ac/ax</v>
      </c>
      <c r="AT288" s="185">
        <f t="shared" ca="1" si="248"/>
        <v>10</v>
      </c>
      <c r="AU288" s="185" t="str">
        <f t="shared" ca="1" si="248"/>
        <v>Ej miljömärkt</v>
      </c>
      <c r="AV288" s="185" t="str">
        <f t="shared" ca="1" si="248"/>
        <v>802.11a/b/g/n/ac/ax</v>
      </c>
      <c r="AW288" s="185">
        <f t="shared" ca="1" si="248"/>
        <v>5</v>
      </c>
      <c r="AX288" s="185">
        <f t="shared" ca="1" si="249"/>
        <v>10</v>
      </c>
      <c r="AY288" s="185" t="str">
        <f t="shared" ca="1" si="249"/>
        <v>Ipad Pro 11 tum</v>
      </c>
      <c r="AZ288" s="185">
        <f t="shared" ca="1" si="249"/>
        <v>0</v>
      </c>
      <c r="BA288" s="185" t="str">
        <f t="shared" ca="1" si="249"/>
        <v>iPadOS 14</v>
      </c>
      <c r="BB288" s="185">
        <f t="shared" ca="1" si="249"/>
        <v>7256</v>
      </c>
      <c r="BC288" s="185">
        <f t="shared" ca="1" si="249"/>
        <v>7256</v>
      </c>
      <c r="BD288" s="192" t="str">
        <f t="shared" ca="1" si="249"/>
        <v>Otterbox Defender Series</v>
      </c>
      <c r="BE288" s="192" t="str">
        <f t="shared" ca="1" si="249"/>
        <v>ZAGG</v>
      </c>
      <c r="BF288" s="192" t="str">
        <f t="shared" ca="1" si="249"/>
        <v>Belkin</v>
      </c>
      <c r="BG288" s="192" t="str">
        <f t="shared" ca="1" si="249"/>
        <v>DELTACO</v>
      </c>
      <c r="BH288" s="192" t="str">
        <f t="shared" ca="1" si="250"/>
        <v>Apple</v>
      </c>
      <c r="BI288" s="192" t="str">
        <f t="shared" ca="1" si="250"/>
        <v>GBX77-82261</v>
      </c>
      <c r="BJ288" s="192" t="str">
        <f t="shared" ca="1" si="250"/>
        <v>GBX200108138</v>
      </c>
      <c r="BK288" s="192" t="str">
        <f t="shared" ca="1" si="250"/>
        <v>GBXF7U074vf04-SLV</v>
      </c>
      <c r="BL288" s="192" t="str">
        <f t="shared" ca="1" si="250"/>
        <v>GBX TB-631</v>
      </c>
      <c r="BM288" s="192" t="str">
        <f t="shared" ca="1" si="250"/>
        <v>MU8F2ZM/A</v>
      </c>
      <c r="BN288" s="192">
        <f t="shared" ca="1" si="250"/>
        <v>435</v>
      </c>
      <c r="BO288" s="185">
        <f t="shared" ca="1" si="250"/>
        <v>179</v>
      </c>
      <c r="BP288" s="192">
        <f t="shared" ca="1" si="250"/>
        <v>355</v>
      </c>
      <c r="BQ288" s="192">
        <f t="shared" ca="1" si="250"/>
        <v>150</v>
      </c>
      <c r="BR288" s="192">
        <f t="shared" ca="1" si="250"/>
        <v>1145</v>
      </c>
      <c r="BS288" s="185">
        <f t="shared" ca="1" si="250"/>
        <v>724</v>
      </c>
      <c r="BT288" s="185">
        <f t="shared" ca="1" si="250"/>
        <v>25</v>
      </c>
      <c r="BU288" s="185">
        <f t="shared" ca="1" si="250"/>
        <v>25</v>
      </c>
      <c r="BV288" s="185">
        <f t="shared" ca="1" si="250"/>
        <v>0</v>
      </c>
      <c r="BW288" s="185"/>
      <c r="BX288" s="185"/>
      <c r="BY288" s="185" t="str">
        <f t="shared" ca="1" si="245"/>
        <v>Qlosr Göteborg AB</v>
      </c>
      <c r="BZ288" s="185" t="str">
        <f t="shared" ca="1" si="245"/>
        <v>Apple</v>
      </c>
      <c r="CA288" s="63"/>
      <c r="CB288" s="63"/>
      <c r="CC288" s="63"/>
      <c r="CD288" s="63"/>
      <c r="CE288" s="63"/>
      <c r="CF288" s="63"/>
      <c r="CG288" s="63"/>
      <c r="CH288" s="63"/>
      <c r="CI288" s="63"/>
      <c r="CJ288" s="63"/>
      <c r="CK288" s="63"/>
      <c r="CL288" s="63"/>
      <c r="CM288" s="63"/>
      <c r="CN288" s="63"/>
    </row>
    <row r="289" spans="2:92" ht="67.5" customHeight="1" outlineLevel="1" x14ac:dyDescent="0.35">
      <c r="B289" s="69" t="s">
        <v>347</v>
      </c>
      <c r="C289" s="97" t="s">
        <v>52</v>
      </c>
      <c r="D289" s="132" t="str">
        <f>IF("Ska Ingå"=D287,"Ska Ingå","")</f>
        <v/>
      </c>
      <c r="F289" s="86" t="str">
        <f t="shared" si="251"/>
        <v/>
      </c>
      <c r="G289" s="87" t="str">
        <f t="shared" ca="1" si="252"/>
        <v>GBXLENCHARGE</v>
      </c>
      <c r="H289" s="87" t="str">
        <f t="shared" ca="1" si="252"/>
        <v>MBXUSB-AC0011 - Strömadapter - 12 Watt - 2.4 A (USB) - på kabel: USB-C - vit - med USB-C cable (2m)</v>
      </c>
      <c r="I289" s="87" t="str">
        <f t="shared" ca="1" si="252"/>
        <v>GBXWCA003VF04WH</v>
      </c>
      <c r="J289" s="54"/>
      <c r="Q289" s="185">
        <f t="shared" si="226"/>
        <v>0</v>
      </c>
      <c r="R289" s="185">
        <f t="shared" si="227"/>
        <v>0</v>
      </c>
      <c r="S289" s="185">
        <f t="shared" si="228"/>
        <v>0</v>
      </c>
      <c r="T289" s="185">
        <f t="shared" si="229"/>
        <v>0</v>
      </c>
      <c r="U289" s="185">
        <f t="shared" si="230"/>
        <v>0</v>
      </c>
      <c r="V289" s="185">
        <f t="shared" si="231"/>
        <v>0</v>
      </c>
      <c r="W289" s="185">
        <f t="shared" si="232"/>
        <v>0</v>
      </c>
      <c r="X289" s="185">
        <f t="shared" si="233"/>
        <v>0</v>
      </c>
      <c r="Y289" s="185">
        <f t="shared" si="234"/>
        <v>0</v>
      </c>
      <c r="Z289" s="196">
        <f t="shared" ca="1" si="235"/>
        <v>4710</v>
      </c>
      <c r="AA289" s="185" t="str">
        <f t="shared" si="236"/>
        <v>Offererad produktnr. 10Qlosr Göteborg AB</v>
      </c>
      <c r="AB289" s="185" t="b">
        <f>IF(D271="",TRUE,IF(COUNTIF(Processor!$M$2:$M$3,D271)=0,IF(AN289=D271,TRUE,FALSE),IF(COUNTIF(AN289,INDEX(Processor!$N$2:$N$3,MATCH(Surfplattor!D271,Processor!$M$2:$M$3,0)))&gt;0,TRUE,FALSE)))</f>
        <v>1</v>
      </c>
      <c r="AC289" s="185" t="b">
        <f>IF($D$272="",TRUE,IF(COUNTIF(Processor!$I$2:$I$9,$D$272)&gt;0,AND(AO289&gt;INDEX(Processor!$J$2:$J$9,MATCH($D$272,Processor!$I$2:$I$9,0)),AO289&lt;INDEX(Processor!$K$2:$K$9,MATCH($D$272,Processor!$I$2:$I$9,0))),IF(AO289=$D$272,TRUE,FALSE)))</f>
        <v>1</v>
      </c>
      <c r="AD289" s="185" t="b">
        <f t="shared" si="237"/>
        <v>1</v>
      </c>
      <c r="AE289" s="185" t="b">
        <f t="shared" si="238"/>
        <v>1</v>
      </c>
      <c r="AF289" s="185" t="b">
        <f t="shared" si="239"/>
        <v>1</v>
      </c>
      <c r="AG289" s="185" t="b">
        <f t="shared" si="240"/>
        <v>1</v>
      </c>
      <c r="AH289" s="185" t="b">
        <f>IF($D$277="",TRUE,IF(INDEX(Processor!$C$14:$C$20,MATCH(LEFT(AT289,10)&amp;"",Processor!$A$14:$A$20,0))&gt;=INDEX(Processor!$C$14:$C$20,MATCH(LEFT($D$277,10)&amp;"",Processor!$A$14:$A$20,0)),TRUE,FALSE))</f>
        <v>1</v>
      </c>
      <c r="AI289" s="185" t="b">
        <f t="shared" si="241"/>
        <v>1</v>
      </c>
      <c r="AJ289" s="185"/>
      <c r="AK289" s="185"/>
      <c r="AL289" s="185" t="s">
        <v>561</v>
      </c>
      <c r="AM289" s="185">
        <v>1</v>
      </c>
      <c r="AN289" s="185" t="str">
        <f t="shared" ca="1" si="248"/>
        <v>Android 10</v>
      </c>
      <c r="AO289" s="185">
        <f t="shared" ca="1" si="248"/>
        <v>11.5</v>
      </c>
      <c r="AP289" s="185" t="str">
        <f t="shared" ca="1" si="248"/>
        <v>2560x1600</v>
      </c>
      <c r="AQ289" s="185">
        <f t="shared" ca="1" si="248"/>
        <v>128</v>
      </c>
      <c r="AR289" s="185">
        <f t="shared" ca="1" si="248"/>
        <v>5</v>
      </c>
      <c r="AS289" s="185" t="str">
        <f t="shared" ca="1" si="248"/>
        <v>802.11a/b/g/n/ac</v>
      </c>
      <c r="AT289" s="185">
        <f t="shared" ca="1" si="248"/>
        <v>8</v>
      </c>
      <c r="AU289" s="185" t="str">
        <f t="shared" ca="1" si="248"/>
        <v>Ej miljömärkt</v>
      </c>
      <c r="AV289" s="185" t="str">
        <f t="shared" ca="1" si="248"/>
        <v>802.11a/b/g/n/ac</v>
      </c>
      <c r="AW289" s="185">
        <f t="shared" ca="1" si="248"/>
        <v>5</v>
      </c>
      <c r="AX289" s="185">
        <f t="shared" ca="1" si="249"/>
        <v>8</v>
      </c>
      <c r="AY289" s="185" t="str">
        <f t="shared" ca="1" si="249"/>
        <v>Lenovo Tab P11 Pro ZA7C 128GB</v>
      </c>
      <c r="AZ289" s="185">
        <f t="shared" ca="1" si="249"/>
        <v>0</v>
      </c>
      <c r="BA289" s="185" t="str">
        <f t="shared" ca="1" si="249"/>
        <v>Android 10</v>
      </c>
      <c r="BB289" s="185">
        <f t="shared" ca="1" si="249"/>
        <v>4710</v>
      </c>
      <c r="BC289" s="185">
        <f t="shared" ca="1" si="249"/>
        <v>4710</v>
      </c>
      <c r="BD289" s="192" t="str">
        <f t="shared" ca="1" si="249"/>
        <v>Phonelife</v>
      </c>
      <c r="BE289" s="192" t="str">
        <f t="shared" ca="1" si="249"/>
        <v>Lenovo</v>
      </c>
      <c r="BF289" s="192" t="str">
        <f t="shared" ca="1" si="249"/>
        <v>Lenovo</v>
      </c>
      <c r="BG289" s="192" t="str">
        <f t="shared" ca="1" si="249"/>
        <v>DELTACO</v>
      </c>
      <c r="BH289" s="192" t="str">
        <f t="shared" ca="1" si="250"/>
        <v>Kecow</v>
      </c>
      <c r="BI289" s="192" t="str">
        <f t="shared" ca="1" si="250"/>
        <v>GBXRUGGEDLENTAB-V2</v>
      </c>
      <c r="BJ289" s="192" t="str">
        <f t="shared" ca="1" si="250"/>
        <v>GBXLENFILM</v>
      </c>
      <c r="BK289" s="192" t="str">
        <f t="shared" ca="1" si="250"/>
        <v>GBXLENCHARGE</v>
      </c>
      <c r="BL289" s="192" t="str">
        <f t="shared" ca="1" si="250"/>
        <v>GBX TB-631</v>
      </c>
      <c r="BM289" s="192" t="str">
        <f t="shared" ca="1" si="250"/>
        <v>GBXPP2PENMAGNETIC</v>
      </c>
      <c r="BN289" s="192">
        <f t="shared" ca="1" si="250"/>
        <v>330</v>
      </c>
      <c r="BO289" s="185">
        <f t="shared" ca="1" si="250"/>
        <v>180</v>
      </c>
      <c r="BP289" s="192">
        <f t="shared" ca="1" si="250"/>
        <v>220</v>
      </c>
      <c r="BQ289" s="192">
        <f t="shared" ca="1" si="250"/>
        <v>150</v>
      </c>
      <c r="BR289" s="192">
        <f t="shared" ca="1" si="250"/>
        <v>399</v>
      </c>
      <c r="BS289" s="185">
        <f t="shared" ca="1" si="250"/>
        <v>560</v>
      </c>
      <c r="BT289" s="185">
        <f t="shared" ca="1" si="250"/>
        <v>25</v>
      </c>
      <c r="BU289" s="185">
        <f t="shared" ca="1" si="250"/>
        <v>25</v>
      </c>
      <c r="BV289" s="185">
        <f t="shared" ca="1" si="250"/>
        <v>0</v>
      </c>
      <c r="BW289" s="185"/>
      <c r="BX289" s="185"/>
      <c r="BY289" s="185" t="str">
        <f t="shared" ca="1" si="245"/>
        <v>Qlosr Göteborg AB</v>
      </c>
      <c r="BZ289" s="185" t="str">
        <f t="shared" ca="1" si="245"/>
        <v>Lenovo</v>
      </c>
      <c r="CA289" s="63"/>
      <c r="CB289" s="63"/>
      <c r="CC289" s="63"/>
      <c r="CD289" s="63"/>
      <c r="CE289" s="63"/>
      <c r="CF289" s="63"/>
      <c r="CG289" s="63"/>
      <c r="CH289" s="63"/>
      <c r="CI289" s="63"/>
      <c r="CJ289" s="63"/>
      <c r="CK289" s="63"/>
      <c r="CL289" s="63"/>
      <c r="CM289" s="63"/>
      <c r="CN289" s="63"/>
    </row>
    <row r="290" spans="2:92" ht="30" customHeight="1" outlineLevel="1" x14ac:dyDescent="0.35">
      <c r="B290" s="69" t="s">
        <v>59</v>
      </c>
      <c r="C290" s="98" t="s">
        <v>374</v>
      </c>
      <c r="D290" s="70"/>
      <c r="F290" s="157" t="str">
        <f t="shared" si="251"/>
        <v/>
      </c>
      <c r="G290" s="158">
        <f t="shared" ca="1" si="252"/>
        <v>150</v>
      </c>
      <c r="H290" s="158">
        <f t="shared" ca="1" si="252"/>
        <v>169</v>
      </c>
      <c r="I290" s="158">
        <f t="shared" ca="1" si="252"/>
        <v>150</v>
      </c>
      <c r="J290" s="73"/>
      <c r="BD290" s="63"/>
      <c r="BE290" s="63"/>
      <c r="BF290" s="63"/>
      <c r="BG290" s="63"/>
      <c r="BH290" s="63"/>
      <c r="BI290" s="63"/>
      <c r="BJ290" s="63"/>
      <c r="BK290" s="63"/>
      <c r="BL290" s="63"/>
      <c r="BM290" s="63"/>
      <c r="BN290" s="63"/>
      <c r="BP290" s="63"/>
      <c r="BQ290" s="63"/>
      <c r="BR290" s="63"/>
    </row>
    <row r="291" spans="2:92" ht="30" customHeight="1" outlineLevel="1" x14ac:dyDescent="0.35">
      <c r="B291" s="69" t="s">
        <v>343</v>
      </c>
      <c r="C291" s="61" t="s">
        <v>51</v>
      </c>
      <c r="D291" s="131" t="str">
        <f>IF("Ska Ingå"=D290,"Ska Ingå","")</f>
        <v/>
      </c>
      <c r="F291" s="88" t="str">
        <f t="shared" si="251"/>
        <v/>
      </c>
      <c r="G291" s="89" t="str">
        <f t="shared" ca="1" si="252"/>
        <v>DELTACO</v>
      </c>
      <c r="H291" s="89" t="str">
        <f t="shared" ca="1" si="252"/>
        <v>DELTACO</v>
      </c>
      <c r="I291" s="89" t="str">
        <f t="shared" ca="1" si="252"/>
        <v>DELTACO</v>
      </c>
      <c r="J291" s="54"/>
      <c r="BD291" s="63"/>
      <c r="BE291" s="63"/>
      <c r="BF291" s="63"/>
      <c r="BG291" s="63"/>
      <c r="BH291" s="63"/>
      <c r="BI291" s="63"/>
      <c r="BJ291" s="63"/>
      <c r="BK291" s="63"/>
      <c r="BL291" s="63"/>
      <c r="BM291" s="63"/>
      <c r="BN291" s="63"/>
      <c r="BP291" s="63"/>
      <c r="BQ291" s="63"/>
      <c r="BR291" s="63"/>
    </row>
    <row r="292" spans="2:92" ht="45" customHeight="1" outlineLevel="1" x14ac:dyDescent="0.35">
      <c r="B292" s="69" t="s">
        <v>348</v>
      </c>
      <c r="C292" s="99" t="s">
        <v>52</v>
      </c>
      <c r="D292" s="132" t="str">
        <f>IF("Ska Ingå"=D290,"Ska Ingå","")</f>
        <v/>
      </c>
      <c r="F292" s="90" t="str">
        <f t="shared" si="251"/>
        <v/>
      </c>
      <c r="G292" s="91" t="str">
        <f t="shared" ca="1" si="252"/>
        <v>GBX TB-631</v>
      </c>
      <c r="H292" s="91" t="str">
        <f t="shared" ca="1" si="252"/>
        <v>TB-631</v>
      </c>
      <c r="I292" s="91" t="str">
        <f t="shared" ca="1" si="252"/>
        <v>GBX TB-631</v>
      </c>
      <c r="BD292" s="63"/>
      <c r="BE292" s="63"/>
      <c r="BF292" s="63"/>
      <c r="BG292" s="63"/>
      <c r="BH292" s="63"/>
      <c r="BI292" s="63"/>
      <c r="BJ292" s="63"/>
      <c r="BK292" s="63"/>
      <c r="BL292" s="63"/>
      <c r="BM292" s="63"/>
      <c r="BN292" s="63"/>
      <c r="BP292" s="63"/>
      <c r="BQ292" s="63"/>
      <c r="BR292" s="63"/>
    </row>
    <row r="293" spans="2:92" ht="30" customHeight="1" outlineLevel="1" x14ac:dyDescent="0.35">
      <c r="B293" s="69" t="s">
        <v>227</v>
      </c>
      <c r="C293" s="95" t="s">
        <v>375</v>
      </c>
      <c r="D293" s="70"/>
      <c r="F293" s="159" t="str">
        <f t="shared" si="251"/>
        <v/>
      </c>
      <c r="G293" s="160">
        <f t="shared" ca="1" si="252"/>
        <v>399</v>
      </c>
      <c r="H293" s="160">
        <f t="shared" ca="1" si="252"/>
        <v>595</v>
      </c>
      <c r="I293" s="160">
        <f t="shared" ca="1" si="252"/>
        <v>839</v>
      </c>
      <c r="BD293" s="63"/>
      <c r="BE293" s="63"/>
      <c r="BF293" s="63"/>
      <c r="BG293" s="63"/>
      <c r="BH293" s="63"/>
      <c r="BI293" s="63"/>
      <c r="BJ293" s="63"/>
      <c r="BK293" s="63"/>
      <c r="BL293" s="63"/>
      <c r="BM293" s="63"/>
      <c r="BN293" s="63"/>
      <c r="BP293" s="63"/>
      <c r="BQ293" s="63"/>
      <c r="BR293" s="63"/>
    </row>
    <row r="294" spans="2:92" ht="30" customHeight="1" outlineLevel="1" x14ac:dyDescent="0.35">
      <c r="B294" s="69" t="s">
        <v>344</v>
      </c>
      <c r="C294" s="96" t="s">
        <v>51</v>
      </c>
      <c r="D294" s="131" t="str">
        <f>IF("Ska Ingå"=D293,"Ska Ingå","")</f>
        <v/>
      </c>
      <c r="F294" s="84" t="str">
        <f t="shared" si="251"/>
        <v/>
      </c>
      <c r="G294" s="85" t="str">
        <f t="shared" ca="1" si="252"/>
        <v>Kecow</v>
      </c>
      <c r="H294" s="85" t="str">
        <f t="shared" ca="1" si="252"/>
        <v xml:space="preserve">ZAGG </v>
      </c>
      <c r="I294" s="85" t="str">
        <f t="shared" ca="1" si="252"/>
        <v>Apple</v>
      </c>
      <c r="BD294" s="63"/>
      <c r="BE294" s="63"/>
      <c r="BF294" s="63"/>
      <c r="BG294" s="63"/>
      <c r="BH294" s="63"/>
      <c r="BI294" s="63"/>
      <c r="BJ294" s="63"/>
      <c r="BK294" s="63"/>
      <c r="BL294" s="63"/>
      <c r="BM294" s="63"/>
      <c r="BN294" s="63"/>
      <c r="BP294" s="63"/>
      <c r="BQ294" s="63"/>
      <c r="BR294" s="63"/>
    </row>
    <row r="295" spans="2:92" ht="67.5" customHeight="1" outlineLevel="1" x14ac:dyDescent="0.35">
      <c r="B295" s="69" t="s">
        <v>349</v>
      </c>
      <c r="C295" s="116" t="s">
        <v>52</v>
      </c>
      <c r="D295" s="132" t="str">
        <f>IF("Ska Ingå"=D293,"Ska Ingå","")</f>
        <v/>
      </c>
      <c r="F295" s="117" t="str">
        <f t="shared" si="251"/>
        <v/>
      </c>
      <c r="G295" s="118" t="str">
        <f t="shared" ca="1" si="252"/>
        <v>GBXPP2PENMAGNETIC</v>
      </c>
      <c r="H295" s="118" t="str">
        <f t="shared" ca="1" si="252"/>
        <v>109912139 - Pro Stylus 2 - Aktiv penna - grå</v>
      </c>
      <c r="I295" s="118" t="str">
        <f t="shared" ca="1" si="252"/>
        <v>MK0C2ZM/A</v>
      </c>
      <c r="BD295" s="63"/>
      <c r="BE295" s="63"/>
      <c r="BF295" s="63"/>
      <c r="BG295" s="63"/>
      <c r="BH295" s="63"/>
      <c r="BI295" s="63"/>
      <c r="BJ295" s="63"/>
      <c r="BK295" s="63"/>
      <c r="BL295" s="63"/>
      <c r="BM295" s="63"/>
      <c r="BN295" s="63"/>
      <c r="BP295" s="63"/>
      <c r="BQ295" s="63"/>
      <c r="BR295" s="63"/>
    </row>
    <row r="296" spans="2:92" ht="22.5" customHeight="1" outlineLevel="1" x14ac:dyDescent="0.35">
      <c r="B296" s="69"/>
      <c r="C296" s="212" t="s">
        <v>365</v>
      </c>
      <c r="D296" s="215"/>
      <c r="E296" s="213"/>
      <c r="F296" s="213"/>
      <c r="G296" s="213"/>
      <c r="H296" s="213"/>
      <c r="I296" s="214"/>
    </row>
    <row r="297" spans="2:92" ht="22.5" customHeight="1" outlineLevel="1" x14ac:dyDescent="0.35">
      <c r="B297" s="71" t="s">
        <v>228</v>
      </c>
      <c r="C297" s="115" t="s">
        <v>367</v>
      </c>
      <c r="D297" s="70"/>
      <c r="F297" s="161" t="str">
        <f>IF(F$268="Inget antal angivet","",IFERROR(INDEX($AN$269:$BZ$295,MATCH(F$265,$AL$269:$AL$295,0),MATCH($B297,$AN$269:$BZ$269,0)),""))</f>
        <v/>
      </c>
      <c r="G297" s="162">
        <f t="shared" ref="G297:I299" ca="1" si="253">IFERROR(INDEX($AN$269:$BZ$295,MATCH(G$265,$AL$269:$AL$295,0),MATCH($B297,$AN$269:$BZ$269,0)),"")</f>
        <v>570</v>
      </c>
      <c r="H297" s="162">
        <f t="shared" ca="1" si="253"/>
        <v>781</v>
      </c>
      <c r="I297" s="162">
        <f t="shared" ca="1" si="253"/>
        <v>514</v>
      </c>
    </row>
    <row r="298" spans="2:92" ht="22.5" customHeight="1" outlineLevel="1" x14ac:dyDescent="0.35">
      <c r="B298" s="71" t="s">
        <v>229</v>
      </c>
      <c r="C298" s="61" t="s">
        <v>369</v>
      </c>
      <c r="D298" s="70"/>
      <c r="F298" s="165" t="str">
        <f>IF(F$268="Inget antal angivet","",IFERROR(INDEX($AN$269:$BZ$295,MATCH(F$265,$AL$269:$AL$295,0),MATCH($B298,$AN$269:$BZ$269,0)),""))</f>
        <v/>
      </c>
      <c r="G298" s="166">
        <f t="shared" ca="1" si="253"/>
        <v>25</v>
      </c>
      <c r="H298" s="166">
        <f t="shared" ca="1" si="253"/>
        <v>50</v>
      </c>
      <c r="I298" s="166">
        <f t="shared" ca="1" si="253"/>
        <v>25</v>
      </c>
    </row>
    <row r="299" spans="2:92" ht="22.5" customHeight="1" outlineLevel="1" x14ac:dyDescent="0.35">
      <c r="B299" s="71" t="s">
        <v>230</v>
      </c>
      <c r="C299" s="96" t="s">
        <v>370</v>
      </c>
      <c r="D299" s="70"/>
      <c r="F299" s="163" t="str">
        <f>IF(F$268="Inget antal angivet","",IFERROR(INDEX($AN$269:$BZ$295,MATCH(F$265,$AL$269:$AL$295,0),MATCH($B299,$AN$269:$BZ$269,0)),""))</f>
        <v/>
      </c>
      <c r="G299" s="164">
        <f t="shared" ca="1" si="253"/>
        <v>25</v>
      </c>
      <c r="H299" s="164">
        <f t="shared" ca="1" si="253"/>
        <v>50</v>
      </c>
      <c r="I299" s="164">
        <f t="shared" ca="1" si="253"/>
        <v>25</v>
      </c>
    </row>
    <row r="300" spans="2:92" ht="22.5" customHeight="1" outlineLevel="1" x14ac:dyDescent="0.35"/>
    <row r="301" spans="2:92" ht="22.5" customHeight="1" x14ac:dyDescent="0.35"/>
    <row r="302" spans="2:92" ht="22.5" customHeight="1" x14ac:dyDescent="0.35">
      <c r="D302" s="72" t="s">
        <v>233</v>
      </c>
      <c r="F302" s="221" t="s">
        <v>252</v>
      </c>
      <c r="G302" s="221"/>
      <c r="H302" s="221"/>
      <c r="I302" s="222"/>
    </row>
    <row r="303" spans="2:92" ht="22.5" customHeight="1" x14ac:dyDescent="0.35">
      <c r="D303" s="74"/>
      <c r="F303" s="202" t="str">
        <f ca="1">IFERROR(INDEX($Z$270:$Z$293,MATCH(F265,$AA$270:$AA$293,0))*D303,"")</f>
        <v/>
      </c>
      <c r="G303" s="202">
        <f ca="1">IFERROR(P270 *D303,"")</f>
        <v>0</v>
      </c>
      <c r="H303" s="202">
        <f ca="1">IFERROR(P271 *D303,"")</f>
        <v>0</v>
      </c>
      <c r="I303" s="202">
        <f ca="1">IFERROR(P272 * D303,"")</f>
        <v>0</v>
      </c>
    </row>
    <row r="305" spans="2:92" ht="15" thickBot="1" x14ac:dyDescent="0.4">
      <c r="C305" s="174"/>
      <c r="D305" s="174"/>
      <c r="E305" s="174"/>
      <c r="F305" s="174"/>
      <c r="G305" s="174"/>
      <c r="H305" s="174"/>
      <c r="I305" s="174"/>
    </row>
    <row r="306" spans="2:92" ht="15" thickTop="1" x14ac:dyDescent="0.35"/>
    <row r="309" spans="2:92" ht="71.25" customHeight="1" collapsed="1" x14ac:dyDescent="0.35">
      <c r="C309" s="53"/>
      <c r="D309" s="53"/>
      <c r="F309" s="50" t="e">
        <f ca="1">N313</f>
        <v>#N/A</v>
      </c>
      <c r="G309" s="50" t="str">
        <f ca="1">INDEX(AA314:AA339,MATCH(P314,Z314:Z339,0))</f>
        <v>Offererad produktnr. 07Qlosr Göteborg AB</v>
      </c>
      <c r="H309" s="50" t="str">
        <f ca="1">INDEX(AA313:AA338,MATCH(P315,Z313:Z338,0))</f>
        <v>Offererad produktnr. 07Advania Sverige AB</v>
      </c>
      <c r="I309" s="50" t="str">
        <f ca="1">INDEX(AA313:AA338,MATCH(P316,Z313:Z338,0))</f>
        <v>Offererad produktnr. 08Qlosr Göteborg AB</v>
      </c>
      <c r="AN309" s="12" t="s">
        <v>124</v>
      </c>
      <c r="AO309" s="12" t="s">
        <v>124</v>
      </c>
      <c r="AP309" s="12" t="s">
        <v>124</v>
      </c>
      <c r="AQ309" s="12" t="s">
        <v>124</v>
      </c>
      <c r="AR309" s="12" t="s">
        <v>124</v>
      </c>
      <c r="AS309" s="12" t="s">
        <v>124</v>
      </c>
      <c r="AT309" s="12" t="s">
        <v>124</v>
      </c>
      <c r="AU309" s="12" t="s">
        <v>124</v>
      </c>
      <c r="AV309" s="12" t="s">
        <v>124</v>
      </c>
      <c r="AW309" s="12" t="s">
        <v>124</v>
      </c>
      <c r="AX309" s="12" t="s">
        <v>124</v>
      </c>
      <c r="AY309" s="12" t="s">
        <v>124</v>
      </c>
      <c r="AZ309" s="12" t="s">
        <v>124</v>
      </c>
      <c r="BA309" s="12" t="s">
        <v>124</v>
      </c>
      <c r="BB309" s="12" t="s">
        <v>124</v>
      </c>
      <c r="BC309" s="12" t="s">
        <v>124</v>
      </c>
      <c r="BD309" s="12" t="s">
        <v>124</v>
      </c>
      <c r="BE309" s="12" t="s">
        <v>124</v>
      </c>
      <c r="BF309" s="12" t="s">
        <v>124</v>
      </c>
      <c r="BG309" s="12" t="s">
        <v>124</v>
      </c>
      <c r="BH309" s="12" t="s">
        <v>124</v>
      </c>
      <c r="BI309" s="12" t="s">
        <v>124</v>
      </c>
      <c r="BJ309" s="12" t="s">
        <v>124</v>
      </c>
      <c r="BK309" s="12" t="s">
        <v>124</v>
      </c>
      <c r="BL309" s="12" t="s">
        <v>124</v>
      </c>
      <c r="BM309" s="12" t="s">
        <v>124</v>
      </c>
      <c r="BN309" s="12" t="s">
        <v>124</v>
      </c>
      <c r="BO309" s="12" t="s">
        <v>124</v>
      </c>
      <c r="BP309" s="12" t="s">
        <v>124</v>
      </c>
      <c r="BQ309" s="12" t="s">
        <v>124</v>
      </c>
      <c r="BR309" s="12" t="s">
        <v>124</v>
      </c>
      <c r="BS309" s="12" t="s">
        <v>124</v>
      </c>
      <c r="BT309" s="12" t="s">
        <v>124</v>
      </c>
      <c r="BU309" s="12" t="s">
        <v>124</v>
      </c>
      <c r="BV309" s="12" t="s">
        <v>124</v>
      </c>
      <c r="BW309" s="12"/>
      <c r="BX309" s="12"/>
      <c r="BY309" s="12" t="s">
        <v>124</v>
      </c>
      <c r="BZ309" s="12" t="s">
        <v>124</v>
      </c>
      <c r="CA309" s="12"/>
      <c r="CB309" s="12"/>
      <c r="CC309" s="12"/>
      <c r="CD309" s="12"/>
      <c r="CE309" s="12"/>
      <c r="CF309" s="12"/>
      <c r="CG309" s="12"/>
      <c r="CH309" s="12"/>
      <c r="CI309" s="12"/>
      <c r="CJ309" s="12"/>
      <c r="CK309" s="12"/>
      <c r="CL309" s="12"/>
      <c r="CM309" s="12"/>
      <c r="CN309" s="12"/>
    </row>
    <row r="310" spans="2:92" ht="25.5" customHeight="1" thickBot="1" x14ac:dyDescent="0.4">
      <c r="C310" s="53"/>
      <c r="D310" s="53"/>
      <c r="F310" s="140" t="s">
        <v>446</v>
      </c>
      <c r="G310" s="205" t="s">
        <v>447</v>
      </c>
      <c r="H310" s="205"/>
      <c r="I310" s="205"/>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row>
    <row r="311" spans="2:92" ht="22.5" customHeight="1" thickBot="1" x14ac:dyDescent="0.4">
      <c r="B311" t="str">
        <f ca="1" xml:space="preserve"> "Produkt "  &amp; B312</f>
        <v>Produkt 8</v>
      </c>
      <c r="C311" s="206" t="str">
        <f>IF(F312="Ingen produkt motsvarar","Felmeddelande",IF(COUNTIF($P$1:$P$6,TRUE)&gt;0,"","Felmeddelande"))</f>
        <v/>
      </c>
      <c r="D311" s="207"/>
      <c r="F311" s="218" t="s">
        <v>271</v>
      </c>
      <c r="G311" s="218"/>
      <c r="H311" s="218"/>
      <c r="I311" s="219"/>
      <c r="O311">
        <v>1</v>
      </c>
      <c r="AN311" s="13" t="str">
        <f t="shared" ref="AN311:AX311" si="254">AN313</f>
        <v>Operativsystem</v>
      </c>
      <c r="AO311" s="13" t="str">
        <f t="shared" si="254"/>
        <v>Skärmstorlek (tum)</v>
      </c>
      <c r="AP311" s="13" t="str">
        <f t="shared" si="254"/>
        <v>Upplösning</v>
      </c>
      <c r="AQ311" s="13" t="str">
        <f t="shared" si="254"/>
        <v>Lagringsutrymme</v>
      </c>
      <c r="AR311" s="13" t="str">
        <f t="shared" si="254"/>
        <v>Kommunikation Bluetooth</v>
      </c>
      <c r="AS311" s="13" t="str">
        <f t="shared" si="254"/>
        <v>Kommunikation WLAN</v>
      </c>
      <c r="AT311" s="13" t="str">
        <f t="shared" si="254"/>
        <v>Batteritid (tim)</v>
      </c>
      <c r="AU311" s="13" t="str">
        <f t="shared" si="254"/>
        <v>Miljömärkning</v>
      </c>
      <c r="AV311" s="13" t="str">
        <f t="shared" si="254"/>
        <v>Kommunikation WLAN</v>
      </c>
      <c r="AW311" s="13" t="str">
        <f t="shared" si="254"/>
        <v>Kommunikation Bluetooth</v>
      </c>
      <c r="AX311" s="13" t="str">
        <f t="shared" si="254"/>
        <v>Batteritid (tim)</v>
      </c>
      <c r="AY311" s="13" t="s">
        <v>52</v>
      </c>
      <c r="AZ311" s="13" t="str">
        <f>AZ313</f>
        <v>Låsskydd</v>
      </c>
      <c r="BA311" s="13" t="str">
        <f>BA313</f>
        <v>Operativsystem</v>
      </c>
      <c r="BB311" s="13" t="str">
        <f>BB313</f>
        <v>Pris</v>
      </c>
      <c r="BC311" t="s">
        <v>224</v>
      </c>
      <c r="BD311" s="100" t="s">
        <v>340</v>
      </c>
      <c r="BE311" s="100" t="s">
        <v>341</v>
      </c>
      <c r="BF311" s="100" t="s">
        <v>342</v>
      </c>
      <c r="BG311" s="100" t="s">
        <v>343</v>
      </c>
      <c r="BH311" s="100" t="s">
        <v>344</v>
      </c>
      <c r="BI311" s="100" t="s">
        <v>345</v>
      </c>
      <c r="BJ311" s="100" t="s">
        <v>346</v>
      </c>
      <c r="BK311" s="100" t="s">
        <v>347</v>
      </c>
      <c r="BL311" s="100" t="s">
        <v>348</v>
      </c>
      <c r="BM311" s="100" t="s">
        <v>349</v>
      </c>
      <c r="BN311" s="56" t="s">
        <v>53</v>
      </c>
      <c r="BO311" s="56" t="s">
        <v>54</v>
      </c>
      <c r="BP311" s="56" t="s">
        <v>55</v>
      </c>
      <c r="BQ311" s="56" t="s">
        <v>59</v>
      </c>
      <c r="BR311" s="56" t="s">
        <v>227</v>
      </c>
      <c r="BS311" s="57" t="s">
        <v>228</v>
      </c>
      <c r="BT311" s="57" t="s">
        <v>229</v>
      </c>
      <c r="BU311" s="57" t="s">
        <v>230</v>
      </c>
      <c r="BV311" s="57" t="s">
        <v>231</v>
      </c>
      <c r="BW311" s="57"/>
      <c r="BX311" s="57"/>
      <c r="BY311" s="57" t="s">
        <v>6</v>
      </c>
      <c r="BZ311" s="4" t="s">
        <v>51</v>
      </c>
      <c r="CA311" s="13"/>
      <c r="CB311" s="13"/>
      <c r="CC311" s="13"/>
      <c r="CD311" s="13"/>
      <c r="CE311" s="13"/>
      <c r="CF311" s="13"/>
      <c r="CG311" s="13"/>
      <c r="CH311" s="13"/>
      <c r="CI311" s="13"/>
      <c r="CJ311" s="13"/>
      <c r="CK311" s="13"/>
      <c r="CL311" s="13"/>
      <c r="CM311" s="13"/>
      <c r="CN311" s="13"/>
    </row>
    <row r="312" spans="2:92" ht="22.5" customHeight="1" x14ac:dyDescent="0.35">
      <c r="B312">
        <f ca="1">COUNTIF($F$7:F315,"Produkt I varukorg*")</f>
        <v>8</v>
      </c>
      <c r="F312" s="51" t="str">
        <f>IF(D347&lt;1,"Inget antal angivet",IFERROR(INDEX($Z$314:$Z$337,MATCH(F309,$AA$314:$AA$337,0)),"Ingen produkt motsvarar"))</f>
        <v>Inget antal angivet</v>
      </c>
      <c r="G312" s="52">
        <f ca="1">IFERROR(P314,"Ingen produkt motsvarar")</f>
        <v>1700</v>
      </c>
      <c r="H312" s="52">
        <f ca="1">IFERROR(P315,"")</f>
        <v>2084</v>
      </c>
      <c r="I312" s="52">
        <f ca="1">IFERROR(P316,"")</f>
        <v>3205</v>
      </c>
      <c r="AA312" t="str">
        <f>IF(COUNTIF(AB312:AI312,FALSE)&gt;0,AL312,"")</f>
        <v/>
      </c>
      <c r="AB312" t="b">
        <f>IF($D$317="",TRUE,IF(AN312=$D$317,TRUE,FALSE))</f>
        <v>1</v>
      </c>
      <c r="AC312" t="b">
        <f>IF(D314="",TRUE,IF(AO312=$D$318,TRUE,FALSE))</f>
        <v>1</v>
      </c>
      <c r="AD312" t="b">
        <f>IF(D317="",TRUE,IF(AP312=D317,TRUE,FALSE))</f>
        <v>1</v>
      </c>
      <c r="AE312" t="b">
        <f>IF(D318="",TRUE,IF(AQ312=D318,TRUE,FALSE))</f>
        <v>1</v>
      </c>
      <c r="AF312" t="b">
        <f>IF(D319="",TRUE,IF(AR312=D319,TRUE,FALSE))</f>
        <v>1</v>
      </c>
      <c r="AG312" t="b">
        <f>IF(D320="",TRUE,IF(AS312=D320,TRUE,FALSE))</f>
        <v>1</v>
      </c>
      <c r="AH312" t="b">
        <f>IF(D316="",TRUE,IF(AT312=D316,TRUE,FALSE))</f>
        <v>1</v>
      </c>
      <c r="AI312" t="b">
        <f>IF(D315="",TRUE,IF(AV312=D315,TRUE,FALSE))</f>
        <v>1</v>
      </c>
      <c r="AL312" t="s">
        <v>126</v>
      </c>
      <c r="AN312" s="58" t="str">
        <f t="shared" ref="AN312:BL312" ca="1" si="255">IFERROR(INDEX(INDIRECT(AN$309&amp;"!$A$10:CC100000"),MATCH($AL312,INDIRECT(AN$309&amp;"!BH$10:BH100000"),0),MATCH(AN$311,INDIRECT(AN$309&amp;"!a10:CC10"),0)),"False")</f>
        <v>False</v>
      </c>
      <c r="AO312" s="58" t="str">
        <f t="shared" ca="1" si="255"/>
        <v>False</v>
      </c>
      <c r="AP312" s="58" t="str">
        <f t="shared" ca="1" si="255"/>
        <v>False</v>
      </c>
      <c r="AQ312" s="58" t="str">
        <f t="shared" ca="1" si="255"/>
        <v>False</v>
      </c>
      <c r="AR312" s="58" t="str">
        <f t="shared" ca="1" si="255"/>
        <v>False</v>
      </c>
      <c r="AS312" s="58" t="str">
        <f t="shared" ca="1" si="255"/>
        <v>False</v>
      </c>
      <c r="AT312" s="58" t="str">
        <f t="shared" ca="1" si="255"/>
        <v>False</v>
      </c>
      <c r="AU312" s="58" t="str">
        <f t="shared" ca="1" si="255"/>
        <v>False</v>
      </c>
      <c r="AV312" s="58" t="str">
        <f t="shared" ca="1" si="255"/>
        <v>False</v>
      </c>
      <c r="AW312" s="58" t="str">
        <f t="shared" ca="1" si="255"/>
        <v>False</v>
      </c>
      <c r="AX312" s="58" t="str">
        <f t="shared" ca="1" si="255"/>
        <v>False</v>
      </c>
      <c r="AY312" s="58" t="str">
        <f t="shared" ca="1" si="255"/>
        <v>False</v>
      </c>
      <c r="AZ312" s="58" t="str">
        <f t="shared" ca="1" si="255"/>
        <v>False</v>
      </c>
      <c r="BA312" s="58" t="str">
        <f t="shared" ca="1" si="255"/>
        <v>False</v>
      </c>
      <c r="BB312" s="58" t="str">
        <f t="shared" ca="1" si="255"/>
        <v>False</v>
      </c>
      <c r="BC312" s="58" t="str">
        <f t="shared" ca="1" si="255"/>
        <v>False</v>
      </c>
      <c r="BD312" s="58" t="str">
        <f t="shared" ca="1" si="255"/>
        <v>False</v>
      </c>
      <c r="BE312" s="58" t="str">
        <f t="shared" ca="1" si="255"/>
        <v>False</v>
      </c>
      <c r="BF312" s="58" t="str">
        <f t="shared" ca="1" si="255"/>
        <v>False</v>
      </c>
      <c r="BG312" s="58" t="str">
        <f t="shared" ca="1" si="255"/>
        <v>False</v>
      </c>
      <c r="BH312" s="58" t="str">
        <f t="shared" ca="1" si="255"/>
        <v>False</v>
      </c>
      <c r="BI312" s="58" t="str">
        <f t="shared" ca="1" si="255"/>
        <v>False</v>
      </c>
      <c r="BJ312" s="58" t="str">
        <f t="shared" ca="1" si="255"/>
        <v>False</v>
      </c>
      <c r="BK312" s="58" t="str">
        <f t="shared" ca="1" si="255"/>
        <v>False</v>
      </c>
      <c r="BL312" s="58" t="str">
        <f t="shared" ca="1" si="255"/>
        <v>False</v>
      </c>
      <c r="BM312" s="58"/>
      <c r="BN312" s="58" t="str">
        <f t="shared" ref="BN312:BV312" ca="1" si="256">IFERROR(INDEX(INDIRECT(BN$309&amp;"!$A$10:CC100000"),MATCH($AL312,INDIRECT(BN$309&amp;"!BH$10:BH100000"),0),MATCH(BN$311,INDIRECT(BN$309&amp;"!a10:CC10"),0)),"False")</f>
        <v>False</v>
      </c>
      <c r="BO312" s="58" t="str">
        <f t="shared" ca="1" si="256"/>
        <v>False</v>
      </c>
      <c r="BP312" s="58" t="str">
        <f t="shared" ca="1" si="256"/>
        <v>False</v>
      </c>
      <c r="BQ312" s="58" t="str">
        <f t="shared" ca="1" si="256"/>
        <v>False</v>
      </c>
      <c r="BR312" s="58" t="str">
        <f t="shared" ca="1" si="256"/>
        <v>False</v>
      </c>
      <c r="BS312" s="58" t="str">
        <f t="shared" ca="1" si="256"/>
        <v>False</v>
      </c>
      <c r="BT312" s="58" t="str">
        <f t="shared" ca="1" si="256"/>
        <v>False</v>
      </c>
      <c r="BU312" s="58" t="str">
        <f t="shared" ca="1" si="256"/>
        <v>False</v>
      </c>
      <c r="BV312" s="58" t="str">
        <f t="shared" ca="1" si="256"/>
        <v>False</v>
      </c>
      <c r="BW312" s="58"/>
      <c r="BX312" s="58"/>
      <c r="BY312" s="58" t="str">
        <f ca="1">IFERROR(INDEX(INDIRECT(BY$309&amp;"!$A$10:CC100000"),MATCH($AL312,INDIRECT(BY$309&amp;"!BH$10:BH100000"),0),MATCH(BY$311,INDIRECT(BY$309&amp;"!a10:CC10"),0)),"False")</f>
        <v>False</v>
      </c>
      <c r="BZ312" s="58" t="str">
        <f ca="1">IFERROR(INDEX(INDIRECT(BZ$309&amp;"!$A$10:CC100000"),MATCH($AL312,INDIRECT(BZ$309&amp;"!BH$10:BH100000"),0),MATCH(BZ$311,INDIRECT(BZ$309&amp;"!a10:CC10"),0)),"False")</f>
        <v>False</v>
      </c>
      <c r="CA312" s="58"/>
      <c r="CB312" s="58"/>
      <c r="CC312" s="58"/>
      <c r="CD312" s="58"/>
      <c r="CE312" s="58"/>
      <c r="CF312" s="58"/>
      <c r="CG312" s="58"/>
      <c r="CH312" s="58"/>
      <c r="CI312" s="58"/>
      <c r="CJ312" s="58"/>
      <c r="CK312" s="58"/>
      <c r="CL312" s="58"/>
      <c r="CM312" s="58"/>
      <c r="CN312" s="58"/>
    </row>
    <row r="313" spans="2:92" ht="22.5" customHeight="1" x14ac:dyDescent="0.35">
      <c r="C313" s="210" t="str">
        <f ca="1" xml:space="preserve"> "Surfplatta "  &amp; RIGHT("00" &amp; B312,2)</f>
        <v>Surfplatta 08</v>
      </c>
      <c r="D313" s="211"/>
      <c r="F313" s="92" t="str">
        <f>IF(F312="Inget antal angivet","",IFERROR(INDEX($AN$313:$BZ$339,MATCH(F$309,$AL$313:$AL$339,0),MATCH("Modellbenämning",$AN$313:$BZ$313,0)),""))</f>
        <v/>
      </c>
      <c r="G313" s="92" t="str">
        <f ca="1">IFERROR(INDEX($AN$313:$BZ$339,MATCH(G$309,$AL$313:$AL$339,0),MATCH("Modellbenämning",$AN$313:$BZ$313,0)),"")</f>
        <v>M10 FHD G2</v>
      </c>
      <c r="H313" s="92" t="str">
        <f ca="1">IFERROR(INDEX($AN$313:$BZ$339,MATCH(H$309,$AL$313:$AL$339,0),MATCH("Modellbenämning",$AN$313:$BZ$313,0)),"")</f>
        <v>Tab M10 (3rd Gen)</v>
      </c>
      <c r="I313" s="92" t="str">
        <f ca="1">IFERROR(INDEX($AN$313:$BZ$339,MATCH(I$309,$AL$313:$AL$339,0),MATCH("Modellbenämning",$AN$313:$BZ$313,0)),"")</f>
        <v>iPad 9th gen (2021)</v>
      </c>
      <c r="J313" s="93"/>
      <c r="K313" s="92"/>
      <c r="L313" s="92"/>
      <c r="M313" s="92"/>
      <c r="N313" s="92" t="e">
        <f ca="1">INDEX($N$314:$N$319,MATCH(Överblick!$L$2,$M$314:$M$319,0))</f>
        <v>#N/A</v>
      </c>
      <c r="O313" s="92"/>
      <c r="P313" s="92"/>
      <c r="Q313" s="92"/>
      <c r="R313" s="92">
        <v>1</v>
      </c>
      <c r="S313" s="92">
        <v>2</v>
      </c>
      <c r="T313" s="92">
        <v>3</v>
      </c>
      <c r="U313" s="92">
        <v>5</v>
      </c>
      <c r="V313" s="92">
        <v>6</v>
      </c>
      <c r="W313" s="92">
        <v>7</v>
      </c>
      <c r="X313" s="92">
        <v>8</v>
      </c>
      <c r="Y313" s="92">
        <v>9</v>
      </c>
      <c r="Z313" s="92"/>
      <c r="AA313" s="92" t="s">
        <v>122</v>
      </c>
      <c r="AB313" s="92" t="s">
        <v>3</v>
      </c>
      <c r="AC313" s="92" t="s">
        <v>7</v>
      </c>
      <c r="AD313" s="92" t="s">
        <v>2</v>
      </c>
      <c r="AE313" s="92" t="s">
        <v>17</v>
      </c>
      <c r="AF313" s="92" t="s">
        <v>75</v>
      </c>
      <c r="AG313" s="92" t="s">
        <v>103</v>
      </c>
      <c r="AH313" s="92" t="s">
        <v>120</v>
      </c>
      <c r="AI313" s="92" t="s">
        <v>39</v>
      </c>
      <c r="AJ313" s="92"/>
      <c r="AK313" s="92"/>
      <c r="AL313" s="92" t="s">
        <v>222</v>
      </c>
      <c r="AM313" s="92">
        <v>1</v>
      </c>
      <c r="AN313" s="92" t="s">
        <v>3</v>
      </c>
      <c r="AO313" s="92" t="s">
        <v>7</v>
      </c>
      <c r="AP313" s="92" t="s">
        <v>2</v>
      </c>
      <c r="AQ313" s="92" t="s">
        <v>17</v>
      </c>
      <c r="AR313" s="92" t="s">
        <v>75</v>
      </c>
      <c r="AS313" s="92" t="s">
        <v>103</v>
      </c>
      <c r="AT313" s="92" t="s">
        <v>120</v>
      </c>
      <c r="AU313" s="92" t="s">
        <v>39</v>
      </c>
      <c r="AV313" s="92" t="s">
        <v>103</v>
      </c>
      <c r="AW313" s="92" t="s">
        <v>75</v>
      </c>
      <c r="AX313" s="92" t="s">
        <v>120</v>
      </c>
      <c r="AY313" s="92" t="s">
        <v>52</v>
      </c>
      <c r="AZ313" s="92" t="s">
        <v>37</v>
      </c>
      <c r="BA313" s="92" t="s">
        <v>3</v>
      </c>
      <c r="BB313" s="92" t="s">
        <v>25</v>
      </c>
      <c r="BC313" s="92" t="s">
        <v>25</v>
      </c>
      <c r="BD313" s="92" t="s">
        <v>340</v>
      </c>
      <c r="BE313" s="92" t="s">
        <v>341</v>
      </c>
      <c r="BF313" s="92" t="s">
        <v>342</v>
      </c>
      <c r="BG313" s="92" t="s">
        <v>343</v>
      </c>
      <c r="BH313" s="92" t="s">
        <v>344</v>
      </c>
      <c r="BI313" s="92" t="s">
        <v>345</v>
      </c>
      <c r="BJ313" s="92" t="s">
        <v>346</v>
      </c>
      <c r="BK313" s="92" t="s">
        <v>347</v>
      </c>
      <c r="BL313" s="92" t="s">
        <v>348</v>
      </c>
      <c r="BM313" s="92" t="s">
        <v>349</v>
      </c>
      <c r="BN313" s="92" t="s">
        <v>53</v>
      </c>
      <c r="BO313" s="92" t="s">
        <v>54</v>
      </c>
      <c r="BP313" s="92" t="s">
        <v>55</v>
      </c>
      <c r="BQ313" s="92" t="s">
        <v>59</v>
      </c>
      <c r="BR313" s="92" t="s">
        <v>227</v>
      </c>
      <c r="BS313" s="92" t="s">
        <v>228</v>
      </c>
      <c r="BT313" s="92" t="s">
        <v>229</v>
      </c>
      <c r="BU313" s="92" t="s">
        <v>230</v>
      </c>
      <c r="BV313" s="92" t="s">
        <v>231</v>
      </c>
      <c r="BW313" s="92"/>
      <c r="BX313" s="92"/>
      <c r="BY313" s="92" t="s">
        <v>6</v>
      </c>
      <c r="BZ313" s="92" t="s">
        <v>51</v>
      </c>
      <c r="CA313" s="92" t="s">
        <v>2</v>
      </c>
      <c r="CB313" s="92" t="s">
        <v>17</v>
      </c>
      <c r="CC313" s="92" t="s">
        <v>75</v>
      </c>
      <c r="CD313" s="92" t="s">
        <v>103</v>
      </c>
      <c r="CE313" s="92" t="s">
        <v>7</v>
      </c>
      <c r="CF313" s="92" t="s">
        <v>120</v>
      </c>
      <c r="CG313" s="92" t="s">
        <v>3</v>
      </c>
      <c r="CH313" s="92" t="s">
        <v>39</v>
      </c>
      <c r="CI313" s="92" t="s">
        <v>103</v>
      </c>
      <c r="CJ313" s="92" t="s">
        <v>75</v>
      </c>
      <c r="CK313" s="92" t="s">
        <v>120</v>
      </c>
      <c r="CL313" s="92" t="s">
        <v>38</v>
      </c>
      <c r="CM313" s="92" t="s">
        <v>37</v>
      </c>
      <c r="CN313" s="92" t="s">
        <v>3</v>
      </c>
    </row>
    <row r="314" spans="2:92" ht="22.5" customHeight="1" outlineLevel="1" x14ac:dyDescent="0.35">
      <c r="C314" s="210" t="s">
        <v>261</v>
      </c>
      <c r="D314" s="211"/>
      <c r="F314" s="76" t="str">
        <f>IF(F312="Inget antal angivet","",IFERROR(INDEX($AN$313:$BZ$339,MATCH(F$309,$AL$313:$AL$339,0),MATCH("Varumärke",$AN$313:$BZ$313,0)),""))</f>
        <v/>
      </c>
      <c r="G314" s="77" t="str">
        <f ca="1">IFERROR(INDEX($AN$313:$BZ$339,MATCH(G$309,$AL$313:$AL$339,0),MATCH("Varumärke",$AN$313:$BZ$313,0)),"")</f>
        <v>Lenovo</v>
      </c>
      <c r="H314" s="77" t="str">
        <f ca="1">IFERROR(INDEX($AN$313:$BZ$339,MATCH(H$309,$AL$313:$AL$339,0),MATCH("Varumärke",$AN$313:$BZ$313,0)),"")</f>
        <v>Lenovo</v>
      </c>
      <c r="I314" s="119" t="str">
        <f ca="1">IFERROR(INDEX($AN$313:$BZ$339,MATCH(I$309,$AL$313:$AL$339,0),MATCH("Varumärke",$AN$313:$BZ$313,0)),"")</f>
        <v>Apple</v>
      </c>
      <c r="K314" s="185">
        <f t="shared" ref="K314:K319" ca="1" si="257">O314*$D$347</f>
        <v>0</v>
      </c>
      <c r="L314" s="185" t="b">
        <f t="shared" ref="L314:L319" si="258">IF($D$347=0,TRUE,IF(K314=0,FALSE,TRUE))</f>
        <v>1</v>
      </c>
      <c r="M314" s="185" t="s">
        <v>162</v>
      </c>
      <c r="N314" s="185" t="str">
        <f t="shared" ref="N314:N319" ca="1" si="259">IFERROR(INDEX($AA$314:$AA$339,MATCH(O314,$Z$314:$Z$339,0)),"")</f>
        <v>Offererad produktnr. 07Advania Sverige AB</v>
      </c>
      <c r="O314" s="185" cm="1">
        <f t="array" aca="1" ref="O314" ca="1">MIN(IF(($BY$314:$BY$337=M314)*($AM$314:$AM$337=$O$311),$Z$314:$Z$337))</f>
        <v>2084</v>
      </c>
      <c r="P314" s="197">
        <f ca="1">SMALL($Z$314:$Z$339,1)</f>
        <v>1700</v>
      </c>
      <c r="Q314" s="185">
        <f t="shared" ref="Q314:Q333" si="260">SUM(R314:Y314)</f>
        <v>0</v>
      </c>
      <c r="R314" s="185">
        <f t="shared" ref="R314:R333" si="261">IF($D$325="",0,BN314)</f>
        <v>0</v>
      </c>
      <c r="S314" s="185">
        <f t="shared" ref="S314:S333" si="262">IF($D$328="",0,BO314)</f>
        <v>0</v>
      </c>
      <c r="T314" s="185">
        <f t="shared" ref="T314:T333" si="263">IF($D$331="",0,BP314)</f>
        <v>0</v>
      </c>
      <c r="U314" s="185">
        <f t="shared" ref="U314:U333" si="264">IF($D$334="",0,BQ314)</f>
        <v>0</v>
      </c>
      <c r="V314" s="185">
        <f t="shared" ref="V314:V333" si="265">IF($D$337="",0,BR314)</f>
        <v>0</v>
      </c>
      <c r="W314" s="185">
        <f t="shared" ref="W314:W333" si="266">IF($D$341="",0,BS314)</f>
        <v>0</v>
      </c>
      <c r="X314" s="185">
        <f t="shared" ref="X314:X333" si="267">IF($D$342="",0,BT314)</f>
        <v>0</v>
      </c>
      <c r="Y314" s="185">
        <f t="shared" ref="Y314:Y333" si="268">IF($D$343="",0,BU314)</f>
        <v>0</v>
      </c>
      <c r="Z314" s="196">
        <f t="shared" ref="Z314:Z333" ca="1" si="269">IF(AA314="","",SUM(BC314,R314:Y314))</f>
        <v>2084</v>
      </c>
      <c r="AA314" s="185" t="str">
        <f t="shared" ref="AA314:AA333" si="270">IF(COUNTIF(AB314:AK314,FALSE)&gt;0,"",AL314)</f>
        <v>Offererad produktnr. 07Advania Sverige AB</v>
      </c>
      <c r="AB314" s="185" t="b">
        <f>IF(D315="",TRUE,IF(COUNTIF(Processor!$M$2:$M$3,D315)=0,IF(AN314=D315,TRUE,FALSE),IF(COUNTIF(AN314,INDEX(Processor!$N$2:$N$3,MATCH(Surfplattor!D315,Processor!$M$2:$M$3,0)))&gt;0,TRUE,FALSE)))</f>
        <v>1</v>
      </c>
      <c r="AC314" s="185" t="b">
        <f>IF($D$316="",TRUE,IF(COUNTIF(Processor!$I$2:$I$9,$D$316)&gt;0,AND(AO314&gt;INDEX(Processor!$J$2:$J$9,MATCH($D$316,Processor!$I$2:$I$9,0)),AO314&lt;INDEX(Processor!$K$2:$K$9,MATCH($D$316,Processor!$I$2:$I$9,0))),IF(AO314=$D$316,TRUE,FALSE)))</f>
        <v>1</v>
      </c>
      <c r="AD314" s="185" t="b">
        <f t="shared" ref="AD314:AD333" si="271">IFERROR(IF($D$317="",TRUE,IF(AND(IF(LEFT($D$317,4)*1&lt;=1*LEFT(AP314,4),TRUE,FALSE),IF(RIGHT(AP314,4)*1&gt;=1*RIGHT($D$317,4),TRUE,FALSE)),TRUE,FALSE)),0)</f>
        <v>1</v>
      </c>
      <c r="AE314" s="185" t="b">
        <f t="shared" ref="AE314:AE333" si="272">IF($D$318="",TRUE,IF(AQ314&gt;=$D$318,TRUE,FALSE))</f>
        <v>1</v>
      </c>
      <c r="AF314" s="185" t="b">
        <f t="shared" ref="AF314:AF333" si="273">IF($D$319="",TRUE,IF(AR314&gt;=$D$319,TRUE,FALSE))</f>
        <v>1</v>
      </c>
      <c r="AG314" s="185" t="b">
        <f t="shared" ref="AG314:AG333" si="274">IF($D$320="",TRUE,IF($D$320="802.11a/b/g/n/ac",TRUE,IF(AS314&gt;=$D$320,TRUE,FALSE)))</f>
        <v>1</v>
      </c>
      <c r="AH314" s="185" t="b">
        <f>IF($D$321="",TRUE,IF(INDEX(Processor!$C$14:$C$20,MATCH(LEFT(AT314,10)&amp;"",Processor!$A$14:$A$20,0))&gt;=INDEX(Processor!$C$14:$C$20,MATCH(LEFT($D$321,10)&amp;"",Processor!$A$14:$A$20,0)),TRUE,FALSE))</f>
        <v>1</v>
      </c>
      <c r="AI314" s="185" t="b">
        <f t="shared" ref="AI314:AI333" si="275">IF($D$322="",TRUE,IF($D$322="Miljömärkt",IF(AU314="Ej miljömärkt",FALSE,TRUE),IF(AU314=$D$322,TRUE,FALSE)))</f>
        <v>1</v>
      </c>
      <c r="AJ314" s="185"/>
      <c r="AK314" s="185"/>
      <c r="AL314" s="185" t="s">
        <v>204</v>
      </c>
      <c r="AM314" s="185">
        <v>1</v>
      </c>
      <c r="AN314" s="185" t="str">
        <f t="shared" ref="AN314:AW323" ca="1" si="276">IFERROR(INDEX(INDIRECT(AN$309&amp;"!$A$10:CC100000"),MATCH($AL314,INDIRECT(AN$309&amp;"!BH$10:BH100000"),0),MATCH(AN$311,INDIRECT(AN$309&amp;"!a10:CC10"),0)),"False")</f>
        <v>Android 11</v>
      </c>
      <c r="AO314" s="185">
        <f t="shared" ca="1" si="276"/>
        <v>10.1</v>
      </c>
      <c r="AP314" s="185" t="str">
        <f t="shared" ca="1" si="276"/>
        <v>1920x1200</v>
      </c>
      <c r="AQ314" s="185">
        <f t="shared" ca="1" si="276"/>
        <v>64</v>
      </c>
      <c r="AR314" s="185">
        <f t="shared" ca="1" si="276"/>
        <v>5</v>
      </c>
      <c r="AS314" s="185" t="str">
        <f t="shared" ca="1" si="276"/>
        <v>802.11a/b/g/n/ac</v>
      </c>
      <c r="AT314" s="185">
        <f t="shared" ca="1" si="276"/>
        <v>9</v>
      </c>
      <c r="AU314" s="185" t="str">
        <f t="shared" ca="1" si="276"/>
        <v>Ej miljömärkt</v>
      </c>
      <c r="AV314" s="185" t="str">
        <f t="shared" ca="1" si="276"/>
        <v>802.11a/b/g/n/ac</v>
      </c>
      <c r="AW314" s="185">
        <f t="shared" ca="1" si="276"/>
        <v>5</v>
      </c>
      <c r="AX314" s="185">
        <f t="shared" ref="AX314:BG323" ca="1" si="277">IFERROR(INDEX(INDIRECT(AX$309&amp;"!$A$10:CC100000"),MATCH($AL314,INDIRECT(AX$309&amp;"!BH$10:BH100000"),0),MATCH(AX$311,INDIRECT(AX$309&amp;"!a10:CC10"),0)),"False")</f>
        <v>9</v>
      </c>
      <c r="AY314" s="185" t="str">
        <f t="shared" ca="1" si="277"/>
        <v>Tab M10 (3rd Gen)</v>
      </c>
      <c r="AZ314" s="185">
        <f t="shared" ca="1" si="277"/>
        <v>0</v>
      </c>
      <c r="BA314" s="185" t="str">
        <f t="shared" ca="1" si="277"/>
        <v>Android 11</v>
      </c>
      <c r="BB314" s="185">
        <f t="shared" ca="1" si="277"/>
        <v>2084</v>
      </c>
      <c r="BC314" s="185">
        <f t="shared" ca="1" si="277"/>
        <v>2084</v>
      </c>
      <c r="BD314" s="192" t="str">
        <f t="shared" ca="1" si="277"/>
        <v>eSTUFF</v>
      </c>
      <c r="BE314" s="192" t="str">
        <f t="shared" ca="1" si="277"/>
        <v>eSTUFF</v>
      </c>
      <c r="BF314" s="192" t="str">
        <f t="shared" ca="1" si="277"/>
        <v>CoreParts</v>
      </c>
      <c r="BG314" s="192" t="str">
        <f t="shared" ca="1" si="277"/>
        <v>DELTACO</v>
      </c>
      <c r="BH314" s="192" t="str">
        <f t="shared" ref="BH314:BV323" ca="1" si="278">IFERROR(INDEX(INDIRECT(BH$309&amp;"!$A$10:CC100000"),MATCH($AL314,INDIRECT(BH$309&amp;"!BH$10:BH100000"),0),MATCH(BH$311,INDIRECT(BH$309&amp;"!a10:CC10"),0)),"False")</f>
        <v xml:space="preserve">ZAGG </v>
      </c>
      <c r="BI314" s="192" t="str">
        <f t="shared" ca="1" si="278"/>
        <v>ES685307-BULK - Vikbart fodral för surfplatta - polyuretan, polykarbonat, konstläder, mikrofiber - svart - för Lenovo Tab M10 (3rd Gen)</v>
      </c>
      <c r="BJ314" s="192" t="str">
        <f t="shared" ca="1" si="278"/>
        <v>ES517003 - Skärmskydd för surfplatta - glas - klar - för Lenovo Tab M10 (3rd Gen)</v>
      </c>
      <c r="BK314" s="192" t="str">
        <f t="shared" ca="1" si="278"/>
        <v>MBXUSB-AC0011 - Strömadapter - 12 Watt - 2.4 A (USB) - på kabel: USB-C - vit - med USB-C cable (2m)</v>
      </c>
      <c r="BL314" s="192" t="str">
        <f t="shared" ca="1" si="278"/>
        <v>TB-631</v>
      </c>
      <c r="BM314" s="192" t="str">
        <f t="shared" ca="1" si="278"/>
        <v>109912139 - Pro Stylus 2 - Aktiv penna - grå</v>
      </c>
      <c r="BN314" s="192">
        <f t="shared" ca="1" si="278"/>
        <v>251</v>
      </c>
      <c r="BO314" s="192">
        <f t="shared" ca="1" si="278"/>
        <v>251</v>
      </c>
      <c r="BP314" s="192">
        <f t="shared" ca="1" si="278"/>
        <v>108</v>
      </c>
      <c r="BQ314" s="192">
        <f t="shared" ca="1" si="278"/>
        <v>169</v>
      </c>
      <c r="BR314" s="192">
        <f t="shared" ca="1" si="278"/>
        <v>595</v>
      </c>
      <c r="BS314" s="192">
        <f t="shared" ca="1" si="278"/>
        <v>781</v>
      </c>
      <c r="BT314" s="192">
        <f t="shared" ca="1" si="278"/>
        <v>50</v>
      </c>
      <c r="BU314" s="192">
        <f t="shared" ca="1" si="278"/>
        <v>50</v>
      </c>
      <c r="BV314" s="192">
        <f t="shared" ca="1" si="278"/>
        <v>0</v>
      </c>
      <c r="BW314" s="192"/>
      <c r="BX314" s="192"/>
      <c r="BY314" s="192" t="str">
        <f t="shared" ref="BY314:BZ333" ca="1" si="279">IFERROR(INDEX(INDIRECT(BY$309&amp;"!$A$10:CC100000"),MATCH($AL314,INDIRECT(BY$309&amp;"!BH$10:BH100000"),0),MATCH(BY$311,INDIRECT(BY$309&amp;"!a10:CC10"),0)),"False")</f>
        <v>Advania Sverige AB</v>
      </c>
      <c r="BZ314" s="192" t="str">
        <f t="shared" ca="1" si="279"/>
        <v>Lenovo</v>
      </c>
      <c r="CA314" s="199" t="s">
        <v>163</v>
      </c>
      <c r="CB314" s="192">
        <v>64</v>
      </c>
      <c r="CC314" s="185">
        <v>4</v>
      </c>
      <c r="CD314" s="192" t="s">
        <v>79</v>
      </c>
      <c r="CE314" s="185" t="s">
        <v>356</v>
      </c>
      <c r="CF314" s="185" t="s">
        <v>148</v>
      </c>
      <c r="CG314" s="185" t="s">
        <v>469</v>
      </c>
      <c r="CH314" s="192" t="s">
        <v>273</v>
      </c>
      <c r="CI314" s="192" t="s">
        <v>79</v>
      </c>
      <c r="CJ314" s="185">
        <v>4</v>
      </c>
      <c r="CK314" s="185" t="s">
        <v>148</v>
      </c>
      <c r="CL314" s="192">
        <v>0</v>
      </c>
      <c r="CM314" s="192">
        <v>0</v>
      </c>
      <c r="CN314" s="185" t="s">
        <v>165</v>
      </c>
    </row>
    <row r="315" spans="2:92" ht="22.5" customHeight="1" outlineLevel="1" x14ac:dyDescent="0.35">
      <c r="C315" s="61" t="s">
        <v>3</v>
      </c>
      <c r="D315" s="64"/>
      <c r="F315" s="78" t="str">
        <f t="shared" ref="F315:F322" si="280">IF(F$312="Inget antal angivet","",IFERROR(INDEX($AN$313:$BZ$339,MATCH(F$309,$AL$313:$AL$339,0),MATCH($C315,$AN$313:$BZ$313,0)),""))</f>
        <v/>
      </c>
      <c r="G315" s="79" t="str">
        <f t="shared" ref="G315:I322" ca="1" si="281">IFERROR(INDEX($AN$313:$BZ$339,MATCH(G$309,$AL$313:$AL$339,0),MATCH($C315,$AN$313:$BZ$313,0)),"")</f>
        <v>Android 9</v>
      </c>
      <c r="H315" s="79" t="str">
        <f t="shared" ca="1" si="281"/>
        <v>Android 11</v>
      </c>
      <c r="I315" s="120" t="str">
        <f t="shared" ca="1" si="281"/>
        <v>iPadOS 15</v>
      </c>
      <c r="J315" s="62"/>
      <c r="K315" s="185">
        <f t="shared" ca="1" si="257"/>
        <v>0</v>
      </c>
      <c r="L315" s="185" t="b">
        <f t="shared" si="258"/>
        <v>1</v>
      </c>
      <c r="M315" s="185" t="s">
        <v>150</v>
      </c>
      <c r="N315" s="185" t="str">
        <f t="shared" ca="1" si="259"/>
        <v>Offererad produktnr. 08Atea Sverige AB</v>
      </c>
      <c r="O315" s="185" cm="1">
        <f t="array" aca="1" ref="O315" ca="1">MIN(IF(($BY$314:$BY$337=M315)*($AM$314:$AM$337=$O$311),$Z$314:$Z$337))</f>
        <v>5254</v>
      </c>
      <c r="P315" s="197">
        <f ca="1">SMALL($Z$314:$Z$339,2)</f>
        <v>2084</v>
      </c>
      <c r="Q315" s="185">
        <f t="shared" si="260"/>
        <v>0</v>
      </c>
      <c r="R315" s="185">
        <f t="shared" si="261"/>
        <v>0</v>
      </c>
      <c r="S315" s="185">
        <f t="shared" si="262"/>
        <v>0</v>
      </c>
      <c r="T315" s="185">
        <f t="shared" si="263"/>
        <v>0</v>
      </c>
      <c r="U315" s="185">
        <f t="shared" si="264"/>
        <v>0</v>
      </c>
      <c r="V315" s="185">
        <f t="shared" si="265"/>
        <v>0</v>
      </c>
      <c r="W315" s="185">
        <f t="shared" si="266"/>
        <v>0</v>
      </c>
      <c r="X315" s="185">
        <f t="shared" si="267"/>
        <v>0</v>
      </c>
      <c r="Y315" s="185">
        <f t="shared" si="268"/>
        <v>0</v>
      </c>
      <c r="Z315" s="196">
        <f t="shared" ca="1" si="269"/>
        <v>4238</v>
      </c>
      <c r="AA315" s="185" t="str">
        <f t="shared" si="270"/>
        <v>Offererad produktnr. 08Advania Sverige AB</v>
      </c>
      <c r="AB315" s="185" t="b">
        <f>IF(D315="",TRUE,IF(COUNTIF(Processor!$M$2:$M$3,D315)=0,IF(AN315=D315,TRUE,FALSE),IF(COUNTIF(AN315,INDEX(Processor!$N$2:$N$3,MATCH(Surfplattor!D315,Processor!$M$2:$M$3,0)))&gt;0,TRUE,FALSE)))</f>
        <v>1</v>
      </c>
      <c r="AC315" s="185" t="b">
        <f>IF($D$316="",TRUE,IF(COUNTIF(Processor!$I$2:$I$9,$D$316)&gt;0,AND(AO315&gt;INDEX(Processor!$J$2:$J$9,MATCH($D$316,Processor!$I$2:$I$9,0)),AO315&lt;INDEX(Processor!$K$2:$K$9,MATCH($D$316,Processor!$I$2:$I$9,0))),IF(AO315=$D$316,TRUE,FALSE)))</f>
        <v>1</v>
      </c>
      <c r="AD315" s="185" t="b">
        <f t="shared" si="271"/>
        <v>1</v>
      </c>
      <c r="AE315" s="185" t="b">
        <f t="shared" si="272"/>
        <v>1</v>
      </c>
      <c r="AF315" s="185" t="b">
        <f t="shared" si="273"/>
        <v>1</v>
      </c>
      <c r="AG315" s="185" t="b">
        <f t="shared" si="274"/>
        <v>1</v>
      </c>
      <c r="AH315" s="185" t="b">
        <f>IF($D$321="",TRUE,IF(INDEX(Processor!$C$14:$C$20,MATCH(LEFT(AT315,10)&amp;"",Processor!$A$14:$A$20,0))&gt;=INDEX(Processor!$C$14:$C$20,MATCH(LEFT($D$321,10)&amp;"",Processor!$A$14:$A$20,0)),TRUE,FALSE))</f>
        <v>1</v>
      </c>
      <c r="AI315" s="185" t="b">
        <f t="shared" si="275"/>
        <v>1</v>
      </c>
      <c r="AJ315" s="185"/>
      <c r="AK315" s="185"/>
      <c r="AL315" s="185" t="s">
        <v>205</v>
      </c>
      <c r="AM315" s="185">
        <v>1</v>
      </c>
      <c r="AN315" s="185" t="str">
        <f t="shared" ca="1" si="276"/>
        <v>iPadOS 14</v>
      </c>
      <c r="AO315" s="185">
        <f t="shared" ca="1" si="276"/>
        <v>10.199999999999999</v>
      </c>
      <c r="AP315" s="185" t="str">
        <f t="shared" ca="1" si="276"/>
        <v>2160x1620</v>
      </c>
      <c r="AQ315" s="185">
        <f t="shared" ca="1" si="276"/>
        <v>64</v>
      </c>
      <c r="AR315" s="185">
        <f t="shared" ca="1" si="276"/>
        <v>4.2</v>
      </c>
      <c r="AS315" s="185" t="str">
        <f t="shared" ca="1" si="276"/>
        <v>802.11a/b/g/n/ac</v>
      </c>
      <c r="AT315" s="185">
        <f t="shared" ca="1" si="276"/>
        <v>10</v>
      </c>
      <c r="AU315" s="185" t="str">
        <f t="shared" ca="1" si="276"/>
        <v>EPEAT Gold</v>
      </c>
      <c r="AV315" s="185" t="str">
        <f t="shared" ca="1" si="276"/>
        <v>802.11a/b/g/n/ac</v>
      </c>
      <c r="AW315" s="185">
        <f t="shared" ca="1" si="276"/>
        <v>4.2</v>
      </c>
      <c r="AX315" s="185">
        <f t="shared" ca="1" si="277"/>
        <v>10</v>
      </c>
      <c r="AY315" s="185" t="str">
        <f t="shared" ca="1" si="277"/>
        <v>10.2-inch iPad Wi-Fi 64GB</v>
      </c>
      <c r="AZ315" s="185">
        <f t="shared" ca="1" si="277"/>
        <v>0</v>
      </c>
      <c r="BA315" s="185" t="str">
        <f t="shared" ca="1" si="277"/>
        <v>iPadOS 14</v>
      </c>
      <c r="BB315" s="185">
        <f t="shared" ca="1" si="277"/>
        <v>4238</v>
      </c>
      <c r="BC315" s="185">
        <f t="shared" ca="1" si="277"/>
        <v>4238</v>
      </c>
      <c r="BD315" s="192" t="str">
        <f t="shared" ca="1" si="277"/>
        <v>eSTUFF</v>
      </c>
      <c r="BE315" s="192" t="str">
        <f t="shared" ca="1" si="277"/>
        <v>eSTUFF</v>
      </c>
      <c r="BF315" s="192" t="str">
        <f t="shared" ca="1" si="277"/>
        <v>DELTACO</v>
      </c>
      <c r="BG315" s="192" t="str">
        <f t="shared" ca="1" si="277"/>
        <v>DELTACO</v>
      </c>
      <c r="BH315" s="192" t="str">
        <f t="shared" ca="1" si="278"/>
        <v xml:space="preserve">ZAGG </v>
      </c>
      <c r="BI315" s="192" t="str">
        <f t="shared" ca="1" si="278"/>
        <v>ES682335-BULK - Baksidesskydd för surfplatta</v>
      </c>
      <c r="BJ315" s="192" t="str">
        <f t="shared" ca="1" si="278"/>
        <v>ES503200 - Titan Shield - skärmskydd för mobiltelefon</v>
      </c>
      <c r="BK315" s="192" t="str">
        <f t="shared" ca="1" si="278"/>
        <v xml:space="preserve">USBC-AC141 </v>
      </c>
      <c r="BL315" s="192" t="str">
        <f t="shared" ca="1" si="278"/>
        <v>TB-631</v>
      </c>
      <c r="BM315" s="192" t="str">
        <f t="shared" ca="1" si="278"/>
        <v>109912139 - Pro Stylus 2 - Aktiv penna - grå</v>
      </c>
      <c r="BN315" s="192">
        <f t="shared" ca="1" si="278"/>
        <v>181</v>
      </c>
      <c r="BO315" s="192">
        <f t="shared" ca="1" si="278"/>
        <v>219</v>
      </c>
      <c r="BP315" s="192">
        <f t="shared" ca="1" si="278"/>
        <v>144</v>
      </c>
      <c r="BQ315" s="192">
        <f t="shared" ca="1" si="278"/>
        <v>169</v>
      </c>
      <c r="BR315" s="192">
        <f t="shared" ca="1" si="278"/>
        <v>595</v>
      </c>
      <c r="BS315" s="192">
        <f t="shared" ca="1" si="278"/>
        <v>781</v>
      </c>
      <c r="BT315" s="192">
        <f t="shared" ca="1" si="278"/>
        <v>50</v>
      </c>
      <c r="BU315" s="192">
        <f t="shared" ca="1" si="278"/>
        <v>50</v>
      </c>
      <c r="BV315" s="192">
        <f t="shared" ca="1" si="278"/>
        <v>0</v>
      </c>
      <c r="BW315" s="192"/>
      <c r="BX315" s="192"/>
      <c r="BY315" s="192" t="str">
        <f t="shared" ca="1" si="279"/>
        <v>Advania Sverige AB</v>
      </c>
      <c r="BZ315" s="192" t="str">
        <f t="shared" ca="1" si="279"/>
        <v>Apple</v>
      </c>
      <c r="CA315" s="200" t="s">
        <v>141</v>
      </c>
      <c r="CB315" s="185">
        <v>128</v>
      </c>
      <c r="CC315" s="185">
        <v>4.2</v>
      </c>
      <c r="CD315" s="185" t="s">
        <v>86</v>
      </c>
      <c r="CE315" s="185" t="s">
        <v>353</v>
      </c>
      <c r="CF315" s="185" t="s">
        <v>164</v>
      </c>
      <c r="CG315" s="185" t="s">
        <v>470</v>
      </c>
      <c r="CH315" s="192" t="s">
        <v>142</v>
      </c>
      <c r="CI315" s="185" t="s">
        <v>86</v>
      </c>
      <c r="CJ315" s="185">
        <v>4.2</v>
      </c>
      <c r="CK315" s="185" t="s">
        <v>164</v>
      </c>
      <c r="CL315" s="185" t="s">
        <v>352</v>
      </c>
      <c r="CM315" s="185" t="s">
        <v>69</v>
      </c>
      <c r="CN315" s="185" t="s">
        <v>83</v>
      </c>
    </row>
    <row r="316" spans="2:92" ht="22.5" customHeight="1" outlineLevel="1" x14ac:dyDescent="0.35">
      <c r="C316" s="61" t="s">
        <v>7</v>
      </c>
      <c r="D316" s="64"/>
      <c r="F316" s="78" t="str">
        <f t="shared" si="280"/>
        <v/>
      </c>
      <c r="G316" s="79">
        <f t="shared" ca="1" si="281"/>
        <v>10.3</v>
      </c>
      <c r="H316" s="79">
        <f t="shared" ca="1" si="281"/>
        <v>10.1</v>
      </c>
      <c r="I316" s="120">
        <f t="shared" ca="1" si="281"/>
        <v>10.199999999999999</v>
      </c>
      <c r="J316" s="62"/>
      <c r="K316" s="185">
        <f t="shared" ca="1" si="257"/>
        <v>0</v>
      </c>
      <c r="L316" s="185" t="b">
        <f t="shared" si="258"/>
        <v>1</v>
      </c>
      <c r="M316" s="185" t="s">
        <v>128</v>
      </c>
      <c r="N316" s="185" t="str">
        <f t="shared" ca="1" si="259"/>
        <v>Offererad produktnr. 07Dustin Sverige AB</v>
      </c>
      <c r="O316" s="185" cm="1">
        <f t="array" aca="1" ref="O316" ca="1">MIN(IF(($BY$314:$BY$337=M316)*($AM$314:$AM$337=$O$311),$Z$314:$Z$337))</f>
        <v>3261</v>
      </c>
      <c r="P316" s="197">
        <f ca="1">SMALL($Z$314:$Z$339,3)</f>
        <v>3205</v>
      </c>
      <c r="Q316" s="185">
        <f t="shared" si="260"/>
        <v>0</v>
      </c>
      <c r="R316" s="185">
        <f t="shared" si="261"/>
        <v>0</v>
      </c>
      <c r="S316" s="185">
        <f t="shared" si="262"/>
        <v>0</v>
      </c>
      <c r="T316" s="185">
        <f t="shared" si="263"/>
        <v>0</v>
      </c>
      <c r="U316" s="185">
        <f t="shared" si="264"/>
        <v>0</v>
      </c>
      <c r="V316" s="185">
        <f t="shared" si="265"/>
        <v>0</v>
      </c>
      <c r="W316" s="185">
        <f t="shared" si="266"/>
        <v>0</v>
      </c>
      <c r="X316" s="185">
        <f t="shared" si="267"/>
        <v>0</v>
      </c>
      <c r="Y316" s="185">
        <f t="shared" si="268"/>
        <v>0</v>
      </c>
      <c r="Z316" s="196">
        <f t="shared" ca="1" si="269"/>
        <v>8671</v>
      </c>
      <c r="AA316" s="185" t="str">
        <f t="shared" si="270"/>
        <v>Offererad produktnr. 09Advania Sverige AB</v>
      </c>
      <c r="AB316" s="185" t="b">
        <f>IF(D315="",TRUE,IF(COUNTIF(Processor!$M$2:$M$3,D315)=0,IF(AN316=D315,TRUE,FALSE),IF(COUNTIF(AN316,INDEX(Processor!$N$2:$N$3,MATCH(Surfplattor!D315,Processor!$M$2:$M$3,0)))&gt;0,TRUE,FALSE)))</f>
        <v>1</v>
      </c>
      <c r="AC316" s="185" t="b">
        <f>IF($D$316="",TRUE,IF(COUNTIF(Processor!$I$2:$I$9,$D$316)&gt;0,AND(AO316&gt;INDEX(Processor!$J$2:$J$9,MATCH($D$316,Processor!$I$2:$I$9,0)),AO316&lt;INDEX(Processor!$K$2:$K$9,MATCH($D$316,Processor!$I$2:$I$9,0))),IF(AO316=$D$316,TRUE,FALSE)))</f>
        <v>1</v>
      </c>
      <c r="AD316" s="185" t="b">
        <f t="shared" si="271"/>
        <v>1</v>
      </c>
      <c r="AE316" s="185" t="b">
        <f t="shared" si="272"/>
        <v>1</v>
      </c>
      <c r="AF316" s="185" t="b">
        <f t="shared" si="273"/>
        <v>1</v>
      </c>
      <c r="AG316" s="185" t="b">
        <f t="shared" si="274"/>
        <v>1</v>
      </c>
      <c r="AH316" s="185" t="b">
        <f>IF($D$321="",TRUE,IF(INDEX(Processor!$C$14:$C$20,MATCH(LEFT(AT316,10)&amp;"",Processor!$A$14:$A$20,0))&gt;=INDEX(Processor!$C$14:$C$20,MATCH(LEFT($D$321,10)&amp;"",Processor!$A$14:$A$20,0)),TRUE,FALSE))</f>
        <v>1</v>
      </c>
      <c r="AI316" s="185" t="b">
        <f t="shared" si="275"/>
        <v>1</v>
      </c>
      <c r="AJ316" s="185"/>
      <c r="AK316" s="185"/>
      <c r="AL316" s="185" t="s">
        <v>206</v>
      </c>
      <c r="AM316" s="185">
        <v>1</v>
      </c>
      <c r="AN316" s="185" t="str">
        <f t="shared" ca="1" si="276"/>
        <v>Android 11</v>
      </c>
      <c r="AO316" s="185">
        <f t="shared" ca="1" si="276"/>
        <v>11</v>
      </c>
      <c r="AP316" s="185" t="str">
        <f t="shared" ca="1" si="276"/>
        <v>2560x1600</v>
      </c>
      <c r="AQ316" s="185">
        <f t="shared" ca="1" si="276"/>
        <v>128</v>
      </c>
      <c r="AR316" s="185">
        <f t="shared" ca="1" si="276"/>
        <v>5.3</v>
      </c>
      <c r="AS316" s="185" t="str">
        <f t="shared" ca="1" si="276"/>
        <v>802.11a/b/g/n/ac/ax</v>
      </c>
      <c r="AT316" s="185">
        <f t="shared" ca="1" si="276"/>
        <v>13</v>
      </c>
      <c r="AU316" s="185" t="str">
        <f t="shared" ca="1" si="276"/>
        <v>Ej miljömärkt</v>
      </c>
      <c r="AV316" s="185" t="str">
        <f t="shared" ca="1" si="276"/>
        <v>802.11a/b/g/n/ac/ax</v>
      </c>
      <c r="AW316" s="185">
        <f t="shared" ca="1" si="276"/>
        <v>5.3</v>
      </c>
      <c r="AX316" s="185">
        <f t="shared" ca="1" si="277"/>
        <v>13</v>
      </c>
      <c r="AY316" s="185" t="str">
        <f t="shared" ca="1" si="277"/>
        <v>Samsung Galaxy Tab S9</v>
      </c>
      <c r="AZ316" s="185">
        <f t="shared" ca="1" si="277"/>
        <v>0</v>
      </c>
      <c r="BA316" s="185" t="str">
        <f t="shared" ca="1" si="277"/>
        <v>Android 11</v>
      </c>
      <c r="BB316" s="185">
        <f t="shared" ca="1" si="277"/>
        <v>8671</v>
      </c>
      <c r="BC316" s="185">
        <f t="shared" ca="1" si="277"/>
        <v>8671</v>
      </c>
      <c r="BD316" s="192" t="str">
        <f t="shared" ca="1" si="277"/>
        <v>Insmat</v>
      </c>
      <c r="BE316" s="192" t="str">
        <f t="shared" ca="1" si="277"/>
        <v>Samsung</v>
      </c>
      <c r="BF316" s="192" t="str">
        <f t="shared" ca="1" si="277"/>
        <v>CoreParts</v>
      </c>
      <c r="BG316" s="192" t="str">
        <f t="shared" ca="1" si="277"/>
        <v>DELTACO</v>
      </c>
      <c r="BH316" s="192" t="str">
        <f t="shared" ca="1" si="278"/>
        <v>Samsung</v>
      </c>
      <c r="BI316" s="192" t="str">
        <f t="shared" ca="1" si="278"/>
        <v xml:space="preserve">652-1287 - Baksidesskydd för surfplatta - robust - rugged armor </v>
      </c>
      <c r="BJ316" s="192" t="str">
        <f t="shared" ca="1" si="278"/>
        <v>EF-UX710CTEGWW - EF-UX710 - Skärmskydd för surfplatta</v>
      </c>
      <c r="BK316" s="192" t="str">
        <f t="shared" ca="1" si="278"/>
        <v>MBXUSB-AC0011 - Strömadapter - 12 Watt - 2.4 A (USB) - på kabel: USB-C - vit - med USB-C cable (2m)</v>
      </c>
      <c r="BL316" s="192" t="str">
        <f t="shared" ca="1" si="278"/>
        <v>TB-631</v>
      </c>
      <c r="BM316" s="192" t="str">
        <f t="shared" ca="1" si="278"/>
        <v>EJ-PX710BBEGEU - S Pen - Aktiv penna - Bluetooth</v>
      </c>
      <c r="BN316" s="192">
        <f t="shared" ca="1" si="278"/>
        <v>174</v>
      </c>
      <c r="BO316" s="192">
        <f t="shared" ca="1" si="278"/>
        <v>219</v>
      </c>
      <c r="BP316" s="192">
        <f t="shared" ca="1" si="278"/>
        <v>108</v>
      </c>
      <c r="BQ316" s="192">
        <f t="shared" ca="1" si="278"/>
        <v>169</v>
      </c>
      <c r="BR316" s="192">
        <f t="shared" ca="1" si="278"/>
        <v>295</v>
      </c>
      <c r="BS316" s="192">
        <f t="shared" ca="1" si="278"/>
        <v>269</v>
      </c>
      <c r="BT316" s="192">
        <f t="shared" ca="1" si="278"/>
        <v>50</v>
      </c>
      <c r="BU316" s="192">
        <f t="shared" ca="1" si="278"/>
        <v>50</v>
      </c>
      <c r="BV316" s="192">
        <f t="shared" ca="1" si="278"/>
        <v>0</v>
      </c>
      <c r="BW316" s="192"/>
      <c r="BX316" s="192"/>
      <c r="BY316" s="192" t="str">
        <f t="shared" ca="1" si="279"/>
        <v>Advania Sverige AB</v>
      </c>
      <c r="BZ316" s="192" t="str">
        <f t="shared" ca="1" si="279"/>
        <v>Samsung</v>
      </c>
      <c r="CA316" s="199" t="s">
        <v>90</v>
      </c>
      <c r="CB316" s="185">
        <v>0</v>
      </c>
      <c r="CC316" s="186">
        <v>5</v>
      </c>
      <c r="CD316" s="185"/>
      <c r="CE316" s="185">
        <v>10.199999999999999</v>
      </c>
      <c r="CF316" s="185" t="s">
        <v>144</v>
      </c>
      <c r="CG316" s="185" t="s">
        <v>96</v>
      </c>
      <c r="CH316" s="185" t="s">
        <v>94</v>
      </c>
      <c r="CI316" s="185"/>
      <c r="CJ316" s="186">
        <v>5</v>
      </c>
      <c r="CK316" s="185" t="s">
        <v>144</v>
      </c>
      <c r="CL316" s="185"/>
      <c r="CM316" s="185"/>
      <c r="CN316" s="185" t="s">
        <v>91</v>
      </c>
    </row>
    <row r="317" spans="2:92" ht="22.5" customHeight="1" outlineLevel="1" x14ac:dyDescent="0.35">
      <c r="C317" s="61" t="s">
        <v>2</v>
      </c>
      <c r="D317" s="64"/>
      <c r="F317" s="78" t="str">
        <f t="shared" si="280"/>
        <v/>
      </c>
      <c r="G317" s="79" t="str">
        <f t="shared" ca="1" si="281"/>
        <v>1920x1200</v>
      </c>
      <c r="H317" s="79" t="str">
        <f t="shared" ca="1" si="281"/>
        <v>1920x1200</v>
      </c>
      <c r="I317" s="120" t="str">
        <f t="shared" ca="1" si="281"/>
        <v>2160x1620</v>
      </c>
      <c r="J317" s="62"/>
      <c r="K317" s="185">
        <f t="shared" ca="1" si="257"/>
        <v>0</v>
      </c>
      <c r="L317" s="185" t="b">
        <f t="shared" si="258"/>
        <v>1</v>
      </c>
      <c r="M317" s="185" t="s">
        <v>169</v>
      </c>
      <c r="N317" s="185" t="str">
        <f t="shared" ca="1" si="259"/>
        <v>Offererad produktnr. 08Foxway Education AB</v>
      </c>
      <c r="O317" s="185" cm="1">
        <f t="array" aca="1" ref="O317" ca="1">MIN(IF(($BY$314:$BY$337=M317)*($AM$314:$AM$337=$O$311),$Z$314:$Z$337))</f>
        <v>3894</v>
      </c>
      <c r="P317" s="197"/>
      <c r="Q317" s="185">
        <f t="shared" si="260"/>
        <v>0</v>
      </c>
      <c r="R317" s="185">
        <f t="shared" si="261"/>
        <v>0</v>
      </c>
      <c r="S317" s="185">
        <f t="shared" si="262"/>
        <v>0</v>
      </c>
      <c r="T317" s="185">
        <f t="shared" si="263"/>
        <v>0</v>
      </c>
      <c r="U317" s="185">
        <f t="shared" si="264"/>
        <v>0</v>
      </c>
      <c r="V317" s="185">
        <f t="shared" si="265"/>
        <v>0</v>
      </c>
      <c r="W317" s="185">
        <f t="shared" si="266"/>
        <v>0</v>
      </c>
      <c r="X317" s="185">
        <f t="shared" si="267"/>
        <v>0</v>
      </c>
      <c r="Y317" s="185">
        <f t="shared" si="268"/>
        <v>0</v>
      </c>
      <c r="Z317" s="196">
        <f t="shared" ca="1" si="269"/>
        <v>6116</v>
      </c>
      <c r="AA317" s="185" t="str">
        <f t="shared" si="270"/>
        <v>Offererad produktnr. 10Advania Sverige AB</v>
      </c>
      <c r="AB317" s="185" t="b">
        <f>IF(D315="",TRUE,IF(COUNTIF(Processor!$M$2:$M$3,D315)=0,IF(AN317=D315,TRUE,FALSE),IF(COUNTIF(AN317,INDEX(Processor!$N$2:$N$3,MATCH(Surfplattor!D315,Processor!$M$2:$M$3,0)))&gt;0,TRUE,FALSE)))</f>
        <v>1</v>
      </c>
      <c r="AC317" s="185" t="b">
        <f>IF($D$316="",TRUE,IF(COUNTIF(Processor!$I$2:$I$9,$D$316)&gt;0,AND(AO317&gt;INDEX(Processor!$J$2:$J$9,MATCH($D$316,Processor!$I$2:$I$9,0)),AO317&lt;INDEX(Processor!$K$2:$K$9,MATCH($D$316,Processor!$I$2:$I$9,0))),IF(AO317=$D$316,TRUE,FALSE)))</f>
        <v>1</v>
      </c>
      <c r="AD317" s="185" t="b">
        <f t="shared" si="271"/>
        <v>1</v>
      </c>
      <c r="AE317" s="185" t="b">
        <f t="shared" si="272"/>
        <v>1</v>
      </c>
      <c r="AF317" s="185" t="b">
        <f t="shared" si="273"/>
        <v>1</v>
      </c>
      <c r="AG317" s="185" t="b">
        <f t="shared" si="274"/>
        <v>1</v>
      </c>
      <c r="AH317" s="185" t="b">
        <f>IF($D$321="",TRUE,IF(INDEX(Processor!$C$14:$C$20,MATCH(LEFT(AT317,10)&amp;"",Processor!$A$14:$A$20,0))&gt;=INDEX(Processor!$C$14:$C$20,MATCH(LEFT($D$321,10)&amp;"",Processor!$A$14:$A$20,0)),TRUE,FALSE))</f>
        <v>1</v>
      </c>
      <c r="AI317" s="185" t="b">
        <f t="shared" si="275"/>
        <v>1</v>
      </c>
      <c r="AJ317" s="185"/>
      <c r="AK317" s="185"/>
      <c r="AL317" s="185" t="s">
        <v>207</v>
      </c>
      <c r="AM317" s="185">
        <v>1</v>
      </c>
      <c r="AN317" s="185" t="str">
        <f t="shared" ca="1" si="276"/>
        <v>Android 11</v>
      </c>
      <c r="AO317" s="185">
        <f t="shared" ca="1" si="276"/>
        <v>11</v>
      </c>
      <c r="AP317" s="185" t="str">
        <f t="shared" ca="1" si="276"/>
        <v>2560x1600</v>
      </c>
      <c r="AQ317" s="185">
        <f t="shared" ca="1" si="276"/>
        <v>128</v>
      </c>
      <c r="AR317" s="185">
        <f t="shared" ca="1" si="276"/>
        <v>5.2</v>
      </c>
      <c r="AS317" s="185" t="str">
        <f t="shared" ca="1" si="276"/>
        <v>802.11a/b/g/n/ac/ax</v>
      </c>
      <c r="AT317" s="185">
        <f t="shared" ca="1" si="276"/>
        <v>13</v>
      </c>
      <c r="AU317" s="185" t="str">
        <f t="shared" ca="1" si="276"/>
        <v>Ej miljömärkt</v>
      </c>
      <c r="AV317" s="185" t="str">
        <f t="shared" ca="1" si="276"/>
        <v>802.11a/b/g/n/ac/ax</v>
      </c>
      <c r="AW317" s="185">
        <f t="shared" ca="1" si="276"/>
        <v>5.2</v>
      </c>
      <c r="AX317" s="185">
        <f t="shared" ca="1" si="277"/>
        <v>13</v>
      </c>
      <c r="AY317" s="185" t="str">
        <f t="shared" ca="1" si="277"/>
        <v>Samsung Galaxy Tab S8</v>
      </c>
      <c r="AZ317" s="185">
        <f t="shared" ca="1" si="277"/>
        <v>0</v>
      </c>
      <c r="BA317" s="185" t="str">
        <f t="shared" ca="1" si="277"/>
        <v>Android 11</v>
      </c>
      <c r="BB317" s="185">
        <f t="shared" ca="1" si="277"/>
        <v>6116</v>
      </c>
      <c r="BC317" s="185">
        <f t="shared" ca="1" si="277"/>
        <v>6116</v>
      </c>
      <c r="BD317" s="192" t="str">
        <f t="shared" ca="1" si="277"/>
        <v>Insmat</v>
      </c>
      <c r="BE317" s="192" t="str">
        <f t="shared" ca="1" si="277"/>
        <v>Tolerate</v>
      </c>
      <c r="BF317" s="192" t="str">
        <f t="shared" ca="1" si="277"/>
        <v>CoreParts</v>
      </c>
      <c r="BG317" s="192" t="str">
        <f t="shared" ca="1" si="277"/>
        <v>DELTACO</v>
      </c>
      <c r="BH317" s="192" t="str">
        <f t="shared" ca="1" si="278"/>
        <v xml:space="preserve">ZAGG </v>
      </c>
      <c r="BI317" s="192" t="str">
        <f t="shared" ca="1" si="278"/>
        <v xml:space="preserve">652-1287 - Baksidesskydd för surfplatta - robust - rugged armor </v>
      </c>
      <c r="BJ317" s="192" t="str">
        <f t="shared" ca="1" si="278"/>
        <v>ED600189 - Skärmskydd för surfplatta</v>
      </c>
      <c r="BK317" s="192" t="str">
        <f t="shared" ca="1" si="278"/>
        <v>MBXUSB-AC0011 - Strömadapter - 12 Watt - 2.4 A (USB) - på kabel: USB-C - vit - med USB-C cable (2m)</v>
      </c>
      <c r="BL317" s="192" t="str">
        <f t="shared" ca="1" si="278"/>
        <v>TB-631</v>
      </c>
      <c r="BM317" s="192" t="str">
        <f t="shared" ca="1" si="278"/>
        <v>109912139 - Pro Stylus 2 - Aktiv penna - grå</v>
      </c>
      <c r="BN317" s="192">
        <f t="shared" ca="1" si="278"/>
        <v>181</v>
      </c>
      <c r="BO317" s="192">
        <f t="shared" ca="1" si="278"/>
        <v>228</v>
      </c>
      <c r="BP317" s="192">
        <f t="shared" ca="1" si="278"/>
        <v>108</v>
      </c>
      <c r="BQ317" s="192">
        <f t="shared" ca="1" si="278"/>
        <v>169</v>
      </c>
      <c r="BR317" s="192">
        <f t="shared" ca="1" si="278"/>
        <v>595</v>
      </c>
      <c r="BS317" s="192">
        <f t="shared" ca="1" si="278"/>
        <v>781</v>
      </c>
      <c r="BT317" s="192">
        <f t="shared" ca="1" si="278"/>
        <v>50</v>
      </c>
      <c r="BU317" s="192">
        <f t="shared" ca="1" si="278"/>
        <v>50</v>
      </c>
      <c r="BV317" s="192">
        <f t="shared" ca="1" si="278"/>
        <v>0</v>
      </c>
      <c r="BW317" s="192"/>
      <c r="BX317" s="192"/>
      <c r="BY317" s="192" t="str">
        <f t="shared" ca="1" si="279"/>
        <v>Advania Sverige AB</v>
      </c>
      <c r="BZ317" s="192" t="str">
        <f t="shared" ca="1" si="279"/>
        <v>Samsung</v>
      </c>
      <c r="CA317" s="199" t="s">
        <v>95</v>
      </c>
      <c r="CB317" s="185"/>
      <c r="CC317" s="185"/>
      <c r="CD317" s="185"/>
      <c r="CE317" s="185">
        <v>10.3</v>
      </c>
      <c r="CF317" s="185" t="s">
        <v>130</v>
      </c>
      <c r="CG317" s="185" t="s">
        <v>530</v>
      </c>
      <c r="CH317" s="185" t="s">
        <v>171</v>
      </c>
      <c r="CI317" s="185"/>
      <c r="CJ317" s="185">
        <v>5.2</v>
      </c>
      <c r="CK317" s="185" t="s">
        <v>130</v>
      </c>
      <c r="CL317" s="185"/>
      <c r="CM317" s="185"/>
      <c r="CN317" s="185" t="s">
        <v>96</v>
      </c>
    </row>
    <row r="318" spans="2:92" ht="22.5" customHeight="1" outlineLevel="1" x14ac:dyDescent="0.35">
      <c r="C318" s="61" t="s">
        <v>17</v>
      </c>
      <c r="D318" s="64"/>
      <c r="F318" s="78" t="str">
        <f t="shared" si="280"/>
        <v/>
      </c>
      <c r="G318" s="79">
        <f t="shared" ca="1" si="281"/>
        <v>64</v>
      </c>
      <c r="H318" s="79">
        <f t="shared" ca="1" si="281"/>
        <v>64</v>
      </c>
      <c r="I318" s="120">
        <f t="shared" ca="1" si="281"/>
        <v>64</v>
      </c>
      <c r="J318" s="62"/>
      <c r="K318" s="185">
        <f t="shared" ca="1" si="257"/>
        <v>0</v>
      </c>
      <c r="L318" s="185" t="b">
        <f t="shared" si="258"/>
        <v>1</v>
      </c>
      <c r="M318" s="185" t="s">
        <v>167</v>
      </c>
      <c r="N318" s="185" t="str">
        <f t="shared" ca="1" si="259"/>
        <v/>
      </c>
      <c r="O318" s="185" cm="1">
        <f t="array" aca="1" ref="O318" ca="1">MIN(IF(($BY$314:$BY$337=M318)*($AM$314:$AM$337=$O$311),$Z$314:$Z$337))</f>
        <v>0</v>
      </c>
      <c r="P318" s="197"/>
      <c r="Q318" s="185">
        <f t="shared" si="260"/>
        <v>0</v>
      </c>
      <c r="R318" s="185">
        <f t="shared" si="261"/>
        <v>0</v>
      </c>
      <c r="S318" s="185">
        <f t="shared" si="262"/>
        <v>0</v>
      </c>
      <c r="T318" s="185">
        <f t="shared" si="263"/>
        <v>0</v>
      </c>
      <c r="U318" s="185">
        <f t="shared" si="264"/>
        <v>0</v>
      </c>
      <c r="V318" s="185">
        <f t="shared" si="265"/>
        <v>0</v>
      </c>
      <c r="W318" s="185">
        <f t="shared" si="266"/>
        <v>0</v>
      </c>
      <c r="X318" s="185">
        <f t="shared" si="267"/>
        <v>0</v>
      </c>
      <c r="Y318" s="185">
        <f t="shared" si="268"/>
        <v>0</v>
      </c>
      <c r="Z318" s="196">
        <f t="shared" ca="1" si="269"/>
        <v>9140</v>
      </c>
      <c r="AA318" s="185" t="str">
        <f t="shared" si="270"/>
        <v>Offererad produktnr. 07Atea Sverige AB</v>
      </c>
      <c r="AB318" s="185" t="b">
        <f>IF(D315="",TRUE,IF(COUNTIF(Processor!$M$2:$M$3,D315)=0,IF(AN318=D315,TRUE,FALSE),IF(COUNTIF(AN318,INDEX(Processor!$N$2:$N$3,MATCH(Surfplattor!D315,Processor!$M$2:$M$3,0)))&gt;0,TRUE,FALSE)))</f>
        <v>1</v>
      </c>
      <c r="AC318" s="185" t="b">
        <f>IF($D$316="",TRUE,IF(COUNTIF(Processor!$I$2:$I$9,$D$316)&gt;0,AND(AO318&gt;INDEX(Processor!$J$2:$J$9,MATCH($D$316,Processor!$I$2:$I$9,0)),AO318&lt;INDEX(Processor!$K$2:$K$9,MATCH($D$316,Processor!$I$2:$I$9,0))),IF(AO318=$D$316,TRUE,FALSE)))</f>
        <v>1</v>
      </c>
      <c r="AD318" s="185" t="b">
        <f t="shared" si="271"/>
        <v>1</v>
      </c>
      <c r="AE318" s="185" t="b">
        <f t="shared" si="272"/>
        <v>1</v>
      </c>
      <c r="AF318" s="185" t="b">
        <f t="shared" si="273"/>
        <v>1</v>
      </c>
      <c r="AG318" s="185" t="b">
        <f t="shared" si="274"/>
        <v>1</v>
      </c>
      <c r="AH318" s="185" t="b">
        <f>IF($D$321="",TRUE,IF(INDEX(Processor!$C$14:$C$20,MATCH(LEFT(AT318,10)&amp;"",Processor!$A$14:$A$20,0))&gt;=INDEX(Processor!$C$14:$C$20,MATCH(LEFT($D$321,10)&amp;"",Processor!$A$14:$A$20,0)),TRUE,FALSE))</f>
        <v>1</v>
      </c>
      <c r="AI318" s="185" t="b">
        <f t="shared" si="275"/>
        <v>1</v>
      </c>
      <c r="AJ318" s="185"/>
      <c r="AK318" s="185"/>
      <c r="AL318" s="185" t="s">
        <v>192</v>
      </c>
      <c r="AM318" s="185">
        <v>1</v>
      </c>
      <c r="AN318" s="185" t="str">
        <f t="shared" ca="1" si="276"/>
        <v>iPadOS 15</v>
      </c>
      <c r="AO318" s="185">
        <f t="shared" ca="1" si="276"/>
        <v>10.9</v>
      </c>
      <c r="AP318" s="185" t="str">
        <f t="shared" ca="1" si="276"/>
        <v>2360x1640</v>
      </c>
      <c r="AQ318" s="185">
        <f t="shared" ca="1" si="276"/>
        <v>64</v>
      </c>
      <c r="AR318" s="185">
        <f t="shared" ca="1" si="276"/>
        <v>5</v>
      </c>
      <c r="AS318" s="185" t="str">
        <f t="shared" ca="1" si="276"/>
        <v>802.11a/b/g/n/ac/ax</v>
      </c>
      <c r="AT318" s="185">
        <f t="shared" ca="1" si="276"/>
        <v>10</v>
      </c>
      <c r="AU318" s="185" t="str">
        <f t="shared" ca="1" si="276"/>
        <v>EPEAT Gold</v>
      </c>
      <c r="AV318" s="185" t="str">
        <f t="shared" ca="1" si="276"/>
        <v>802.11a/b/g/n/ac/ax</v>
      </c>
      <c r="AW318" s="185">
        <f t="shared" ca="1" si="276"/>
        <v>5</v>
      </c>
      <c r="AX318" s="185">
        <f t="shared" ca="1" si="277"/>
        <v>10</v>
      </c>
      <c r="AY318" s="185" t="str">
        <f t="shared" ca="1" si="277"/>
        <v>10.9-inch iPad Air Wi-Fi 5th Gen</v>
      </c>
      <c r="AZ318" s="185">
        <f t="shared" ca="1" si="277"/>
        <v>0</v>
      </c>
      <c r="BA318" s="185" t="str">
        <f t="shared" ca="1" si="277"/>
        <v>iPadOS 15</v>
      </c>
      <c r="BB318" s="185">
        <f t="shared" ca="1" si="277"/>
        <v>9140</v>
      </c>
      <c r="BC318" s="185">
        <f t="shared" ca="1" si="277"/>
        <v>9140</v>
      </c>
      <c r="BD318" s="192" t="str">
        <f t="shared" ca="1" si="277"/>
        <v>ZAGG</v>
      </c>
      <c r="BE318" s="192" t="str">
        <f t="shared" ca="1" si="277"/>
        <v>ZAGG</v>
      </c>
      <c r="BF318" s="192" t="str">
        <f t="shared" ca="1" si="277"/>
        <v xml:space="preserve">Mophie </v>
      </c>
      <c r="BG318" s="192" t="str">
        <f t="shared" ca="1" si="277"/>
        <v>Tolerate</v>
      </c>
      <c r="BH318" s="192" t="str">
        <f t="shared" ca="1" si="278"/>
        <v>Apple</v>
      </c>
      <c r="BI318" s="192" t="str">
        <f t="shared" ca="1" si="278"/>
        <v>GEAR4 Case Brompton + Folio Apple iPad Air 10.9" (4th Gen)/ iPad Pro 11" (1st &amp; 2nd Gen) - smoke</v>
      </c>
      <c r="BJ318" s="192" t="str">
        <f t="shared" ca="1" si="278"/>
        <v>InvisibleShield Glass Elite+ iPad Air 4/11P (2021) Case friendly Screen</v>
      </c>
      <c r="BK318" s="192" t="str">
        <f t="shared" ca="1" si="278"/>
        <v>Mophie USB typ C-kabel/MOPHIE WALL ADAPTER USB-C 20W</v>
      </c>
      <c r="BL318" s="192" t="str">
        <f t="shared" ca="1" si="278"/>
        <v>TOLERATE KEYBOARD FOLIO IPAD AIR 10,9 BLACK</v>
      </c>
      <c r="BM318" s="192" t="str">
        <f t="shared" ca="1" si="278"/>
        <v>Apple Pencil 2nd Generation - Penna för surfplatta - för 10.9-inch iPad Air (4th generation); 11-inch iPad Pro (1st generation, 2nd generation, 3rd generation); 12.9-inch iPad Pro (3rd generation, 4th generation, 5th generation)</v>
      </c>
      <c r="BN318" s="192">
        <f t="shared" ca="1" si="278"/>
        <v>344</v>
      </c>
      <c r="BO318" s="192">
        <f t="shared" ca="1" si="278"/>
        <v>302</v>
      </c>
      <c r="BP318" s="192">
        <f t="shared" ca="1" si="278"/>
        <v>289</v>
      </c>
      <c r="BQ318" s="192">
        <f t="shared" ca="1" si="278"/>
        <v>756</v>
      </c>
      <c r="BR318" s="192">
        <f t="shared" ca="1" si="278"/>
        <v>1742</v>
      </c>
      <c r="BS318" s="192">
        <f t="shared" ca="1" si="278"/>
        <v>672</v>
      </c>
      <c r="BT318" s="192">
        <f t="shared" ca="1" si="278"/>
        <v>85</v>
      </c>
      <c r="BU318" s="192">
        <f t="shared" ca="1" si="278"/>
        <v>100</v>
      </c>
      <c r="BV318" s="192">
        <f t="shared" ca="1" si="278"/>
        <v>0</v>
      </c>
      <c r="BW318" s="192"/>
      <c r="BX318" s="192"/>
      <c r="BY318" s="192" t="str">
        <f t="shared" ca="1" si="279"/>
        <v>Atea Sverige AB</v>
      </c>
      <c r="BZ318" s="192" t="str">
        <f t="shared" ca="1" si="279"/>
        <v>Apple</v>
      </c>
      <c r="CA318" s="199" t="s">
        <v>435</v>
      </c>
      <c r="CB318" s="185"/>
      <c r="CC318" s="185"/>
      <c r="CD318" s="185"/>
      <c r="CE318" s="185">
        <v>10.4</v>
      </c>
      <c r="CF318" s="185" t="s">
        <v>225</v>
      </c>
      <c r="CG318" s="185" t="s">
        <v>165</v>
      </c>
      <c r="CH318" s="185"/>
      <c r="CI318" s="185"/>
      <c r="CJ318" s="185"/>
      <c r="CK318" s="185" t="s">
        <v>225</v>
      </c>
      <c r="CL318" s="185"/>
      <c r="CM318" s="185"/>
      <c r="CN318" s="185"/>
    </row>
    <row r="319" spans="2:92" ht="28.5" customHeight="1" outlineLevel="1" x14ac:dyDescent="0.35">
      <c r="C319" s="61" t="s">
        <v>75</v>
      </c>
      <c r="D319" s="110"/>
      <c r="F319" s="78" t="str">
        <f t="shared" si="280"/>
        <v/>
      </c>
      <c r="G319" s="79">
        <f t="shared" ca="1" si="281"/>
        <v>5</v>
      </c>
      <c r="H319" s="79">
        <f t="shared" ca="1" si="281"/>
        <v>5</v>
      </c>
      <c r="I319" s="120">
        <f t="shared" ca="1" si="281"/>
        <v>4.2</v>
      </c>
      <c r="J319" s="62"/>
      <c r="K319" s="185">
        <f t="shared" ca="1" si="257"/>
        <v>0</v>
      </c>
      <c r="L319" s="185" t="b">
        <f t="shared" si="258"/>
        <v>1</v>
      </c>
      <c r="M319" s="185" t="s">
        <v>546</v>
      </c>
      <c r="N319" s="185" t="str">
        <f t="shared" ca="1" si="259"/>
        <v>Offererad produktnr. 07Qlosr Göteborg AB</v>
      </c>
      <c r="O319" s="185" cm="1">
        <f t="array" aca="1" ref="O319" ca="1">MIN(IF(($BY$314:$BY$337=M319)*($AM$314:$AM$337=$O$311),$Z$314:$Z$337))</f>
        <v>1700</v>
      </c>
      <c r="P319" s="197"/>
      <c r="Q319" s="185">
        <f t="shared" si="260"/>
        <v>0</v>
      </c>
      <c r="R319" s="185">
        <f t="shared" si="261"/>
        <v>0</v>
      </c>
      <c r="S319" s="185">
        <f t="shared" si="262"/>
        <v>0</v>
      </c>
      <c r="T319" s="185">
        <f t="shared" si="263"/>
        <v>0</v>
      </c>
      <c r="U319" s="185">
        <f t="shared" si="264"/>
        <v>0</v>
      </c>
      <c r="V319" s="185">
        <f t="shared" si="265"/>
        <v>0</v>
      </c>
      <c r="W319" s="185">
        <f t="shared" si="266"/>
        <v>0</v>
      </c>
      <c r="X319" s="185">
        <f t="shared" si="267"/>
        <v>0</v>
      </c>
      <c r="Y319" s="185">
        <f t="shared" si="268"/>
        <v>0</v>
      </c>
      <c r="Z319" s="196">
        <f t="shared" ca="1" si="269"/>
        <v>5254</v>
      </c>
      <c r="AA319" s="185" t="str">
        <f t="shared" si="270"/>
        <v>Offererad produktnr. 08Atea Sverige AB</v>
      </c>
      <c r="AB319" s="185" t="b">
        <f>IF(D315="",TRUE,IF(COUNTIF(Processor!$M$2:$M$3,D315)=0,IF(AN319=D315,TRUE,FALSE),IF(COUNTIF(AN319,INDEX(Processor!$N$2:$N$3,MATCH(Surfplattor!D315,Processor!$M$2:$M$3,0)))&gt;0,TRUE,FALSE)))</f>
        <v>1</v>
      </c>
      <c r="AC319" s="185" t="b">
        <f>IF($D$316="",TRUE,IF(COUNTIF(Processor!$I$2:$I$9,$D$316)&gt;0,AND(AO319&gt;INDEX(Processor!$J$2:$J$9,MATCH($D$316,Processor!$I$2:$I$9,0)),AO319&lt;INDEX(Processor!$K$2:$K$9,MATCH($D$316,Processor!$I$2:$I$9,0))),IF(AO319=$D$316,TRUE,FALSE)))</f>
        <v>1</v>
      </c>
      <c r="AD319" s="185" t="b">
        <f t="shared" si="271"/>
        <v>1</v>
      </c>
      <c r="AE319" s="185" t="b">
        <f t="shared" si="272"/>
        <v>1</v>
      </c>
      <c r="AF319" s="185" t="b">
        <f t="shared" si="273"/>
        <v>1</v>
      </c>
      <c r="AG319" s="185" t="b">
        <f t="shared" si="274"/>
        <v>1</v>
      </c>
      <c r="AH319" s="185" t="b">
        <f>IF($D$321="",TRUE,IF(INDEX(Processor!$C$14:$C$20,MATCH(LEFT(AT319,10)&amp;"",Processor!$A$14:$A$20,0))&gt;=INDEX(Processor!$C$14:$C$20,MATCH(LEFT($D$321,10)&amp;"",Processor!$A$14:$A$20,0)),TRUE,FALSE))</f>
        <v>1</v>
      </c>
      <c r="AI319" s="185" t="b">
        <f t="shared" si="275"/>
        <v>1</v>
      </c>
      <c r="AJ319" s="185"/>
      <c r="AK319" s="185"/>
      <c r="AL319" s="185" t="s">
        <v>193</v>
      </c>
      <c r="AM319" s="185">
        <v>1</v>
      </c>
      <c r="AN319" s="185" t="str">
        <f t="shared" ca="1" si="276"/>
        <v>iPadOS 14</v>
      </c>
      <c r="AO319" s="185">
        <f t="shared" ca="1" si="276"/>
        <v>10.199999999999999</v>
      </c>
      <c r="AP319" s="185" t="str">
        <f t="shared" ca="1" si="276"/>
        <v>2160x1620</v>
      </c>
      <c r="AQ319" s="185">
        <f t="shared" ca="1" si="276"/>
        <v>64</v>
      </c>
      <c r="AR319" s="185">
        <f t="shared" ca="1" si="276"/>
        <v>4.2</v>
      </c>
      <c r="AS319" s="185" t="str">
        <f t="shared" ca="1" si="276"/>
        <v>802.11a/b/g/n/ac</v>
      </c>
      <c r="AT319" s="185">
        <f t="shared" ca="1" si="276"/>
        <v>10</v>
      </c>
      <c r="AU319" s="185" t="str">
        <f t="shared" ca="1" si="276"/>
        <v>EPEAT Gold</v>
      </c>
      <c r="AV319" s="185" t="str">
        <f t="shared" ca="1" si="276"/>
        <v>802.11a/b/g/n/ac</v>
      </c>
      <c r="AW319" s="185">
        <f t="shared" ca="1" si="276"/>
        <v>4.2</v>
      </c>
      <c r="AX319" s="185">
        <f t="shared" ca="1" si="277"/>
        <v>10</v>
      </c>
      <c r="AY319" s="185" t="str">
        <f t="shared" ca="1" si="277"/>
        <v>iPad Wi-Fi 9:e Generationen</v>
      </c>
      <c r="AZ319" s="185">
        <f t="shared" ca="1" si="277"/>
        <v>0</v>
      </c>
      <c r="BA319" s="185" t="str">
        <f t="shared" ca="1" si="277"/>
        <v>iPadOS 14</v>
      </c>
      <c r="BB319" s="185">
        <f t="shared" ca="1" si="277"/>
        <v>5254</v>
      </c>
      <c r="BC319" s="185">
        <f t="shared" ca="1" si="277"/>
        <v>5254</v>
      </c>
      <c r="BD319" s="192" t="str">
        <f t="shared" ca="1" si="277"/>
        <v>ZAGG</v>
      </c>
      <c r="BE319" s="192" t="str">
        <f t="shared" ca="1" si="277"/>
        <v>ZAGG</v>
      </c>
      <c r="BF319" s="192" t="str">
        <f t="shared" ca="1" si="277"/>
        <v>Mophie</v>
      </c>
      <c r="BG319" s="192" t="str">
        <f t="shared" ca="1" si="277"/>
        <v>Tolerate</v>
      </c>
      <c r="BH319" s="192" t="str">
        <f t="shared" ca="1" si="278"/>
        <v>Apple</v>
      </c>
      <c r="BI319" s="192" t="str">
        <f t="shared" ca="1" si="278"/>
        <v>ZAGG Rugged Messenger Case - Skyddsfodral för surfplatta - robust - 10.2" - för Apple 10.2-inch iPad</v>
      </c>
      <c r="BJ319" s="192" t="str">
        <f t="shared" ca="1" si="278"/>
        <v>InvisibleShield Glass Elite+ Apple iPad 10.2" Screen</v>
      </c>
      <c r="BK319" s="192" t="str">
        <f t="shared" ca="1" si="278"/>
        <v>Wall Adapter-USB-C-20W-White-EU/mophie Charge and Sync Cable- USB-C to Lightning Cable 1.8M – White</v>
      </c>
      <c r="BL319" s="192" t="str">
        <f t="shared" ca="1" si="278"/>
        <v>Tolerate KEYBOARD FOLIO - Tangentbord och foliefodral - Bluetooth - svensk - svart - för Apple 10.2-inch iPad</v>
      </c>
      <c r="BM319" s="192" t="str">
        <f t="shared" ca="1" si="278"/>
        <v>Apple Pencil - Penna för surfplatta - för 10.2-inch iPad (7th generation, 8th generation); 10.5-inch iPad Air (3rd generation); 10.5-inch iPad Pro; 12.9-inch iPad Pro (1st generation, 2nd generation); 9.7-inch iPad (6th generation); 9.7-inch iPad Pro; iPad mini 5</v>
      </c>
      <c r="BN319" s="192">
        <f t="shared" ca="1" si="278"/>
        <v>430</v>
      </c>
      <c r="BO319" s="192">
        <f t="shared" ca="1" si="278"/>
        <v>302</v>
      </c>
      <c r="BP319" s="192">
        <f t="shared" ca="1" si="278"/>
        <v>226</v>
      </c>
      <c r="BQ319" s="192">
        <f t="shared" ca="1" si="278"/>
        <v>756</v>
      </c>
      <c r="BR319" s="192">
        <f t="shared" ca="1" si="278"/>
        <v>1284</v>
      </c>
      <c r="BS319" s="192">
        <f t="shared" ca="1" si="278"/>
        <v>672</v>
      </c>
      <c r="BT319" s="192">
        <f t="shared" ca="1" si="278"/>
        <v>85</v>
      </c>
      <c r="BU319" s="192">
        <f t="shared" ca="1" si="278"/>
        <v>100</v>
      </c>
      <c r="BV319" s="192">
        <f t="shared" ca="1" si="278"/>
        <v>0</v>
      </c>
      <c r="BW319" s="192"/>
      <c r="BX319" s="192"/>
      <c r="BY319" s="192" t="str">
        <f t="shared" ca="1" si="279"/>
        <v>Atea Sverige AB</v>
      </c>
      <c r="BZ319" s="192" t="str">
        <f t="shared" ca="1" si="279"/>
        <v>Apple</v>
      </c>
      <c r="CA319" s="199" t="s">
        <v>93</v>
      </c>
      <c r="CB319" s="185"/>
      <c r="CC319" s="185"/>
      <c r="CD319" s="185"/>
      <c r="CE319" s="185">
        <v>10.9</v>
      </c>
      <c r="CF319" s="185" t="s">
        <v>146</v>
      </c>
      <c r="CG319" s="185" t="s">
        <v>91</v>
      </c>
      <c r="CH319" s="185"/>
      <c r="CI319" s="185"/>
      <c r="CJ319" s="185"/>
      <c r="CK319" s="185" t="s">
        <v>146</v>
      </c>
      <c r="CL319" s="185"/>
      <c r="CM319" s="185"/>
      <c r="CN319" s="185"/>
    </row>
    <row r="320" spans="2:92" ht="29.25" customHeight="1" outlineLevel="1" x14ac:dyDescent="0.35">
      <c r="C320" s="61" t="s">
        <v>103</v>
      </c>
      <c r="D320" s="64"/>
      <c r="F320" s="78" t="str">
        <f t="shared" si="280"/>
        <v/>
      </c>
      <c r="G320" s="79" t="str">
        <f t="shared" ca="1" si="281"/>
        <v>802.11a/b/g/n/ac</v>
      </c>
      <c r="H320" s="79" t="str">
        <f t="shared" ca="1" si="281"/>
        <v>802.11a/b/g/n/ac</v>
      </c>
      <c r="I320" s="120" t="str">
        <f t="shared" ca="1" si="281"/>
        <v>802.11a/b/g/n/ac</v>
      </c>
      <c r="J320" s="62"/>
      <c r="Q320" s="185">
        <f t="shared" si="260"/>
        <v>0</v>
      </c>
      <c r="R320" s="185">
        <f t="shared" si="261"/>
        <v>0</v>
      </c>
      <c r="S320" s="185">
        <f t="shared" si="262"/>
        <v>0</v>
      </c>
      <c r="T320" s="185">
        <f t="shared" si="263"/>
        <v>0</v>
      </c>
      <c r="U320" s="185">
        <f t="shared" si="264"/>
        <v>0</v>
      </c>
      <c r="V320" s="185">
        <f t="shared" si="265"/>
        <v>0</v>
      </c>
      <c r="W320" s="185">
        <f t="shared" si="266"/>
        <v>0</v>
      </c>
      <c r="X320" s="185">
        <f t="shared" si="267"/>
        <v>0</v>
      </c>
      <c r="Y320" s="185">
        <f t="shared" si="268"/>
        <v>0</v>
      </c>
      <c r="Z320" s="196">
        <f t="shared" ca="1" si="269"/>
        <v>10177</v>
      </c>
      <c r="AA320" s="185" t="str">
        <f t="shared" si="270"/>
        <v>Offererad produktnr. 09Atea Sverige AB</v>
      </c>
      <c r="AB320" s="185" t="b">
        <f>IF(D315="",TRUE,IF(COUNTIF(Processor!$M$2:$M$3,D315)=0,IF(AN320=D315,TRUE,FALSE),IF(COUNTIF(AN320,INDEX(Processor!$N$2:$N$3,MATCH(Surfplattor!D315,Processor!$M$2:$M$3,0)))&gt;0,TRUE,FALSE)))</f>
        <v>1</v>
      </c>
      <c r="AC320" s="185" t="b">
        <f>IF($D$316="",TRUE,IF(COUNTIF(Processor!$I$2:$I$9,$D$316)&gt;0,AND(AO320&gt;INDEX(Processor!$J$2:$J$9,MATCH($D$316,Processor!$I$2:$I$9,0)),AO320&lt;INDEX(Processor!$K$2:$K$9,MATCH($D$316,Processor!$I$2:$I$9,0))),IF(AO320=$D$316,TRUE,FALSE)))</f>
        <v>1</v>
      </c>
      <c r="AD320" s="185" t="b">
        <f t="shared" si="271"/>
        <v>1</v>
      </c>
      <c r="AE320" s="185" t="b">
        <f t="shared" si="272"/>
        <v>1</v>
      </c>
      <c r="AF320" s="185" t="b">
        <f t="shared" si="273"/>
        <v>1</v>
      </c>
      <c r="AG320" s="185" t="b">
        <f t="shared" si="274"/>
        <v>1</v>
      </c>
      <c r="AH320" s="185" t="b">
        <f>IF($D$321="",TRUE,IF(INDEX(Processor!$C$14:$C$20,MATCH(LEFT(AT320,10)&amp;"",Processor!$A$14:$A$20,0))&gt;=INDEX(Processor!$C$14:$C$20,MATCH(LEFT($D$321,10)&amp;"",Processor!$A$14:$A$20,0)),TRUE,FALSE))</f>
        <v>1</v>
      </c>
      <c r="AI320" s="185" t="b">
        <f t="shared" si="275"/>
        <v>1</v>
      </c>
      <c r="AJ320" s="185"/>
      <c r="AK320" s="185"/>
      <c r="AL320" s="185" t="s">
        <v>194</v>
      </c>
      <c r="AM320" s="185">
        <v>1</v>
      </c>
      <c r="AN320" s="185" t="str">
        <f t="shared" ca="1" si="276"/>
        <v>Android 13</v>
      </c>
      <c r="AO320" s="185">
        <f t="shared" ca="1" si="276"/>
        <v>11</v>
      </c>
      <c r="AP320" s="185" t="str">
        <f t="shared" ca="1" si="276"/>
        <v>2560x1600</v>
      </c>
      <c r="AQ320" s="185">
        <f t="shared" ca="1" si="276"/>
        <v>128</v>
      </c>
      <c r="AR320" s="185">
        <f t="shared" ca="1" si="276"/>
        <v>5.3</v>
      </c>
      <c r="AS320" s="185" t="str">
        <f t="shared" ca="1" si="276"/>
        <v>802.11a/b/g/n/ac/ax</v>
      </c>
      <c r="AT320" s="185">
        <f t="shared" ca="1" si="276"/>
        <v>13</v>
      </c>
      <c r="AU320" s="185" t="str">
        <f t="shared" ca="1" si="276"/>
        <v>Ej miljömärkt</v>
      </c>
      <c r="AV320" s="185" t="str">
        <f t="shared" ca="1" si="276"/>
        <v>802.11a/b/g/n/ac/ax</v>
      </c>
      <c r="AW320" s="185">
        <f t="shared" ca="1" si="276"/>
        <v>5.3</v>
      </c>
      <c r="AX320" s="185">
        <f t="shared" ca="1" si="277"/>
        <v>13</v>
      </c>
      <c r="AY320" s="185" t="str">
        <f t="shared" ca="1" si="277"/>
        <v>Galaxy Tab S9 Wifi (128GB)</v>
      </c>
      <c r="AZ320" s="185">
        <f t="shared" ca="1" si="277"/>
        <v>0</v>
      </c>
      <c r="BA320" s="185" t="str">
        <f t="shared" ca="1" si="277"/>
        <v>Android 13</v>
      </c>
      <c r="BB320" s="185">
        <f t="shared" ca="1" si="277"/>
        <v>10177</v>
      </c>
      <c r="BC320" s="185">
        <f t="shared" ca="1" si="277"/>
        <v>10177</v>
      </c>
      <c r="BD320" s="192" t="str">
        <f t="shared" ca="1" si="277"/>
        <v>Tolerate</v>
      </c>
      <c r="BE320" s="192" t="str">
        <f t="shared" ca="1" si="277"/>
        <v>Tolerate</v>
      </c>
      <c r="BF320" s="192" t="str">
        <f t="shared" ca="1" si="277"/>
        <v>Samsung</v>
      </c>
      <c r="BG320" s="192" t="str">
        <f t="shared" ca="1" si="277"/>
        <v>Tolerate</v>
      </c>
      <c r="BH320" s="192" t="str">
        <f t="shared" ca="1" si="278"/>
        <v>Samsung</v>
      </c>
      <c r="BI320" s="192" t="str">
        <f t="shared" ca="1" si="278"/>
        <v>TOLERATE ARMOUR FOLIO TAB S9 BULK</v>
      </c>
      <c r="BJ320" s="192" t="str">
        <f t="shared" ca="1" si="278"/>
        <v>TOLERATE GLASS SCREEN PROTECTOR SAMSUNG TAB S9 BULK</v>
      </c>
      <c r="BK320" s="192" t="str">
        <f t="shared" ca="1" si="278"/>
        <v>Samsung Travel Adapter/USB-C till USB-A-kabel - 1.5 m</v>
      </c>
      <c r="BL320" s="192" t="str">
        <f t="shared" ca="1" si="278"/>
        <v xml:space="preserve">TOLERATE KEYBOARD FOLIO SAMSUNG TAB S8 </v>
      </c>
      <c r="BM320" s="192" t="str">
        <f t="shared" ca="1" si="278"/>
        <v>Samsung S-Pen</v>
      </c>
      <c r="BN320" s="192">
        <f t="shared" ca="1" si="278"/>
        <v>461</v>
      </c>
      <c r="BO320" s="192">
        <f t="shared" ca="1" si="278"/>
        <v>281</v>
      </c>
      <c r="BP320" s="192">
        <f t="shared" ca="1" si="278"/>
        <v>386</v>
      </c>
      <c r="BQ320" s="192">
        <f t="shared" ca="1" si="278"/>
        <v>756</v>
      </c>
      <c r="BR320" s="192">
        <f t="shared" ca="1" si="278"/>
        <v>504</v>
      </c>
      <c r="BS320" s="192">
        <f t="shared" ca="1" si="278"/>
        <v>1</v>
      </c>
      <c r="BT320" s="192">
        <f t="shared" ca="1" si="278"/>
        <v>85</v>
      </c>
      <c r="BU320" s="192">
        <f t="shared" ca="1" si="278"/>
        <v>100</v>
      </c>
      <c r="BV320" s="192">
        <f t="shared" ca="1" si="278"/>
        <v>0</v>
      </c>
      <c r="BW320" s="192"/>
      <c r="BX320" s="192"/>
      <c r="BY320" s="192" t="str">
        <f t="shared" ca="1" si="279"/>
        <v>Atea Sverige AB</v>
      </c>
      <c r="BZ320" s="192" t="str">
        <f t="shared" ca="1" si="279"/>
        <v>Samsung</v>
      </c>
      <c r="CA320" s="199" t="s">
        <v>147</v>
      </c>
      <c r="CB320" s="185"/>
      <c r="CC320" s="185"/>
      <c r="CD320" s="185"/>
      <c r="CE320" s="185">
        <v>11</v>
      </c>
      <c r="CF320" s="185"/>
      <c r="CG320" s="192"/>
      <c r="CH320" s="185"/>
      <c r="CI320" s="185"/>
      <c r="CJ320" s="185"/>
      <c r="CK320" s="185"/>
      <c r="CL320" s="185"/>
      <c r="CM320" s="185"/>
      <c r="CN320" s="192"/>
    </row>
    <row r="321" spans="2:94" ht="29.25" customHeight="1" outlineLevel="1" x14ac:dyDescent="0.35">
      <c r="C321" s="61" t="s">
        <v>120</v>
      </c>
      <c r="D321" s="64"/>
      <c r="F321" s="80" t="str">
        <f t="shared" si="280"/>
        <v/>
      </c>
      <c r="G321" s="81">
        <f t="shared" ca="1" si="281"/>
        <v>9</v>
      </c>
      <c r="H321" s="81">
        <f t="shared" ca="1" si="281"/>
        <v>9</v>
      </c>
      <c r="I321" s="121">
        <f t="shared" ca="1" si="281"/>
        <v>10</v>
      </c>
      <c r="J321" s="62"/>
      <c r="Q321" s="185">
        <f t="shared" si="260"/>
        <v>0</v>
      </c>
      <c r="R321" s="185">
        <f t="shared" si="261"/>
        <v>0</v>
      </c>
      <c r="S321" s="185">
        <f t="shared" si="262"/>
        <v>0</v>
      </c>
      <c r="T321" s="185">
        <f t="shared" si="263"/>
        <v>0</v>
      </c>
      <c r="U321" s="185">
        <f t="shared" si="264"/>
        <v>0</v>
      </c>
      <c r="V321" s="185">
        <f t="shared" si="265"/>
        <v>0</v>
      </c>
      <c r="W321" s="185">
        <f t="shared" si="266"/>
        <v>0</v>
      </c>
      <c r="X321" s="185">
        <f t="shared" si="267"/>
        <v>0</v>
      </c>
      <c r="Y321" s="185">
        <f t="shared" si="268"/>
        <v>0</v>
      </c>
      <c r="Z321" s="196">
        <f t="shared" ca="1" si="269"/>
        <v>8276</v>
      </c>
      <c r="AA321" s="185" t="str">
        <f t="shared" si="270"/>
        <v>Offererad produktnr. 10Atea Sverige AB</v>
      </c>
      <c r="AB321" s="185" t="b">
        <f>IF(D315="",TRUE,IF(COUNTIF(Processor!$M$2:$M$3,D315)=0,IF(AN321=D315,TRUE,FALSE),IF(COUNTIF(AN321,INDEX(Processor!$N$2:$N$3,MATCH(Surfplattor!D315,Processor!$M$2:$M$3,0)))&gt;0,TRUE,FALSE)))</f>
        <v>1</v>
      </c>
      <c r="AC321" s="185" t="b">
        <f>IF($D$316="",TRUE,IF(COUNTIF(Processor!$I$2:$I$9,$D$316)&gt;0,AND(AO321&gt;INDEX(Processor!$J$2:$J$9,MATCH($D$316,Processor!$I$2:$I$9,0)),AO321&lt;INDEX(Processor!$K$2:$K$9,MATCH($D$316,Processor!$I$2:$I$9,0))),IF(AO321=$D$316,TRUE,FALSE)))</f>
        <v>1</v>
      </c>
      <c r="AD321" s="185" t="b">
        <f t="shared" si="271"/>
        <v>1</v>
      </c>
      <c r="AE321" s="185" t="b">
        <f t="shared" si="272"/>
        <v>1</v>
      </c>
      <c r="AF321" s="185" t="b">
        <f t="shared" si="273"/>
        <v>1</v>
      </c>
      <c r="AG321" s="185" t="b">
        <f t="shared" si="274"/>
        <v>1</v>
      </c>
      <c r="AH321" s="185" t="b">
        <f>IF($D$321="",TRUE,IF(INDEX(Processor!$C$14:$C$20,MATCH(LEFT(AT321,10)&amp;"",Processor!$A$14:$A$20,0))&gt;=INDEX(Processor!$C$14:$C$20,MATCH(LEFT($D$321,10)&amp;"",Processor!$A$14:$A$20,0)),TRUE,FALSE))</f>
        <v>1</v>
      </c>
      <c r="AI321" s="185" t="b">
        <f t="shared" si="275"/>
        <v>1</v>
      </c>
      <c r="AJ321" s="185"/>
      <c r="AK321" s="185"/>
      <c r="AL321" s="185" t="s">
        <v>195</v>
      </c>
      <c r="AM321" s="185">
        <v>1</v>
      </c>
      <c r="AN321" s="185" t="str">
        <f t="shared" ca="1" si="276"/>
        <v>Android 10</v>
      </c>
      <c r="AO321" s="185">
        <f t="shared" ca="1" si="276"/>
        <v>11.5</v>
      </c>
      <c r="AP321" s="185" t="str">
        <f t="shared" ca="1" si="276"/>
        <v>2560x1600</v>
      </c>
      <c r="AQ321" s="185">
        <f t="shared" ca="1" si="276"/>
        <v>128</v>
      </c>
      <c r="AR321" s="185">
        <f t="shared" ca="1" si="276"/>
        <v>5</v>
      </c>
      <c r="AS321" s="185" t="str">
        <f t="shared" ca="1" si="276"/>
        <v>802.11a/b/g/n/ac</v>
      </c>
      <c r="AT321" s="185">
        <f t="shared" ca="1" si="276"/>
        <v>8</v>
      </c>
      <c r="AU321" s="185" t="str">
        <f t="shared" ca="1" si="276"/>
        <v>Ej miljömärkt</v>
      </c>
      <c r="AV321" s="185" t="str">
        <f t="shared" ca="1" si="276"/>
        <v>802.11a/b/g/n/ac</v>
      </c>
      <c r="AW321" s="185">
        <f t="shared" ca="1" si="276"/>
        <v>5</v>
      </c>
      <c r="AX321" s="185">
        <f t="shared" ca="1" si="277"/>
        <v>8</v>
      </c>
      <c r="AY321" s="185" t="str">
        <f t="shared" ca="1" si="277"/>
        <v>Lenovo Tab P11 Pro</v>
      </c>
      <c r="AZ321" s="185">
        <f t="shared" ca="1" si="277"/>
        <v>0</v>
      </c>
      <c r="BA321" s="185" t="str">
        <f t="shared" ca="1" si="277"/>
        <v>Android 10</v>
      </c>
      <c r="BB321" s="185">
        <f t="shared" ca="1" si="277"/>
        <v>8276</v>
      </c>
      <c r="BC321" s="185">
        <f t="shared" ca="1" si="277"/>
        <v>8276</v>
      </c>
      <c r="BD321" s="192" t="str">
        <f t="shared" ca="1" si="277"/>
        <v>Tolerate</v>
      </c>
      <c r="BE321" s="192" t="str">
        <f t="shared" ca="1" si="277"/>
        <v>Zagg</v>
      </c>
      <c r="BF321" s="192" t="str">
        <f t="shared" ca="1" si="277"/>
        <v>Lenovo</v>
      </c>
      <c r="BG321" s="192" t="str">
        <f t="shared" ca="1" si="277"/>
        <v>Lenovo</v>
      </c>
      <c r="BH321" s="192" t="str">
        <f t="shared" ca="1" si="278"/>
        <v>Lenovo</v>
      </c>
      <c r="BI321" s="192" t="str">
        <f t="shared" ca="1" si="278"/>
        <v>TOLERATE ARMOR FOLIO LENOVO TAB 11 PRO</v>
      </c>
      <c r="BJ321" s="192" t="str">
        <f t="shared" ca="1" si="278"/>
        <v>InvisibleShield Glass Elite+</v>
      </c>
      <c r="BK321" s="192" t="str">
        <f t="shared" ca="1" si="278"/>
        <v xml:space="preserve">Lenovo Smart Charge station </v>
      </c>
      <c r="BL321" s="192" t="str">
        <f t="shared" ca="1" si="278"/>
        <v>Lenovo P11 Pro Keyboard</v>
      </c>
      <c r="BM321" s="192" t="str">
        <f t="shared" ca="1" si="278"/>
        <v>Lenovo Precision Pen 2</v>
      </c>
      <c r="BN321" s="192">
        <f t="shared" ca="1" si="278"/>
        <v>502</v>
      </c>
      <c r="BO321" s="192">
        <f t="shared" ca="1" si="278"/>
        <v>293</v>
      </c>
      <c r="BP321" s="192">
        <f t="shared" ca="1" si="278"/>
        <v>324</v>
      </c>
      <c r="BQ321" s="192">
        <f t="shared" ca="1" si="278"/>
        <v>1138</v>
      </c>
      <c r="BR321" s="192">
        <f t="shared" ca="1" si="278"/>
        <v>718</v>
      </c>
      <c r="BS321" s="192">
        <f t="shared" ca="1" si="278"/>
        <v>1</v>
      </c>
      <c r="BT321" s="192">
        <f t="shared" ca="1" si="278"/>
        <v>85</v>
      </c>
      <c r="BU321" s="192">
        <f t="shared" ca="1" si="278"/>
        <v>100</v>
      </c>
      <c r="BV321" s="192">
        <f t="shared" ca="1" si="278"/>
        <v>0</v>
      </c>
      <c r="BW321" s="192"/>
      <c r="BX321" s="192"/>
      <c r="BY321" s="192" t="str">
        <f t="shared" ca="1" si="279"/>
        <v>Atea Sverige AB</v>
      </c>
      <c r="BZ321" s="192" t="str">
        <f t="shared" ca="1" si="279"/>
        <v>Lenovo</v>
      </c>
      <c r="CA321" s="199"/>
      <c r="CB321" s="185"/>
      <c r="CC321" s="185"/>
      <c r="CD321" s="185"/>
      <c r="CE321" s="185">
        <v>11.5</v>
      </c>
      <c r="CF321" s="185"/>
      <c r="CG321" s="185"/>
      <c r="CH321" s="185"/>
      <c r="CI321" s="185"/>
      <c r="CJ321" s="185"/>
      <c r="CK321" s="192"/>
      <c r="CL321" s="185"/>
      <c r="CM321" s="185"/>
      <c r="CN321" s="185"/>
    </row>
    <row r="322" spans="2:94" ht="29.25" customHeight="1" outlineLevel="1" x14ac:dyDescent="0.35">
      <c r="C322" s="61" t="s">
        <v>39</v>
      </c>
      <c r="D322" s="64"/>
      <c r="F322" s="78" t="str">
        <f t="shared" si="280"/>
        <v/>
      </c>
      <c r="G322" s="79" t="str">
        <f t="shared" ca="1" si="281"/>
        <v>Ej miljömärkt</v>
      </c>
      <c r="H322" s="79" t="str">
        <f t="shared" ca="1" si="281"/>
        <v>Ej miljömärkt</v>
      </c>
      <c r="I322" s="120" t="str">
        <f t="shared" ca="1" si="281"/>
        <v>Ej miljömärkt</v>
      </c>
      <c r="J322" s="62"/>
      <c r="Q322" s="185">
        <f t="shared" si="260"/>
        <v>0</v>
      </c>
      <c r="R322" s="185">
        <f t="shared" si="261"/>
        <v>0</v>
      </c>
      <c r="S322" s="185">
        <f t="shared" si="262"/>
        <v>0</v>
      </c>
      <c r="T322" s="185">
        <f t="shared" si="263"/>
        <v>0</v>
      </c>
      <c r="U322" s="185">
        <f t="shared" si="264"/>
        <v>0</v>
      </c>
      <c r="V322" s="185">
        <f t="shared" si="265"/>
        <v>0</v>
      </c>
      <c r="W322" s="185">
        <f t="shared" si="266"/>
        <v>0</v>
      </c>
      <c r="X322" s="185">
        <f t="shared" si="267"/>
        <v>0</v>
      </c>
      <c r="Y322" s="185">
        <f t="shared" si="268"/>
        <v>0</v>
      </c>
      <c r="Z322" s="196">
        <f t="shared" ca="1" si="269"/>
        <v>3261</v>
      </c>
      <c r="AA322" s="185" t="str">
        <f t="shared" si="270"/>
        <v>Offererad produktnr. 07Dustin Sverige AB</v>
      </c>
      <c r="AB322" s="185" t="b">
        <f>IF(D315="",TRUE,IF(COUNTIF(Processor!$M$2:$M$3,D315)=0,IF(AN322=D315,TRUE,FALSE),IF(COUNTIF(AN322,INDEX(Processor!$N$2:$N$3,MATCH(Surfplattor!D315,Processor!$M$2:$M$3,0)))&gt;0,TRUE,FALSE)))</f>
        <v>1</v>
      </c>
      <c r="AC322" s="185" t="b">
        <f>IF($D$316="",TRUE,IF(COUNTIF(Processor!$I$2:$I$9,$D$316)&gt;0,AND(AO322&gt;INDEX(Processor!$J$2:$J$9,MATCH($D$316,Processor!$I$2:$I$9,0)),AO322&lt;INDEX(Processor!$K$2:$K$9,MATCH($D$316,Processor!$I$2:$I$9,0))),IF(AO322=$D$316,TRUE,FALSE)))</f>
        <v>1</v>
      </c>
      <c r="AD322" s="185" t="b">
        <f t="shared" si="271"/>
        <v>1</v>
      </c>
      <c r="AE322" s="185" t="b">
        <f t="shared" si="272"/>
        <v>1</v>
      </c>
      <c r="AF322" s="185" t="b">
        <f t="shared" si="273"/>
        <v>1</v>
      </c>
      <c r="AG322" s="185" t="b">
        <f t="shared" si="274"/>
        <v>1</v>
      </c>
      <c r="AH322" s="185" t="b">
        <f>IF($D$321="",TRUE,IF(INDEX(Processor!$C$14:$C$20,MATCH(LEFT(AT322,10)&amp;"",Processor!$A$14:$A$20,0))&gt;=INDEX(Processor!$C$14:$C$20,MATCH(LEFT($D$321,10)&amp;"",Processor!$A$14:$A$20,0)),TRUE,FALSE))</f>
        <v>1</v>
      </c>
      <c r="AI322" s="185" t="b">
        <f t="shared" si="275"/>
        <v>1</v>
      </c>
      <c r="AJ322" s="185"/>
      <c r="AK322" s="185"/>
      <c r="AL322" s="185" t="s">
        <v>180</v>
      </c>
      <c r="AM322" s="185">
        <v>1</v>
      </c>
      <c r="AN322" s="185" t="str">
        <f t="shared" ca="1" si="276"/>
        <v>Android 11</v>
      </c>
      <c r="AO322" s="185">
        <f t="shared" ca="1" si="276"/>
        <v>10.4</v>
      </c>
      <c r="AP322" s="185" t="str">
        <f t="shared" ca="1" si="276"/>
        <v>2000x1200</v>
      </c>
      <c r="AQ322" s="185">
        <f t="shared" ca="1" si="276"/>
        <v>64</v>
      </c>
      <c r="AR322" s="185">
        <f t="shared" ca="1" si="276"/>
        <v>5</v>
      </c>
      <c r="AS322" s="185" t="str">
        <f t="shared" ca="1" si="276"/>
        <v>802.11a/b/g/n/ac</v>
      </c>
      <c r="AT322" s="185">
        <f t="shared" ca="1" si="276"/>
        <v>12</v>
      </c>
      <c r="AU322" s="185" t="str">
        <f t="shared" ca="1" si="276"/>
        <v>EPEAT Bronze (Canada)</v>
      </c>
      <c r="AV322" s="185" t="str">
        <f t="shared" ca="1" si="276"/>
        <v>802.11a/b/g/n/ac</v>
      </c>
      <c r="AW322" s="185">
        <f t="shared" ca="1" si="276"/>
        <v>5</v>
      </c>
      <c r="AX322" s="185">
        <f t="shared" ca="1" si="277"/>
        <v>12</v>
      </c>
      <c r="AY322" s="185" t="str">
        <f t="shared" ca="1" si="277"/>
        <v>Galaxy Tab S6 Lite WiFi (64GB)</v>
      </c>
      <c r="AZ322" s="185">
        <f t="shared" ca="1" si="277"/>
        <v>0</v>
      </c>
      <c r="BA322" s="185" t="str">
        <f t="shared" ca="1" si="277"/>
        <v>Android 11</v>
      </c>
      <c r="BB322" s="185">
        <f t="shared" ca="1" si="277"/>
        <v>3261</v>
      </c>
      <c r="BC322" s="185">
        <f t="shared" ca="1" si="277"/>
        <v>3261</v>
      </c>
      <c r="BD322" s="192" t="str">
        <f t="shared" ca="1" si="277"/>
        <v>Samsung</v>
      </c>
      <c r="BE322" s="192" t="str">
        <f t="shared" ca="1" si="277"/>
        <v>Hama</v>
      </c>
      <c r="BF322" s="192" t="str">
        <f t="shared" ca="1" si="277"/>
        <v>Samsung</v>
      </c>
      <c r="BG322" s="192" t="str">
        <f t="shared" ca="1" si="277"/>
        <v>Voxicon</v>
      </c>
      <c r="BH322" s="192" t="str">
        <f t="shared" ca="1" si="278"/>
        <v>Samsung</v>
      </c>
      <c r="BI322" s="192" t="str">
        <f t="shared" ca="1" si="278"/>
        <v>GH96-13408A</v>
      </c>
      <c r="BJ322" s="192" t="str">
        <f t="shared" ca="1" si="278"/>
        <v>KAP12483</v>
      </c>
      <c r="BK322" s="192" t="str">
        <f t="shared" ca="1" si="278"/>
        <v>EP-T1510NBEGEU / EP-TA20EWECGWW</v>
      </c>
      <c r="BL322" s="192" t="str">
        <f t="shared" ca="1" si="278"/>
        <v>DK-199B-G</v>
      </c>
      <c r="BM322" s="192" t="str">
        <f t="shared" ca="1" si="278"/>
        <v>EJ-PP610BJEGEU / EJ-PP610BLEGEU</v>
      </c>
      <c r="BN322" s="192">
        <f t="shared" ca="1" si="278"/>
        <v>518</v>
      </c>
      <c r="BO322" s="192">
        <f t="shared" ca="1" si="278"/>
        <v>219</v>
      </c>
      <c r="BP322" s="192">
        <f t="shared" ca="1" si="278"/>
        <v>111</v>
      </c>
      <c r="BQ322" s="192">
        <f t="shared" ca="1" si="278"/>
        <v>936</v>
      </c>
      <c r="BR322" s="192">
        <f t="shared" ca="1" si="278"/>
        <v>305</v>
      </c>
      <c r="BS322" s="192">
        <f t="shared" ca="1" si="278"/>
        <v>532</v>
      </c>
      <c r="BT322" s="192">
        <f t="shared" ca="1" si="278"/>
        <v>20</v>
      </c>
      <c r="BU322" s="192">
        <f t="shared" ca="1" si="278"/>
        <v>20</v>
      </c>
      <c r="BV322" s="192">
        <f t="shared" ca="1" si="278"/>
        <v>0</v>
      </c>
      <c r="BW322" s="192"/>
      <c r="BX322" s="192"/>
      <c r="BY322" s="192" t="str">
        <f t="shared" ca="1" si="279"/>
        <v>Dustin Sverige AB</v>
      </c>
      <c r="BZ322" s="192" t="str">
        <f t="shared" ca="1" si="279"/>
        <v>Samsung</v>
      </c>
      <c r="CA322" s="199"/>
      <c r="CB322" s="185"/>
      <c r="CC322" s="185"/>
      <c r="CD322" s="185"/>
      <c r="CE322" s="186">
        <v>12.4</v>
      </c>
      <c r="CF322" s="185"/>
      <c r="CG322" s="185"/>
      <c r="CH322" s="185"/>
      <c r="CI322" s="185"/>
      <c r="CJ322" s="185"/>
      <c r="CK322" s="185"/>
      <c r="CL322" s="185"/>
      <c r="CM322" s="185"/>
      <c r="CN322" s="185"/>
    </row>
    <row r="323" spans="2:94" ht="22.5" customHeight="1" outlineLevel="1" x14ac:dyDescent="0.35">
      <c r="C323" s="66"/>
      <c r="D323" s="67"/>
      <c r="G323" s="62"/>
      <c r="H323" s="62"/>
      <c r="I323" s="62"/>
      <c r="J323" s="62"/>
      <c r="Q323" s="185">
        <f t="shared" si="260"/>
        <v>0</v>
      </c>
      <c r="R323" s="185">
        <f t="shared" si="261"/>
        <v>0</v>
      </c>
      <c r="S323" s="185">
        <f t="shared" si="262"/>
        <v>0</v>
      </c>
      <c r="T323" s="185">
        <f t="shared" si="263"/>
        <v>0</v>
      </c>
      <c r="U323" s="185">
        <f t="shared" si="264"/>
        <v>0</v>
      </c>
      <c r="V323" s="185">
        <f t="shared" si="265"/>
        <v>0</v>
      </c>
      <c r="W323" s="185">
        <f t="shared" si="266"/>
        <v>0</v>
      </c>
      <c r="X323" s="185">
        <f t="shared" si="267"/>
        <v>0</v>
      </c>
      <c r="Y323" s="185">
        <f t="shared" si="268"/>
        <v>0</v>
      </c>
      <c r="Z323" s="196">
        <f t="shared" ca="1" si="269"/>
        <v>3751</v>
      </c>
      <c r="AA323" s="185" t="str">
        <f t="shared" si="270"/>
        <v>Offererad produktnr. 08Dustin Sverige AB</v>
      </c>
      <c r="AB323" s="185" t="b">
        <f>IF(D315="",TRUE,IF(COUNTIF(Processor!$M$2:$M$3,D315)=0,IF(AN323=D315,TRUE,FALSE),IF(COUNTIF(AN323,INDEX(Processor!$N$2:$N$3,MATCH(Surfplattor!D315,Processor!$M$2:$M$3,0)))&gt;0,TRUE,FALSE)))</f>
        <v>1</v>
      </c>
      <c r="AC323" s="185" t="b">
        <f>IF($D$316="",TRUE,IF(COUNTIF(Processor!$I$2:$I$9,$D$316)&gt;0,AND(AO323&gt;INDEX(Processor!$J$2:$J$9,MATCH($D$316,Processor!$I$2:$I$9,0)),AO323&lt;INDEX(Processor!$K$2:$K$9,MATCH($D$316,Processor!$I$2:$I$9,0))),IF(AO323=$D$316,TRUE,FALSE)))</f>
        <v>1</v>
      </c>
      <c r="AD323" s="185" t="b">
        <f t="shared" si="271"/>
        <v>1</v>
      </c>
      <c r="AE323" s="185" t="b">
        <f t="shared" si="272"/>
        <v>1</v>
      </c>
      <c r="AF323" s="185" t="b">
        <f t="shared" si="273"/>
        <v>1</v>
      </c>
      <c r="AG323" s="185" t="b">
        <f t="shared" si="274"/>
        <v>1</v>
      </c>
      <c r="AH323" s="185" t="b">
        <f>IF($D$321="",TRUE,IF(INDEX(Processor!$C$14:$C$20,MATCH(LEFT(AT323,10)&amp;"",Processor!$A$14:$A$20,0))&gt;=INDEX(Processor!$C$14:$C$20,MATCH(LEFT($D$321,10)&amp;"",Processor!$A$14:$A$20,0)),TRUE,FALSE))</f>
        <v>1</v>
      </c>
      <c r="AI323" s="185" t="b">
        <f t="shared" si="275"/>
        <v>1</v>
      </c>
      <c r="AJ323" s="185"/>
      <c r="AK323" s="185"/>
      <c r="AL323" s="185" t="s">
        <v>181</v>
      </c>
      <c r="AM323" s="185">
        <v>1</v>
      </c>
      <c r="AN323" s="185" t="str">
        <f t="shared" ca="1" si="276"/>
        <v>iPadOS 14</v>
      </c>
      <c r="AO323" s="185">
        <f t="shared" ca="1" si="276"/>
        <v>10.199999999999999</v>
      </c>
      <c r="AP323" s="185" t="str">
        <f t="shared" ca="1" si="276"/>
        <v>2160x1620</v>
      </c>
      <c r="AQ323" s="185">
        <f t="shared" ca="1" si="276"/>
        <v>64</v>
      </c>
      <c r="AR323" s="185">
        <f t="shared" ca="1" si="276"/>
        <v>4.2</v>
      </c>
      <c r="AS323" s="185" t="str">
        <f t="shared" ca="1" si="276"/>
        <v>802.11a/b/g/n/ac</v>
      </c>
      <c r="AT323" s="185">
        <f t="shared" ca="1" si="276"/>
        <v>10</v>
      </c>
      <c r="AU323" s="185" t="str">
        <f t="shared" ca="1" si="276"/>
        <v>EPEAT Gold</v>
      </c>
      <c r="AV323" s="185" t="str">
        <f t="shared" ca="1" si="276"/>
        <v>802.11a/b/g/n/ac</v>
      </c>
      <c r="AW323" s="185">
        <f t="shared" ca="1" si="276"/>
        <v>4.2</v>
      </c>
      <c r="AX323" s="185">
        <f t="shared" ca="1" si="277"/>
        <v>10</v>
      </c>
      <c r="AY323" s="185" t="str">
        <f t="shared" ca="1" si="277"/>
        <v>iPad 9th gen</v>
      </c>
      <c r="AZ323" s="185">
        <f t="shared" ca="1" si="277"/>
        <v>0</v>
      </c>
      <c r="BA323" s="185" t="str">
        <f t="shared" ca="1" si="277"/>
        <v>iPadOS 14</v>
      </c>
      <c r="BB323" s="185">
        <f t="shared" ca="1" si="277"/>
        <v>3751</v>
      </c>
      <c r="BC323" s="185">
        <f t="shared" ca="1" si="277"/>
        <v>3751</v>
      </c>
      <c r="BD323" s="192" t="str">
        <f t="shared" ca="1" si="277"/>
        <v>Cirafon</v>
      </c>
      <c r="BE323" s="192" t="str">
        <f t="shared" ca="1" si="277"/>
        <v>Cirafon</v>
      </c>
      <c r="BF323" s="192" t="str">
        <f t="shared" ca="1" si="277"/>
        <v>Cirafon</v>
      </c>
      <c r="BG323" s="192" t="str">
        <f t="shared" ca="1" si="277"/>
        <v>Voxicon</v>
      </c>
      <c r="BH323" s="192" t="str">
        <f t="shared" ca="1" si="278"/>
        <v>Zagg</v>
      </c>
      <c r="BI323" s="192" t="str">
        <f t="shared" ca="1" si="278"/>
        <v>APD9-HBSFO-BLCK</v>
      </c>
      <c r="BJ323" s="192" t="str">
        <f t="shared" ca="1" si="278"/>
        <v>CG-TG-APL-IDP102</v>
      </c>
      <c r="BK323" s="192" t="str">
        <f t="shared" ca="1" si="278"/>
        <v>PD20E-1TGA-W/DMA-038#KIT</v>
      </c>
      <c r="BL323" s="192" t="str">
        <f t="shared" ca="1" si="278"/>
        <v>DK-400B-WHT</v>
      </c>
      <c r="BM323" s="192">
        <f t="shared" ca="1" si="278"/>
        <v>109907068</v>
      </c>
      <c r="BN323" s="192">
        <f t="shared" ca="1" si="278"/>
        <v>347</v>
      </c>
      <c r="BO323" s="192">
        <f t="shared" ca="1" si="278"/>
        <v>234</v>
      </c>
      <c r="BP323" s="192">
        <f t="shared" ca="1" si="278"/>
        <v>309</v>
      </c>
      <c r="BQ323" s="192">
        <f t="shared" ca="1" si="278"/>
        <v>407</v>
      </c>
      <c r="BR323" s="192">
        <f t="shared" ca="1" si="278"/>
        <v>373</v>
      </c>
      <c r="BS323" s="192">
        <f t="shared" ca="1" si="278"/>
        <v>532</v>
      </c>
      <c r="BT323" s="192">
        <f t="shared" ca="1" si="278"/>
        <v>20</v>
      </c>
      <c r="BU323" s="192">
        <f t="shared" ca="1" si="278"/>
        <v>20</v>
      </c>
      <c r="BV323" s="192">
        <f t="shared" ca="1" si="278"/>
        <v>0</v>
      </c>
      <c r="BW323" s="192"/>
      <c r="BX323" s="192"/>
      <c r="BY323" s="192" t="str">
        <f t="shared" ca="1" si="279"/>
        <v>Dustin Sverige AB</v>
      </c>
      <c r="BZ323" s="192" t="str">
        <f t="shared" ca="1" si="279"/>
        <v>Apple</v>
      </c>
      <c r="CA323" s="199"/>
      <c r="CB323" s="185"/>
      <c r="CC323" s="185"/>
      <c r="CD323" s="185"/>
      <c r="CE323" s="185"/>
      <c r="CF323" s="185"/>
      <c r="CG323" s="185"/>
      <c r="CH323" s="185"/>
      <c r="CI323" s="185"/>
      <c r="CJ323" s="185"/>
      <c r="CK323" s="185"/>
      <c r="CL323" s="185"/>
      <c r="CM323" s="185"/>
      <c r="CN323" s="185"/>
    </row>
    <row r="324" spans="2:94" ht="22.5" customHeight="1" outlineLevel="1" x14ac:dyDescent="0.35">
      <c r="C324" s="212" t="s">
        <v>366</v>
      </c>
      <c r="D324" s="213"/>
      <c r="E324" s="213"/>
      <c r="F324" s="213"/>
      <c r="G324" s="213"/>
      <c r="H324" s="213"/>
      <c r="I324" s="214"/>
      <c r="J324" s="94"/>
      <c r="Q324" s="185">
        <f t="shared" si="260"/>
        <v>0</v>
      </c>
      <c r="R324" s="185">
        <f t="shared" si="261"/>
        <v>0</v>
      </c>
      <c r="S324" s="185">
        <f t="shared" si="262"/>
        <v>0</v>
      </c>
      <c r="T324" s="185">
        <f t="shared" si="263"/>
        <v>0</v>
      </c>
      <c r="U324" s="185">
        <f t="shared" si="264"/>
        <v>0</v>
      </c>
      <c r="V324" s="185">
        <f t="shared" si="265"/>
        <v>0</v>
      </c>
      <c r="W324" s="185">
        <f t="shared" si="266"/>
        <v>0</v>
      </c>
      <c r="X324" s="185">
        <f t="shared" si="267"/>
        <v>0</v>
      </c>
      <c r="Y324" s="185">
        <f t="shared" si="268"/>
        <v>0</v>
      </c>
      <c r="Z324" s="196">
        <f t="shared" ca="1" si="269"/>
        <v>5710</v>
      </c>
      <c r="AA324" s="185" t="str">
        <f t="shared" si="270"/>
        <v>Offererad produktnr. 09Dustin Sverige AB</v>
      </c>
      <c r="AB324" s="185" t="b">
        <f>IF(D315="",TRUE,IF(COUNTIF(Processor!$M$2:$M$3,D315)=0,IF(AN324=D315,TRUE,FALSE),IF(COUNTIF(AN324,INDEX(Processor!$N$2:$N$3,MATCH(Surfplattor!D315,Processor!$M$2:$M$3,0)))&gt;0,TRUE,FALSE)))</f>
        <v>1</v>
      </c>
      <c r="AC324" s="185" t="b">
        <f>IF($D$316="",TRUE,IF(COUNTIF(Processor!$I$2:$I$9,$D$316)&gt;0,AND(AO324&gt;INDEX(Processor!$J$2:$J$9,MATCH($D$316,Processor!$I$2:$I$9,0)),AO324&lt;INDEX(Processor!$K$2:$K$9,MATCH($D$316,Processor!$I$2:$I$9,0))),IF(AO324=$D$316,TRUE,FALSE)))</f>
        <v>1</v>
      </c>
      <c r="AD324" s="185" t="b">
        <f t="shared" si="271"/>
        <v>1</v>
      </c>
      <c r="AE324" s="185" t="b">
        <f t="shared" si="272"/>
        <v>1</v>
      </c>
      <c r="AF324" s="185" t="b">
        <f t="shared" si="273"/>
        <v>1</v>
      </c>
      <c r="AG324" s="185" t="b">
        <f t="shared" si="274"/>
        <v>1</v>
      </c>
      <c r="AH324" s="185" t="b">
        <f>IF($D$321="",TRUE,IF(INDEX(Processor!$C$14:$C$20,MATCH(LEFT(AT324,10)&amp;"",Processor!$A$14:$A$20,0))&gt;=INDEX(Processor!$C$14:$C$20,MATCH(LEFT($D$321,10)&amp;"",Processor!$A$14:$A$20,0)),TRUE,FALSE))</f>
        <v>1</v>
      </c>
      <c r="AI324" s="185" t="b">
        <f t="shared" si="275"/>
        <v>1</v>
      </c>
      <c r="AJ324" s="185"/>
      <c r="AK324" s="185"/>
      <c r="AL324" s="185" t="s">
        <v>182</v>
      </c>
      <c r="AM324" s="185">
        <v>1</v>
      </c>
      <c r="AN324" s="185" t="str">
        <f t="shared" ref="AN324:AW333" ca="1" si="282">IFERROR(INDEX(INDIRECT(AN$309&amp;"!$A$10:CC100000"),MATCH($AL324,INDIRECT(AN$309&amp;"!BH$10:BH100000"),0),MATCH(AN$311,INDIRECT(AN$309&amp;"!a10:CC10"),0)),"False")</f>
        <v>Android 13</v>
      </c>
      <c r="AO324" s="185">
        <f t="shared" ca="1" si="282"/>
        <v>11</v>
      </c>
      <c r="AP324" s="185" t="str">
        <f t="shared" ca="1" si="282"/>
        <v>2560x1600</v>
      </c>
      <c r="AQ324" s="185">
        <f t="shared" ca="1" si="282"/>
        <v>128</v>
      </c>
      <c r="AR324" s="185">
        <f t="shared" ca="1" si="282"/>
        <v>5.3</v>
      </c>
      <c r="AS324" s="185" t="str">
        <f t="shared" ca="1" si="282"/>
        <v>802.11a/b/g/n/ac/ax</v>
      </c>
      <c r="AT324" s="185">
        <f t="shared" ca="1" si="282"/>
        <v>13</v>
      </c>
      <c r="AU324" s="185" t="str">
        <f t="shared" ca="1" si="282"/>
        <v>EPEAT Bronze (Canada)</v>
      </c>
      <c r="AV324" s="185" t="str">
        <f t="shared" ca="1" si="282"/>
        <v>802.11a/b/g/n/ac/ax</v>
      </c>
      <c r="AW324" s="185">
        <f t="shared" ca="1" si="282"/>
        <v>5.3</v>
      </c>
      <c r="AX324" s="185">
        <f t="shared" ref="AX324:BG333" ca="1" si="283">IFERROR(INDEX(INDIRECT(AX$309&amp;"!$A$10:CC100000"),MATCH($AL324,INDIRECT(AX$309&amp;"!BH$10:BH100000"),0),MATCH(AX$311,INDIRECT(AX$309&amp;"!a10:CC10"),0)),"False")</f>
        <v>13</v>
      </c>
      <c r="AY324" s="185" t="str">
        <f t="shared" ca="1" si="283"/>
        <v>Galaxy Tab S9</v>
      </c>
      <c r="AZ324" s="185">
        <f t="shared" ca="1" si="283"/>
        <v>0</v>
      </c>
      <c r="BA324" s="185" t="str">
        <f t="shared" ca="1" si="283"/>
        <v>Android 13</v>
      </c>
      <c r="BB324" s="185">
        <f t="shared" ca="1" si="283"/>
        <v>5710</v>
      </c>
      <c r="BC324" s="185">
        <f t="shared" ca="1" si="283"/>
        <v>5710</v>
      </c>
      <c r="BD324" s="192" t="str">
        <f t="shared" ca="1" si="283"/>
        <v>UAG METROPOLIS SE</v>
      </c>
      <c r="BE324" s="192" t="str">
        <f t="shared" ca="1" si="283"/>
        <v>Panzerglass</v>
      </c>
      <c r="BF324" s="192" t="str">
        <f t="shared" ca="1" si="283"/>
        <v xml:space="preserve">Samsung </v>
      </c>
      <c r="BG324" s="192" t="str">
        <f t="shared" ca="1" si="283"/>
        <v>Voxicon</v>
      </c>
      <c r="BH324" s="192" t="str">
        <f t="shared" ref="BH324:BV333" ca="1" si="284">IFERROR(INDEX(INDIRECT(BH$309&amp;"!$A$10:CC100000"),MATCH($AL324,INDIRECT(BH$309&amp;"!BH$10:BH100000"),0),MATCH(BH$311,INDIRECT(BH$309&amp;"!a10:CC10"),0)),"False")</f>
        <v>INGÅR</v>
      </c>
      <c r="BI324" s="192">
        <f t="shared" ca="1" si="284"/>
        <v>224339114040</v>
      </c>
      <c r="BJ324" s="192">
        <f t="shared" ca="1" si="284"/>
        <v>7332</v>
      </c>
      <c r="BK324" s="192" t="str">
        <f t="shared" ca="1" si="284"/>
        <v>EP-T1510NBEGEU / EP-TA20EWECGWW</v>
      </c>
      <c r="BL324" s="192" t="str">
        <f t="shared" ca="1" si="284"/>
        <v>DK-199B-G</v>
      </c>
      <c r="BM324" s="192">
        <f t="shared" ca="1" si="284"/>
        <v>0</v>
      </c>
      <c r="BN324" s="192">
        <f t="shared" ca="1" si="284"/>
        <v>419</v>
      </c>
      <c r="BO324" s="192">
        <f t="shared" ca="1" si="284"/>
        <v>269</v>
      </c>
      <c r="BP324" s="192">
        <f t="shared" ca="1" si="284"/>
        <v>111</v>
      </c>
      <c r="BQ324" s="192">
        <f t="shared" ca="1" si="284"/>
        <v>866</v>
      </c>
      <c r="BR324" s="192">
        <f t="shared" ca="1" si="284"/>
        <v>0</v>
      </c>
      <c r="BS324" s="192">
        <f t="shared" ca="1" si="284"/>
        <v>532</v>
      </c>
      <c r="BT324" s="192">
        <f t="shared" ca="1" si="284"/>
        <v>20</v>
      </c>
      <c r="BU324" s="192">
        <f t="shared" ca="1" si="284"/>
        <v>20</v>
      </c>
      <c r="BV324" s="192">
        <f t="shared" ca="1" si="284"/>
        <v>0</v>
      </c>
      <c r="BW324" s="192"/>
      <c r="BX324" s="192"/>
      <c r="BY324" s="192" t="str">
        <f t="shared" ca="1" si="279"/>
        <v>Dustin Sverige AB</v>
      </c>
      <c r="BZ324" s="192" t="str">
        <f t="shared" ca="1" si="279"/>
        <v>Samsung</v>
      </c>
      <c r="CE324" s="101"/>
    </row>
    <row r="325" spans="2:94" ht="30" customHeight="1" outlineLevel="1" x14ac:dyDescent="0.35">
      <c r="B325" s="69" t="s">
        <v>53</v>
      </c>
      <c r="C325" s="115" t="s">
        <v>372</v>
      </c>
      <c r="D325" s="70"/>
      <c r="F325" s="161" t="str">
        <f t="shared" ref="F325:F339" si="285">IF(F$312="Inget antal angivet","",IFERROR(INDEX($AN$313:$BZ$339,MATCH(F$309,$AL$313:$AL$339,0),MATCH($B325,$AN$313:$BZ$313,0)),""))</f>
        <v/>
      </c>
      <c r="G325" s="162">
        <f t="shared" ref="G325:I339" ca="1" si="286">IFERROR(INDEX($AN$313:$BZ$339,MATCH(G$309,$AL$313:$AL$339,0),MATCH($B325,$AN$313:$BZ$313,0)),"")</f>
        <v>325</v>
      </c>
      <c r="H325" s="162">
        <f t="shared" ca="1" si="286"/>
        <v>251</v>
      </c>
      <c r="I325" s="162">
        <f t="shared" ca="1" si="286"/>
        <v>460</v>
      </c>
      <c r="J325" s="62"/>
      <c r="Q325" s="185">
        <f t="shared" si="260"/>
        <v>0</v>
      </c>
      <c r="R325" s="185">
        <f t="shared" si="261"/>
        <v>0</v>
      </c>
      <c r="S325" s="185">
        <f t="shared" si="262"/>
        <v>0</v>
      </c>
      <c r="T325" s="185">
        <f t="shared" si="263"/>
        <v>0</v>
      </c>
      <c r="U325" s="185">
        <f t="shared" si="264"/>
        <v>0</v>
      </c>
      <c r="V325" s="185">
        <f t="shared" si="265"/>
        <v>0</v>
      </c>
      <c r="W325" s="185">
        <f t="shared" si="266"/>
        <v>0</v>
      </c>
      <c r="X325" s="185">
        <f t="shared" si="267"/>
        <v>0</v>
      </c>
      <c r="Y325" s="185">
        <f t="shared" si="268"/>
        <v>0</v>
      </c>
      <c r="Z325" s="196">
        <f t="shared" ca="1" si="269"/>
        <v>10190</v>
      </c>
      <c r="AA325" s="185" t="str">
        <f t="shared" si="270"/>
        <v>Offererad produktnr. 10Dustin Sverige AB</v>
      </c>
      <c r="AB325" s="185" t="b">
        <f>IF(D315="",TRUE,IF(COUNTIF(Processor!$M$2:$M$3,D315)=0,IF(AN325=D315,TRUE,FALSE),IF(COUNTIF(AN325,INDEX(Processor!$N$2:$N$3,MATCH(Surfplattor!D315,Processor!$M$2:$M$3,0)))&gt;0,TRUE,FALSE)))</f>
        <v>1</v>
      </c>
      <c r="AC325" s="185" t="b">
        <f>IF($D$316="",TRUE,IF(COUNTIF(Processor!$I$2:$I$9,$D$316)&gt;0,AND(AO325&gt;INDEX(Processor!$J$2:$J$9,MATCH($D$316,Processor!$I$2:$I$9,0)),AO325&lt;INDEX(Processor!$K$2:$K$9,MATCH($D$316,Processor!$I$2:$I$9,0))),IF(AO325=$D$316,TRUE,FALSE)))</f>
        <v>1</v>
      </c>
      <c r="AD325" s="185" t="b">
        <f t="shared" si="271"/>
        <v>1</v>
      </c>
      <c r="AE325" s="185" t="b">
        <f t="shared" si="272"/>
        <v>1</v>
      </c>
      <c r="AF325" s="185" t="b">
        <f t="shared" si="273"/>
        <v>1</v>
      </c>
      <c r="AG325" s="185" t="b">
        <f t="shared" si="274"/>
        <v>1</v>
      </c>
      <c r="AH325" s="185" t="b">
        <f>IF($D$321="",TRUE,IF(INDEX(Processor!$C$14:$C$20,MATCH(LEFT(AT325,10)&amp;"",Processor!$A$14:$A$20,0))&gt;=INDEX(Processor!$C$14:$C$20,MATCH(LEFT($D$321,10)&amp;"",Processor!$A$14:$A$20,0)),TRUE,FALSE))</f>
        <v>1</v>
      </c>
      <c r="AI325" s="185" t="b">
        <f t="shared" si="275"/>
        <v>1</v>
      </c>
      <c r="AJ325" s="185"/>
      <c r="AK325" s="185"/>
      <c r="AL325" s="185" t="s">
        <v>183</v>
      </c>
      <c r="AM325" s="185">
        <v>1</v>
      </c>
      <c r="AN325" s="185" t="str">
        <f t="shared" ca="1" si="282"/>
        <v>Android 13</v>
      </c>
      <c r="AO325" s="185">
        <f t="shared" ca="1" si="282"/>
        <v>12.4</v>
      </c>
      <c r="AP325" s="185" t="str">
        <f t="shared" ca="1" si="282"/>
        <v>2800x1752</v>
      </c>
      <c r="AQ325" s="185">
        <f t="shared" ca="1" si="282"/>
        <v>256</v>
      </c>
      <c r="AR325" s="185">
        <f t="shared" ca="1" si="282"/>
        <v>5.3</v>
      </c>
      <c r="AS325" s="185" t="str">
        <f t="shared" ca="1" si="282"/>
        <v>802.11a/b/g/n/ac/ax</v>
      </c>
      <c r="AT325" s="185">
        <f t="shared" ca="1" si="282"/>
        <v>13</v>
      </c>
      <c r="AU325" s="185" t="str">
        <f t="shared" ca="1" si="282"/>
        <v>EPEAT Bronze (Canada)</v>
      </c>
      <c r="AV325" s="185" t="str">
        <f t="shared" ca="1" si="282"/>
        <v>802.11a/b/g/n/ac/ax</v>
      </c>
      <c r="AW325" s="185">
        <f t="shared" ca="1" si="282"/>
        <v>5.3</v>
      </c>
      <c r="AX325" s="185">
        <f t="shared" ca="1" si="283"/>
        <v>13</v>
      </c>
      <c r="AY325" s="185" t="str">
        <f t="shared" ca="1" si="283"/>
        <v>Galaxy Tab S9+</v>
      </c>
      <c r="AZ325" s="185">
        <f t="shared" ca="1" si="283"/>
        <v>0</v>
      </c>
      <c r="BA325" s="185" t="str">
        <f t="shared" ca="1" si="283"/>
        <v>Android 13</v>
      </c>
      <c r="BB325" s="185">
        <f t="shared" ca="1" si="283"/>
        <v>10190</v>
      </c>
      <c r="BC325" s="185">
        <f t="shared" ca="1" si="283"/>
        <v>10190</v>
      </c>
      <c r="BD325" s="192" t="str">
        <f t="shared" ca="1" si="283"/>
        <v>Targus</v>
      </c>
      <c r="BE325" s="192" t="str">
        <f t="shared" ca="1" si="283"/>
        <v>Panzerglass</v>
      </c>
      <c r="BF325" s="192" t="str">
        <f t="shared" ca="1" si="283"/>
        <v>Samsung</v>
      </c>
      <c r="BG325" s="192" t="str">
        <f t="shared" ca="1" si="283"/>
        <v>Voxicon</v>
      </c>
      <c r="BH325" s="192" t="str">
        <f t="shared" ca="1" si="284"/>
        <v>INGÅR</v>
      </c>
      <c r="BI325" s="192" t="str">
        <f t="shared" ca="1" si="284"/>
        <v>THZ904GL </v>
      </c>
      <c r="BJ325" s="192">
        <f t="shared" ca="1" si="284"/>
        <v>7242</v>
      </c>
      <c r="BK325" s="192" t="str">
        <f t="shared" ca="1" si="284"/>
        <v>EP-T1510NBEGEU / EP-TA20EWECGWW</v>
      </c>
      <c r="BL325" s="192" t="str">
        <f t="shared" ca="1" si="284"/>
        <v>DK-199B-G</v>
      </c>
      <c r="BM325" s="192">
        <f t="shared" ca="1" si="284"/>
        <v>0</v>
      </c>
      <c r="BN325" s="192">
        <f t="shared" ca="1" si="284"/>
        <v>279</v>
      </c>
      <c r="BO325" s="192">
        <f t="shared" ca="1" si="284"/>
        <v>206</v>
      </c>
      <c r="BP325" s="192">
        <f t="shared" ca="1" si="284"/>
        <v>111</v>
      </c>
      <c r="BQ325" s="192">
        <f t="shared" ca="1" si="284"/>
        <v>979</v>
      </c>
      <c r="BR325" s="192">
        <f t="shared" ca="1" si="284"/>
        <v>0</v>
      </c>
      <c r="BS325" s="192">
        <f t="shared" ca="1" si="284"/>
        <v>532</v>
      </c>
      <c r="BT325" s="192">
        <f t="shared" ca="1" si="284"/>
        <v>20</v>
      </c>
      <c r="BU325" s="192">
        <f t="shared" ca="1" si="284"/>
        <v>20</v>
      </c>
      <c r="BV325" s="192">
        <f t="shared" ca="1" si="284"/>
        <v>0</v>
      </c>
      <c r="BW325" s="192"/>
      <c r="BX325" s="192"/>
      <c r="BY325" s="192" t="str">
        <f t="shared" ca="1" si="279"/>
        <v>Dustin Sverige AB</v>
      </c>
      <c r="BZ325" s="192" t="str">
        <f t="shared" ca="1" si="279"/>
        <v>Samsung</v>
      </c>
      <c r="CE325" s="101"/>
    </row>
    <row r="326" spans="2:94" ht="30" customHeight="1" outlineLevel="1" x14ac:dyDescent="0.35">
      <c r="B326" s="69" t="s">
        <v>340</v>
      </c>
      <c r="C326" s="96" t="s">
        <v>51</v>
      </c>
      <c r="D326" s="131" t="str">
        <f>IF("Ska Ingå"=D325,"Ska Ingå","")</f>
        <v/>
      </c>
      <c r="F326" s="84" t="str">
        <f t="shared" si="285"/>
        <v/>
      </c>
      <c r="G326" s="85" t="str">
        <f t="shared" ca="1" si="286"/>
        <v>Phonelife</v>
      </c>
      <c r="H326" s="85" t="str">
        <f t="shared" ca="1" si="286"/>
        <v>eSTUFF</v>
      </c>
      <c r="I326" s="85" t="str">
        <f t="shared" ca="1" si="286"/>
        <v>Otterbox Defender Series</v>
      </c>
      <c r="J326" s="62"/>
      <c r="Q326" s="185">
        <f t="shared" si="260"/>
        <v>0</v>
      </c>
      <c r="R326" s="185">
        <f t="shared" si="261"/>
        <v>0</v>
      </c>
      <c r="S326" s="185">
        <f t="shared" si="262"/>
        <v>0</v>
      </c>
      <c r="T326" s="185">
        <f t="shared" si="263"/>
        <v>0</v>
      </c>
      <c r="U326" s="185">
        <f t="shared" si="264"/>
        <v>0</v>
      </c>
      <c r="V326" s="185">
        <f t="shared" si="265"/>
        <v>0</v>
      </c>
      <c r="W326" s="185">
        <f t="shared" si="266"/>
        <v>0</v>
      </c>
      <c r="X326" s="185">
        <f t="shared" si="267"/>
        <v>0</v>
      </c>
      <c r="Y326" s="185">
        <f t="shared" si="268"/>
        <v>0</v>
      </c>
      <c r="Z326" s="196">
        <f t="shared" ca="1" si="269"/>
        <v>4068</v>
      </c>
      <c r="AA326" s="185" t="str">
        <f t="shared" si="270"/>
        <v>Offererad produktnr. 07Foxway Education AB</v>
      </c>
      <c r="AB326" s="185" t="b">
        <f>IF(D315="",TRUE,IF(COUNTIF(Processor!$M$2:$M$3,D315)=0,IF(AN326=D315,TRUE,FALSE),IF(COUNTIF(AN326,INDEX(Processor!$N$2:$N$3,MATCH(Surfplattor!D315,Processor!$M$2:$M$3,0)))&gt;0,TRUE,FALSE)))</f>
        <v>1</v>
      </c>
      <c r="AC326" s="185" t="b">
        <f>IF($D$316="",TRUE,IF(COUNTIF(Processor!$I$2:$I$9,$D$316)&gt;0,AND(AO326&gt;INDEX(Processor!$J$2:$J$9,MATCH($D$316,Processor!$I$2:$I$9,0)),AO326&lt;INDEX(Processor!$K$2:$K$9,MATCH($D$316,Processor!$I$2:$I$9,0))),IF(AO326=$D$316,TRUE,FALSE)))</f>
        <v>1</v>
      </c>
      <c r="AD326" s="185" t="b">
        <f t="shared" si="271"/>
        <v>1</v>
      </c>
      <c r="AE326" s="185" t="b">
        <f t="shared" si="272"/>
        <v>1</v>
      </c>
      <c r="AF326" s="185" t="b">
        <f t="shared" si="273"/>
        <v>1</v>
      </c>
      <c r="AG326" s="185" t="b">
        <f t="shared" si="274"/>
        <v>1</v>
      </c>
      <c r="AH326" s="185" t="b">
        <f>IF($D$321="",TRUE,IF(INDEX(Processor!$C$14:$C$20,MATCH(LEFT(AT326,10)&amp;"",Processor!$A$14:$A$20,0))&gt;=INDEX(Processor!$C$14:$C$20,MATCH(LEFT($D$321,10)&amp;"",Processor!$A$14:$A$20,0)),TRUE,FALSE))</f>
        <v>1</v>
      </c>
      <c r="AI326" s="185" t="b">
        <f t="shared" si="275"/>
        <v>1</v>
      </c>
      <c r="AJ326" s="185"/>
      <c r="AK326" s="185"/>
      <c r="AL326" s="185" t="s">
        <v>216</v>
      </c>
      <c r="AM326" s="185">
        <v>1</v>
      </c>
      <c r="AN326" s="185" t="str">
        <f t="shared" ca="1" si="282"/>
        <v>iPadOS 15</v>
      </c>
      <c r="AO326" s="185">
        <f t="shared" ca="1" si="282"/>
        <v>10.199999999999999</v>
      </c>
      <c r="AP326" s="185" t="str">
        <f t="shared" ca="1" si="282"/>
        <v>2160x1620</v>
      </c>
      <c r="AQ326" s="185">
        <f t="shared" ca="1" si="282"/>
        <v>64</v>
      </c>
      <c r="AR326" s="185">
        <f t="shared" ca="1" si="282"/>
        <v>4.2</v>
      </c>
      <c r="AS326" s="185" t="str">
        <f t="shared" ca="1" si="282"/>
        <v>802.11a/b/g/n/ac</v>
      </c>
      <c r="AT326" s="185">
        <f t="shared" ca="1" si="282"/>
        <v>10</v>
      </c>
      <c r="AU326" s="185" t="str">
        <f t="shared" ca="1" si="282"/>
        <v>EPEAT Gold</v>
      </c>
      <c r="AV326" s="185" t="str">
        <f t="shared" ca="1" si="282"/>
        <v>802.11a/b/g/n/ac</v>
      </c>
      <c r="AW326" s="185">
        <f t="shared" ca="1" si="282"/>
        <v>4.2</v>
      </c>
      <c r="AX326" s="185">
        <f t="shared" ca="1" si="283"/>
        <v>10</v>
      </c>
      <c r="AY326" s="185" t="str">
        <f t="shared" ca="1" si="283"/>
        <v>10.2-inch (9th-gen) iPad Wi-Fi 64GB</v>
      </c>
      <c r="AZ326" s="185">
        <f t="shared" ca="1" si="283"/>
        <v>0</v>
      </c>
      <c r="BA326" s="185" t="str">
        <f t="shared" ca="1" si="283"/>
        <v>iPadOS 15</v>
      </c>
      <c r="BB326" s="185">
        <f t="shared" ca="1" si="283"/>
        <v>4068</v>
      </c>
      <c r="BC326" s="185">
        <f t="shared" ca="1" si="283"/>
        <v>4068</v>
      </c>
      <c r="BD326" s="192" t="str">
        <f t="shared" ca="1" si="283"/>
        <v>Targus</v>
      </c>
      <c r="BE326" s="192" t="str">
        <f t="shared" ca="1" si="283"/>
        <v>Screenor</v>
      </c>
      <c r="BF326" s="192" t="str">
        <f t="shared" ca="1" si="283"/>
        <v>Apple</v>
      </c>
      <c r="BG326" s="192" t="str">
        <f t="shared" ca="1" si="283"/>
        <v>Deltaco</v>
      </c>
      <c r="BH326" s="192" t="str">
        <f t="shared" ca="1" si="284"/>
        <v>Apple</v>
      </c>
      <c r="BI326" s="192" t="str">
        <f t="shared" ca="1" si="284"/>
        <v>Targus SafePORT Rugged</v>
      </c>
      <c r="BJ326" s="192" t="str">
        <f t="shared" ca="1" si="284"/>
        <v>SCREENOR TEMPERED IPAD 10.2</v>
      </c>
      <c r="BK326" s="192" t="str">
        <f t="shared" ca="1" si="284"/>
        <v>Laddkit iPad</v>
      </c>
      <c r="BL326" s="192" t="str">
        <f t="shared" ca="1" si="284"/>
        <v>DELTACO trådlöst minitangentbord, 78 tangenter, Bluetooth, nordisk layout, dämpade tangenter, svart</v>
      </c>
      <c r="BM326" s="192" t="str">
        <f t="shared" ca="1" si="284"/>
        <v>Apple Pencil</v>
      </c>
      <c r="BN326" s="192">
        <f t="shared" ca="1" si="284"/>
        <v>210</v>
      </c>
      <c r="BO326" s="192">
        <f t="shared" ca="1" si="284"/>
        <v>240</v>
      </c>
      <c r="BP326" s="192">
        <f t="shared" ca="1" si="284"/>
        <v>372</v>
      </c>
      <c r="BQ326" s="192">
        <f t="shared" ca="1" si="284"/>
        <v>156</v>
      </c>
      <c r="BR326" s="192">
        <f t="shared" ca="1" si="284"/>
        <v>1080</v>
      </c>
      <c r="BS326" s="192">
        <f t="shared" ca="1" si="284"/>
        <v>480</v>
      </c>
      <c r="BT326" s="192">
        <f t="shared" ca="1" si="284"/>
        <v>60</v>
      </c>
      <c r="BU326" s="192">
        <f t="shared" ca="1" si="284"/>
        <v>50</v>
      </c>
      <c r="BV326" s="192">
        <f t="shared" ca="1" si="284"/>
        <v>0</v>
      </c>
      <c r="BW326" s="192"/>
      <c r="BX326" s="192"/>
      <c r="BY326" s="192" t="str">
        <f t="shared" ca="1" si="279"/>
        <v>Foxway Education AB</v>
      </c>
      <c r="BZ326" s="192" t="str">
        <f t="shared" ca="1" si="279"/>
        <v>Apple</v>
      </c>
      <c r="CB326" s="63"/>
      <c r="CC326" s="63"/>
      <c r="CD326" s="63"/>
      <c r="CE326" s="102"/>
      <c r="CF326" s="63"/>
      <c r="CG326" s="63"/>
      <c r="CH326" s="63"/>
      <c r="CI326" s="63"/>
      <c r="CJ326" s="63"/>
      <c r="CK326" s="63"/>
      <c r="CL326" s="63"/>
      <c r="CM326" s="63"/>
      <c r="CN326" s="63"/>
      <c r="CO326" s="63"/>
      <c r="CP326" s="63"/>
    </row>
    <row r="327" spans="2:94" ht="67.5" customHeight="1" outlineLevel="1" x14ac:dyDescent="0.35">
      <c r="B327" s="69" t="s">
        <v>345</v>
      </c>
      <c r="C327" s="97" t="s">
        <v>52</v>
      </c>
      <c r="D327" s="132" t="str">
        <f>IF("Ska Ingå"=D325,"Ska Ingå","")</f>
        <v/>
      </c>
      <c r="F327" s="86" t="str">
        <f t="shared" si="285"/>
        <v/>
      </c>
      <c r="G327" s="87" t="str">
        <f t="shared" ca="1" si="286"/>
        <v>GBXRUGGEDLENTAB-V1</v>
      </c>
      <c r="H327" s="87" t="str">
        <f t="shared" ca="1" si="286"/>
        <v>ES685307-BULK - Vikbart fodral för surfplatta - polyuretan, polykarbonat, konstläder, mikrofiber - svart - för Lenovo Tab M10 (3rd Gen)</v>
      </c>
      <c r="I327" s="87" t="str">
        <f t="shared" ca="1" si="286"/>
        <v>GBX77-62032</v>
      </c>
      <c r="J327" s="62"/>
      <c r="Q327" s="185">
        <f t="shared" si="260"/>
        <v>0</v>
      </c>
      <c r="R327" s="185">
        <f t="shared" si="261"/>
        <v>0</v>
      </c>
      <c r="S327" s="185">
        <f t="shared" si="262"/>
        <v>0</v>
      </c>
      <c r="T327" s="185">
        <f t="shared" si="263"/>
        <v>0</v>
      </c>
      <c r="U327" s="185">
        <f t="shared" si="264"/>
        <v>0</v>
      </c>
      <c r="V327" s="185">
        <f t="shared" si="265"/>
        <v>0</v>
      </c>
      <c r="W327" s="185">
        <f t="shared" si="266"/>
        <v>0</v>
      </c>
      <c r="X327" s="185">
        <f t="shared" si="267"/>
        <v>0</v>
      </c>
      <c r="Y327" s="185">
        <f t="shared" si="268"/>
        <v>0</v>
      </c>
      <c r="Z327" s="196">
        <f t="shared" ca="1" si="269"/>
        <v>3894</v>
      </c>
      <c r="AA327" s="185" t="str">
        <f t="shared" si="270"/>
        <v>Offererad produktnr. 08Foxway Education AB</v>
      </c>
      <c r="AB327" s="185" t="b">
        <f>IF(D315="",TRUE,IF(COUNTIF(Processor!$M$2:$M$3,D315)=0,IF(AN327=D315,TRUE,FALSE),IF(COUNTIF(AN327,INDEX(Processor!$N$2:$N$3,MATCH(Surfplattor!D315,Processor!$M$2:$M$3,0)))&gt;0,TRUE,FALSE)))</f>
        <v>1</v>
      </c>
      <c r="AC327" s="185" t="b">
        <f>IF($D$316="",TRUE,IF(COUNTIF(Processor!$I$2:$I$9,$D$316)&gt;0,AND(AO327&gt;INDEX(Processor!$J$2:$J$9,MATCH($D$316,Processor!$I$2:$I$9,0)),AO327&lt;INDEX(Processor!$K$2:$K$9,MATCH($D$316,Processor!$I$2:$I$9,0))),IF(AO327=$D$316,TRUE,FALSE)))</f>
        <v>1</v>
      </c>
      <c r="AD327" s="185" t="b">
        <f t="shared" si="271"/>
        <v>1</v>
      </c>
      <c r="AE327" s="185" t="b">
        <f t="shared" si="272"/>
        <v>1</v>
      </c>
      <c r="AF327" s="185" t="b">
        <f t="shared" si="273"/>
        <v>1</v>
      </c>
      <c r="AG327" s="185" t="b">
        <f t="shared" si="274"/>
        <v>1</v>
      </c>
      <c r="AH327" s="185" t="b">
        <f>IF($D$321="",TRUE,IF(INDEX(Processor!$C$14:$C$20,MATCH(LEFT(AT327,10)&amp;"",Processor!$A$14:$A$20,0))&gt;=INDEX(Processor!$C$14:$C$20,MATCH(LEFT($D$321,10)&amp;"",Processor!$A$14:$A$20,0)),TRUE,FALSE))</f>
        <v>1</v>
      </c>
      <c r="AI327" s="185" t="b">
        <f t="shared" si="275"/>
        <v>1</v>
      </c>
      <c r="AJ327" s="185"/>
      <c r="AK327" s="185"/>
      <c r="AL327" s="185" t="s">
        <v>217</v>
      </c>
      <c r="AM327" s="185">
        <v>1</v>
      </c>
      <c r="AN327" s="185" t="str">
        <f t="shared" ca="1" si="282"/>
        <v>Android 11</v>
      </c>
      <c r="AO327" s="185">
        <f t="shared" ca="1" si="282"/>
        <v>10.4</v>
      </c>
      <c r="AP327" s="185" t="str">
        <f t="shared" ca="1" si="282"/>
        <v>2000x1200</v>
      </c>
      <c r="AQ327" s="185">
        <f t="shared" ca="1" si="282"/>
        <v>64</v>
      </c>
      <c r="AR327" s="185">
        <f t="shared" ca="1" si="282"/>
        <v>5</v>
      </c>
      <c r="AS327" s="185" t="str">
        <f t="shared" ca="1" si="282"/>
        <v>802.11a/b/g/n/ac</v>
      </c>
      <c r="AT327" s="185">
        <f t="shared" ca="1" si="282"/>
        <v>12</v>
      </c>
      <c r="AU327" s="185" t="str">
        <f t="shared" ca="1" si="282"/>
        <v>Epeat Bronze</v>
      </c>
      <c r="AV327" s="185" t="str">
        <f t="shared" ca="1" si="282"/>
        <v>802.11a/b/g/n/ac</v>
      </c>
      <c r="AW327" s="185">
        <f t="shared" ca="1" si="282"/>
        <v>5</v>
      </c>
      <c r="AX327" s="185">
        <f t="shared" ca="1" si="283"/>
        <v>12</v>
      </c>
      <c r="AY327" s="185" t="str">
        <f t="shared" ca="1" si="283"/>
        <v>Galaxy Tab S6 Lite WiFi (64GB)</v>
      </c>
      <c r="AZ327" s="185">
        <f t="shared" ca="1" si="283"/>
        <v>0</v>
      </c>
      <c r="BA327" s="185" t="str">
        <f t="shared" ca="1" si="283"/>
        <v>Android 11</v>
      </c>
      <c r="BB327" s="185">
        <f t="shared" ca="1" si="283"/>
        <v>3894</v>
      </c>
      <c r="BC327" s="185">
        <f t="shared" ca="1" si="283"/>
        <v>3894</v>
      </c>
      <c r="BD327" s="192" t="str">
        <f t="shared" ca="1" si="283"/>
        <v>Tolerate</v>
      </c>
      <c r="BE327" s="192" t="str">
        <f t="shared" ca="1" si="283"/>
        <v xml:space="preserve">Insmat </v>
      </c>
      <c r="BF327" s="192" t="str">
        <f t="shared" ca="1" si="283"/>
        <v>Samsung</v>
      </c>
      <c r="BG327" s="192" t="str">
        <f t="shared" ca="1" si="283"/>
        <v>Deltaco</v>
      </c>
      <c r="BH327" s="192" t="str">
        <f t="shared" ca="1" si="284"/>
        <v>Samsung</v>
      </c>
      <c r="BI327" s="192" t="str">
        <f t="shared" ca="1" si="284"/>
        <v xml:space="preserve">TOLERATE ARMOR FOLIO SAMSUNG TAB S6 LITE BLACK </v>
      </c>
      <c r="BJ327" s="192" t="str">
        <f t="shared" ca="1" si="284"/>
        <v>Insmat Brilliant</v>
      </c>
      <c r="BK327" s="192" t="str">
        <f t="shared" ca="1" si="284"/>
        <v>SAMSUNG FAST TRAVEL CHARGER USB-C BLACK</v>
      </c>
      <c r="BL327" s="192" t="str">
        <f t="shared" ca="1" si="284"/>
        <v>DELTACO trådlöst minitangentbord, 78 tangenter, Bluetooth, nordisk layout, dämpade tangenter, svart</v>
      </c>
      <c r="BM327" s="192" t="str">
        <f t="shared" ca="1" si="284"/>
        <v xml:space="preserve">SAMSUNG S-PEN GALAXY TAB S6 LITE GREY </v>
      </c>
      <c r="BN327" s="192">
        <f t="shared" ca="1" si="284"/>
        <v>350</v>
      </c>
      <c r="BO327" s="192">
        <f t="shared" ca="1" si="284"/>
        <v>165</v>
      </c>
      <c r="BP327" s="192">
        <f t="shared" ca="1" si="284"/>
        <v>114</v>
      </c>
      <c r="BQ327" s="192">
        <f t="shared" ca="1" si="284"/>
        <v>156</v>
      </c>
      <c r="BR327" s="192">
        <f t="shared" ca="1" si="284"/>
        <v>306</v>
      </c>
      <c r="BS327" s="192">
        <f t="shared" ca="1" si="284"/>
        <v>1</v>
      </c>
      <c r="BT327" s="192">
        <f t="shared" ca="1" si="284"/>
        <v>60</v>
      </c>
      <c r="BU327" s="192">
        <f t="shared" ca="1" si="284"/>
        <v>50</v>
      </c>
      <c r="BV327" s="192">
        <f t="shared" ca="1" si="284"/>
        <v>0</v>
      </c>
      <c r="BW327" s="192"/>
      <c r="BX327" s="192"/>
      <c r="BY327" s="192" t="str">
        <f t="shared" ca="1" si="279"/>
        <v>Foxway Education AB</v>
      </c>
      <c r="BZ327" s="192" t="str">
        <f t="shared" ca="1" si="279"/>
        <v>Samsung</v>
      </c>
      <c r="CA327" s="63"/>
      <c r="CB327" s="63"/>
      <c r="CC327" s="63"/>
      <c r="CD327" s="63"/>
      <c r="CE327" s="63"/>
      <c r="CF327" s="63"/>
      <c r="CG327" s="63"/>
      <c r="CH327" s="63"/>
      <c r="CI327" s="63"/>
      <c r="CJ327" s="63"/>
      <c r="CK327" s="63"/>
      <c r="CL327" s="63"/>
      <c r="CM327" s="63"/>
      <c r="CN327" s="63"/>
    </row>
    <row r="328" spans="2:94" ht="30" customHeight="1" outlineLevel="1" x14ac:dyDescent="0.35">
      <c r="B328" s="69" t="s">
        <v>54</v>
      </c>
      <c r="C328" s="98" t="s">
        <v>373</v>
      </c>
      <c r="D328" s="70"/>
      <c r="F328" s="157" t="str">
        <f t="shared" si="285"/>
        <v/>
      </c>
      <c r="G328" s="158">
        <f t="shared" ca="1" si="286"/>
        <v>180</v>
      </c>
      <c r="H328" s="158">
        <f t="shared" ca="1" si="286"/>
        <v>251</v>
      </c>
      <c r="I328" s="158">
        <f t="shared" ca="1" si="286"/>
        <v>189</v>
      </c>
      <c r="J328" s="62"/>
      <c r="Q328" s="185">
        <f t="shared" si="260"/>
        <v>0</v>
      </c>
      <c r="R328" s="185">
        <f t="shared" si="261"/>
        <v>0</v>
      </c>
      <c r="S328" s="185">
        <f t="shared" si="262"/>
        <v>0</v>
      </c>
      <c r="T328" s="185">
        <f t="shared" si="263"/>
        <v>0</v>
      </c>
      <c r="U328" s="185">
        <f t="shared" si="264"/>
        <v>0</v>
      </c>
      <c r="V328" s="185">
        <f t="shared" si="265"/>
        <v>0</v>
      </c>
      <c r="W328" s="185">
        <f t="shared" si="266"/>
        <v>0</v>
      </c>
      <c r="X328" s="185">
        <f t="shared" si="267"/>
        <v>0</v>
      </c>
      <c r="Y328" s="185">
        <f t="shared" si="268"/>
        <v>0</v>
      </c>
      <c r="Z328" s="196">
        <f t="shared" ca="1" si="269"/>
        <v>7350</v>
      </c>
      <c r="AA328" s="185" t="str">
        <f t="shared" si="270"/>
        <v>Offererad produktnr. 09Foxway Education AB</v>
      </c>
      <c r="AB328" s="185" t="b">
        <f>IF(D315="",TRUE,IF(COUNTIF(Processor!$M$2:$M$3,D315)=0,IF(AN328=D315,TRUE,FALSE),IF(COUNTIF(AN328,INDEX(Processor!$N$2:$N$3,MATCH(Surfplattor!D315,Processor!$M$2:$M$3,0)))&gt;0,TRUE,FALSE)))</f>
        <v>1</v>
      </c>
      <c r="AC328" s="185" t="b">
        <f>IF($D$316="",TRUE,IF(COUNTIF(Processor!$I$2:$I$9,$D$316)&gt;0,AND(AO328&gt;INDEX(Processor!$J$2:$J$9,MATCH($D$316,Processor!$I$2:$I$9,0)),AO328&lt;INDEX(Processor!$K$2:$K$9,MATCH($D$316,Processor!$I$2:$I$9,0))),IF(AO328=$D$316,TRUE,FALSE)))</f>
        <v>1</v>
      </c>
      <c r="AD328" s="185" t="b">
        <f t="shared" si="271"/>
        <v>1</v>
      </c>
      <c r="AE328" s="185" t="b">
        <f t="shared" si="272"/>
        <v>1</v>
      </c>
      <c r="AF328" s="185" t="b">
        <f t="shared" si="273"/>
        <v>1</v>
      </c>
      <c r="AG328" s="185" t="b">
        <f t="shared" si="274"/>
        <v>1</v>
      </c>
      <c r="AH328" s="185" t="b">
        <f>IF($D$321="",TRUE,IF(INDEX(Processor!$C$14:$C$20,MATCH(LEFT(AT328,10)&amp;"",Processor!$A$14:$A$20,0))&gt;=INDEX(Processor!$C$14:$C$20,MATCH(LEFT($D$321,10)&amp;"",Processor!$A$14:$A$20,0)),TRUE,FALSE))</f>
        <v>1</v>
      </c>
      <c r="AI328" s="185" t="b">
        <f t="shared" si="275"/>
        <v>1</v>
      </c>
      <c r="AJ328" s="185"/>
      <c r="AK328" s="185"/>
      <c r="AL328" s="185" t="s">
        <v>218</v>
      </c>
      <c r="AM328" s="185">
        <v>1</v>
      </c>
      <c r="AN328" s="185" t="str">
        <f t="shared" ca="1" si="282"/>
        <v>Android 11</v>
      </c>
      <c r="AO328" s="185">
        <f t="shared" ca="1" si="282"/>
        <v>11</v>
      </c>
      <c r="AP328" s="185" t="str">
        <f t="shared" ca="1" si="282"/>
        <v>2560x1600</v>
      </c>
      <c r="AQ328" s="185">
        <f t="shared" ca="1" si="282"/>
        <v>128</v>
      </c>
      <c r="AR328" s="185">
        <f t="shared" ca="1" si="282"/>
        <v>5</v>
      </c>
      <c r="AS328" s="185" t="str">
        <f t="shared" ca="1" si="282"/>
        <v>802.11a/b/g/n/ac/ax</v>
      </c>
      <c r="AT328" s="185">
        <f t="shared" ca="1" si="282"/>
        <v>13</v>
      </c>
      <c r="AU328" s="185" t="str">
        <f t="shared" ca="1" si="282"/>
        <v>Epeat Bronze</v>
      </c>
      <c r="AV328" s="185" t="str">
        <f t="shared" ca="1" si="282"/>
        <v>802.11a/b/g/n/ac/ax</v>
      </c>
      <c r="AW328" s="185">
        <f t="shared" ca="1" si="282"/>
        <v>5</v>
      </c>
      <c r="AX328" s="185">
        <f t="shared" ca="1" si="283"/>
        <v>13</v>
      </c>
      <c r="AY328" s="185" t="str">
        <f t="shared" ca="1" si="283"/>
        <v>Galaxy Tab S8 Wifi (128GB)</v>
      </c>
      <c r="AZ328" s="185">
        <f t="shared" ca="1" si="283"/>
        <v>0</v>
      </c>
      <c r="BA328" s="185" t="str">
        <f t="shared" ca="1" si="283"/>
        <v>Android 11</v>
      </c>
      <c r="BB328" s="185">
        <f t="shared" ca="1" si="283"/>
        <v>7350</v>
      </c>
      <c r="BC328" s="185">
        <f t="shared" ca="1" si="283"/>
        <v>7350</v>
      </c>
      <c r="BD328" s="192" t="str">
        <f t="shared" ca="1" si="283"/>
        <v>Insmat</v>
      </c>
      <c r="BE328" s="192" t="str">
        <f t="shared" ca="1" si="283"/>
        <v>Tolerate</v>
      </c>
      <c r="BF328" s="192" t="str">
        <f t="shared" ca="1" si="283"/>
        <v>Samsung</v>
      </c>
      <c r="BG328" s="192" t="str">
        <f t="shared" ca="1" si="283"/>
        <v>Deltaco</v>
      </c>
      <c r="BH328" s="192" t="str">
        <f t="shared" ca="1" si="284"/>
        <v>Samsung</v>
      </c>
      <c r="BI328" s="192" t="str">
        <f t="shared" ca="1" si="284"/>
        <v>Insmat Rugged Armor S8</v>
      </c>
      <c r="BJ328" s="192" t="str">
        <f t="shared" ca="1" si="284"/>
        <v>TOLERATE GLASS SCREEN PROTECTOR SAMSUNG TAB S8</v>
      </c>
      <c r="BK328" s="192" t="str">
        <f t="shared" ca="1" si="284"/>
        <v>SAMSUNG FAST TRAVEL CHARGER USB-C BLACK</v>
      </c>
      <c r="BL328" s="192" t="str">
        <f t="shared" ca="1" si="284"/>
        <v>DELTACO trådlöst minitangentbord, 78 tangenter, Bluetooth, nordisk layout, dämpade tangenter, svart</v>
      </c>
      <c r="BM328" s="192" t="str">
        <f t="shared" ca="1" si="284"/>
        <v>SAMSUNG S-PEN GALAXY TAB S7</v>
      </c>
      <c r="BN328" s="192">
        <f t="shared" ca="1" si="284"/>
        <v>340</v>
      </c>
      <c r="BO328" s="185">
        <f t="shared" ca="1" si="284"/>
        <v>205</v>
      </c>
      <c r="BP328" s="192">
        <f t="shared" ca="1" si="284"/>
        <v>114</v>
      </c>
      <c r="BQ328" s="192">
        <f t="shared" ca="1" si="284"/>
        <v>156</v>
      </c>
      <c r="BR328" s="192">
        <f t="shared" ca="1" si="284"/>
        <v>360</v>
      </c>
      <c r="BS328" s="185">
        <f t="shared" ca="1" si="284"/>
        <v>1</v>
      </c>
      <c r="BT328" s="185">
        <f t="shared" ca="1" si="284"/>
        <v>60</v>
      </c>
      <c r="BU328" s="185">
        <f t="shared" ca="1" si="284"/>
        <v>50</v>
      </c>
      <c r="BV328" s="185">
        <f t="shared" ca="1" si="284"/>
        <v>0</v>
      </c>
      <c r="BW328" s="185"/>
      <c r="BX328" s="185"/>
      <c r="BY328" s="185" t="str">
        <f t="shared" ca="1" si="279"/>
        <v>Foxway Education AB</v>
      </c>
      <c r="BZ328" s="185" t="str">
        <f t="shared" ca="1" si="279"/>
        <v>Samsung</v>
      </c>
      <c r="CA328" s="63"/>
      <c r="CB328" s="63"/>
      <c r="CC328" s="63"/>
      <c r="CD328" s="63"/>
      <c r="CE328" s="63"/>
      <c r="CF328" s="63"/>
      <c r="CG328" s="63"/>
      <c r="CH328" s="63"/>
      <c r="CI328" s="63"/>
      <c r="CJ328" s="63"/>
      <c r="CK328" s="63"/>
      <c r="CL328" s="63"/>
      <c r="CM328" s="63"/>
      <c r="CN328" s="63"/>
    </row>
    <row r="329" spans="2:94" ht="30" customHeight="1" outlineLevel="1" x14ac:dyDescent="0.35">
      <c r="B329" s="69" t="s">
        <v>341</v>
      </c>
      <c r="C329" s="61" t="s">
        <v>51</v>
      </c>
      <c r="D329" s="131" t="str">
        <f>IF("Ska Ingå"=D328,"Ska Ingå","")</f>
        <v/>
      </c>
      <c r="F329" s="88" t="str">
        <f t="shared" si="285"/>
        <v/>
      </c>
      <c r="G329" s="89" t="str">
        <f t="shared" ca="1" si="286"/>
        <v>Lenovo</v>
      </c>
      <c r="H329" s="89" t="str">
        <f t="shared" ca="1" si="286"/>
        <v>eSTUFF</v>
      </c>
      <c r="I329" s="89" t="str">
        <f t="shared" ca="1" si="286"/>
        <v>ZAGG</v>
      </c>
      <c r="J329" s="62"/>
      <c r="Q329" s="185">
        <f t="shared" si="260"/>
        <v>0</v>
      </c>
      <c r="R329" s="185">
        <f t="shared" si="261"/>
        <v>0</v>
      </c>
      <c r="S329" s="185">
        <f t="shared" si="262"/>
        <v>0</v>
      </c>
      <c r="T329" s="185">
        <f t="shared" si="263"/>
        <v>0</v>
      </c>
      <c r="U329" s="185">
        <f t="shared" si="264"/>
        <v>0</v>
      </c>
      <c r="V329" s="185">
        <f t="shared" si="265"/>
        <v>0</v>
      </c>
      <c r="W329" s="185">
        <f t="shared" si="266"/>
        <v>0</v>
      </c>
      <c r="X329" s="185">
        <f t="shared" si="267"/>
        <v>0</v>
      </c>
      <c r="Y329" s="185">
        <f t="shared" si="268"/>
        <v>0</v>
      </c>
      <c r="Z329" s="196">
        <f t="shared" ca="1" si="269"/>
        <v>5256</v>
      </c>
      <c r="AA329" s="185" t="str">
        <f t="shared" si="270"/>
        <v>Offererad produktnr. 10Foxway Education AB</v>
      </c>
      <c r="AB329" s="185" t="b">
        <f>IF(D315="",TRUE,IF(COUNTIF(Processor!$M$2:$M$3,D315)=0,IF(AN329=D315,TRUE,FALSE),IF(COUNTIF(AN329,INDEX(Processor!$N$2:$N$3,MATCH(Surfplattor!D315,Processor!$M$2:$M$3,0)))&gt;0,TRUE,FALSE)))</f>
        <v>1</v>
      </c>
      <c r="AC329" s="185" t="b">
        <f>IF($D$316="",TRUE,IF(COUNTIF(Processor!$I$2:$I$9,$D$316)&gt;0,AND(AO329&gt;INDEX(Processor!$J$2:$J$9,MATCH($D$316,Processor!$I$2:$I$9,0)),AO329&lt;INDEX(Processor!$K$2:$K$9,MATCH($D$316,Processor!$I$2:$I$9,0))),IF(AO329=$D$316,TRUE,FALSE)))</f>
        <v>1</v>
      </c>
      <c r="AD329" s="185" t="b">
        <f t="shared" si="271"/>
        <v>1</v>
      </c>
      <c r="AE329" s="185" t="b">
        <f t="shared" si="272"/>
        <v>1</v>
      </c>
      <c r="AF329" s="185" t="b">
        <f t="shared" si="273"/>
        <v>1</v>
      </c>
      <c r="AG329" s="185" t="b">
        <f t="shared" si="274"/>
        <v>1</v>
      </c>
      <c r="AH329" s="185" t="b">
        <f>IF($D$321="",TRUE,IF(INDEX(Processor!$C$14:$C$20,MATCH(LEFT(AT329,10)&amp;"",Processor!$A$14:$A$20,0))&gt;=INDEX(Processor!$C$14:$C$20,MATCH(LEFT($D$321,10)&amp;"",Processor!$A$14:$A$20,0)),TRUE,FALSE))</f>
        <v>1</v>
      </c>
      <c r="AI329" s="185" t="b">
        <f t="shared" si="275"/>
        <v>1</v>
      </c>
      <c r="AJ329" s="185"/>
      <c r="AK329" s="185"/>
      <c r="AL329" s="185" t="s">
        <v>219</v>
      </c>
      <c r="AM329" s="185">
        <v>1</v>
      </c>
      <c r="AN329" s="185" t="str">
        <f t="shared" ca="1" si="282"/>
        <v>Android 10</v>
      </c>
      <c r="AO329" s="185">
        <f t="shared" ca="1" si="282"/>
        <v>11.5</v>
      </c>
      <c r="AP329" s="185" t="str">
        <f t="shared" ca="1" si="282"/>
        <v>2560x1600</v>
      </c>
      <c r="AQ329" s="185">
        <f t="shared" ca="1" si="282"/>
        <v>128</v>
      </c>
      <c r="AR329" s="185">
        <f t="shared" ca="1" si="282"/>
        <v>5</v>
      </c>
      <c r="AS329" s="185" t="str">
        <f t="shared" ca="1" si="282"/>
        <v>802.11a/b/g/n/ac</v>
      </c>
      <c r="AT329" s="185">
        <f t="shared" ca="1" si="282"/>
        <v>8</v>
      </c>
      <c r="AU329" s="185" t="str">
        <f t="shared" ca="1" si="282"/>
        <v>Ej miljömärkt</v>
      </c>
      <c r="AV329" s="185" t="str">
        <f t="shared" ca="1" si="282"/>
        <v>802.11a/b/g/n/ac</v>
      </c>
      <c r="AW329" s="185">
        <f t="shared" ca="1" si="282"/>
        <v>5</v>
      </c>
      <c r="AX329" s="185">
        <f t="shared" ca="1" si="283"/>
        <v>8</v>
      </c>
      <c r="AY329" s="185" t="str">
        <f t="shared" ca="1" si="283"/>
        <v>Tab P11 Pro</v>
      </c>
      <c r="AZ329" s="185">
        <f t="shared" ca="1" si="283"/>
        <v>0</v>
      </c>
      <c r="BA329" s="185" t="str">
        <f t="shared" ca="1" si="283"/>
        <v>Android 10</v>
      </c>
      <c r="BB329" s="185">
        <f t="shared" ca="1" si="283"/>
        <v>5256</v>
      </c>
      <c r="BC329" s="185">
        <f t="shared" ca="1" si="283"/>
        <v>5256</v>
      </c>
      <c r="BD329" s="192" t="str">
        <f t="shared" ca="1" si="283"/>
        <v>Lenovo</v>
      </c>
      <c r="BE329" s="192" t="str">
        <f t="shared" ca="1" si="283"/>
        <v>Lenovo</v>
      </c>
      <c r="BF329" s="192" t="str">
        <f t="shared" ca="1" si="283"/>
        <v>Lenovo</v>
      </c>
      <c r="BG329" s="192" t="str">
        <f t="shared" ca="1" si="283"/>
        <v>Deltaco</v>
      </c>
      <c r="BH329" s="192" t="str">
        <f t="shared" ca="1" si="284"/>
        <v>Lenovo</v>
      </c>
      <c r="BI329" s="192" t="str">
        <f t="shared" ca="1" si="284"/>
        <v>P11 Pro Folio Case &amp; Film Grey</v>
      </c>
      <c r="BJ329" s="192" t="str">
        <f t="shared" ca="1" si="284"/>
        <v>Skyddsfilm</v>
      </c>
      <c r="BK329" s="192" t="str">
        <f t="shared" ca="1" si="284"/>
        <v xml:space="preserve">Lenovo Smart Charge station </v>
      </c>
      <c r="BL329" s="192" t="str">
        <f t="shared" ca="1" si="284"/>
        <v>DELTACO trådlöst minitangentbord, 78 tangenter, Bluetooth, nordisk layout, dämpade tangenter, svart</v>
      </c>
      <c r="BM329" s="192" t="str">
        <f t="shared" ca="1" si="284"/>
        <v>Lenovo Precision Pen 2</v>
      </c>
      <c r="BN329" s="192">
        <f t="shared" ca="1" si="284"/>
        <v>210</v>
      </c>
      <c r="BO329" s="185">
        <f t="shared" ca="1" si="284"/>
        <v>276</v>
      </c>
      <c r="BP329" s="192">
        <f t="shared" ca="1" si="284"/>
        <v>240</v>
      </c>
      <c r="BQ329" s="192">
        <f t="shared" ca="1" si="284"/>
        <v>156</v>
      </c>
      <c r="BR329" s="192">
        <f t="shared" ca="1" si="284"/>
        <v>564</v>
      </c>
      <c r="BS329" s="185">
        <f t="shared" ca="1" si="284"/>
        <v>550</v>
      </c>
      <c r="BT329" s="185">
        <f t="shared" ca="1" si="284"/>
        <v>60</v>
      </c>
      <c r="BU329" s="185">
        <f t="shared" ca="1" si="284"/>
        <v>50</v>
      </c>
      <c r="BV329" s="185">
        <f t="shared" ca="1" si="284"/>
        <v>0</v>
      </c>
      <c r="BW329" s="185"/>
      <c r="BX329" s="185"/>
      <c r="BY329" s="185" t="str">
        <f t="shared" ca="1" si="279"/>
        <v>Foxway Education AB</v>
      </c>
      <c r="BZ329" s="185" t="str">
        <f t="shared" ca="1" si="279"/>
        <v>Lenovo</v>
      </c>
      <c r="CA329" s="63"/>
      <c r="CB329" s="63"/>
      <c r="CC329" s="63"/>
      <c r="CD329" s="63"/>
      <c r="CE329" s="63"/>
      <c r="CF329" s="63"/>
      <c r="CG329" s="63"/>
      <c r="CH329" s="63"/>
      <c r="CI329" s="63"/>
      <c r="CJ329" s="63"/>
      <c r="CK329" s="63"/>
      <c r="CL329" s="63"/>
      <c r="CM329" s="63"/>
      <c r="CN329" s="63"/>
    </row>
    <row r="330" spans="2:94" ht="68.25" customHeight="1" outlineLevel="1" x14ac:dyDescent="0.35">
      <c r="B330" s="69" t="s">
        <v>346</v>
      </c>
      <c r="C330" s="99" t="s">
        <v>52</v>
      </c>
      <c r="D330" s="132" t="str">
        <f>IF("Ska Ingå"=D328,"Ska Ingå","")</f>
        <v/>
      </c>
      <c r="F330" s="90" t="str">
        <f t="shared" si="285"/>
        <v/>
      </c>
      <c r="G330" s="91" t="str">
        <f t="shared" ca="1" si="286"/>
        <v>GBXLENFILM</v>
      </c>
      <c r="H330" s="91" t="str">
        <f t="shared" ca="1" si="286"/>
        <v>ES517003 - Skärmskydd för surfplatta - glas - klar - för Lenovo Tab M10 (3rd Gen)</v>
      </c>
      <c r="I330" s="91" t="str">
        <f t="shared" ca="1" si="286"/>
        <v>gbx200106077</v>
      </c>
      <c r="J330" s="73"/>
      <c r="Q330" s="185">
        <f t="shared" si="260"/>
        <v>0</v>
      </c>
      <c r="R330" s="185">
        <f t="shared" si="261"/>
        <v>0</v>
      </c>
      <c r="S330" s="185">
        <f t="shared" si="262"/>
        <v>0</v>
      </c>
      <c r="T330" s="185">
        <f t="shared" si="263"/>
        <v>0</v>
      </c>
      <c r="U330" s="185">
        <f t="shared" si="264"/>
        <v>0</v>
      </c>
      <c r="V330" s="185">
        <f t="shared" si="265"/>
        <v>0</v>
      </c>
      <c r="W330" s="185">
        <f t="shared" si="266"/>
        <v>0</v>
      </c>
      <c r="X330" s="185">
        <f t="shared" si="267"/>
        <v>0</v>
      </c>
      <c r="Y330" s="185">
        <f t="shared" si="268"/>
        <v>0</v>
      </c>
      <c r="Z330" s="196">
        <f t="shared" ca="1" si="269"/>
        <v>1700</v>
      </c>
      <c r="AA330" s="185" t="str">
        <f t="shared" si="270"/>
        <v>Offererad produktnr. 07Qlosr Göteborg AB</v>
      </c>
      <c r="AB330" s="185" t="b">
        <f>IF(D315="",TRUE,IF(COUNTIF(Processor!$M$2:$M$3,D315)=0,IF(AN330=D315,TRUE,FALSE),IF(COUNTIF(AN330,INDEX(Processor!$N$2:$N$3,MATCH(Surfplattor!D315,Processor!$M$2:$M$3,0)))&gt;0,TRUE,FALSE)))</f>
        <v>1</v>
      </c>
      <c r="AC330" s="185" t="b">
        <f>IF($D$316="",TRUE,IF(COUNTIF(Processor!$I$2:$I$9,$D$316)&gt;0,AND(AO330&gt;INDEX(Processor!$J$2:$J$9,MATCH($D$316,Processor!$I$2:$I$9,0)),AO330&lt;INDEX(Processor!$K$2:$K$9,MATCH($D$316,Processor!$I$2:$I$9,0))),IF(AO330=$D$316,TRUE,FALSE)))</f>
        <v>1</v>
      </c>
      <c r="AD330" s="185" t="b">
        <f t="shared" si="271"/>
        <v>1</v>
      </c>
      <c r="AE330" s="185" t="b">
        <f t="shared" si="272"/>
        <v>1</v>
      </c>
      <c r="AF330" s="185" t="b">
        <f t="shared" si="273"/>
        <v>1</v>
      </c>
      <c r="AG330" s="185" t="b">
        <f t="shared" si="274"/>
        <v>1</v>
      </c>
      <c r="AH330" s="185" t="b">
        <f>IF($D$321="",TRUE,IF(INDEX(Processor!$C$14:$C$20,MATCH(LEFT(AT330,10)&amp;"",Processor!$A$14:$A$20,0))&gt;=INDEX(Processor!$C$14:$C$20,MATCH(LEFT($D$321,10)&amp;"",Processor!$A$14:$A$20,0)),TRUE,FALSE))</f>
        <v>1</v>
      </c>
      <c r="AI330" s="185" t="b">
        <f t="shared" si="275"/>
        <v>1</v>
      </c>
      <c r="AJ330" s="185"/>
      <c r="AK330" s="185"/>
      <c r="AL330" s="185" t="s">
        <v>558</v>
      </c>
      <c r="AM330" s="185">
        <v>1</v>
      </c>
      <c r="AN330" s="185" t="str">
        <f t="shared" ca="1" si="282"/>
        <v>Android 9</v>
      </c>
      <c r="AO330" s="185">
        <f t="shared" ca="1" si="282"/>
        <v>10.3</v>
      </c>
      <c r="AP330" s="185" t="str">
        <f t="shared" ca="1" si="282"/>
        <v>1920x1200</v>
      </c>
      <c r="AQ330" s="185">
        <f t="shared" ca="1" si="282"/>
        <v>64</v>
      </c>
      <c r="AR330" s="185">
        <f t="shared" ca="1" si="282"/>
        <v>5</v>
      </c>
      <c r="AS330" s="185" t="str">
        <f t="shared" ca="1" si="282"/>
        <v>802.11a/b/g/n/ac</v>
      </c>
      <c r="AT330" s="185">
        <f t="shared" ca="1" si="282"/>
        <v>9</v>
      </c>
      <c r="AU330" s="185" t="str">
        <f t="shared" ca="1" si="282"/>
        <v>Ej miljömärkt</v>
      </c>
      <c r="AV330" s="185" t="str">
        <f t="shared" ca="1" si="282"/>
        <v>802.11a/b/g/n/ac</v>
      </c>
      <c r="AW330" s="185">
        <f t="shared" ca="1" si="282"/>
        <v>5</v>
      </c>
      <c r="AX330" s="185">
        <f t="shared" ca="1" si="283"/>
        <v>9</v>
      </c>
      <c r="AY330" s="185" t="str">
        <f t="shared" ca="1" si="283"/>
        <v>M10 FHD G2</v>
      </c>
      <c r="AZ330" s="185">
        <f t="shared" ca="1" si="283"/>
        <v>0</v>
      </c>
      <c r="BA330" s="185" t="str">
        <f t="shared" ca="1" si="283"/>
        <v>Android 9</v>
      </c>
      <c r="BB330" s="185">
        <f t="shared" ca="1" si="283"/>
        <v>1700</v>
      </c>
      <c r="BC330" s="185">
        <f t="shared" ca="1" si="283"/>
        <v>1700</v>
      </c>
      <c r="BD330" s="192" t="str">
        <f t="shared" ca="1" si="283"/>
        <v>Phonelife</v>
      </c>
      <c r="BE330" s="192" t="str">
        <f t="shared" ca="1" si="283"/>
        <v>Lenovo</v>
      </c>
      <c r="BF330" s="192" t="str">
        <f t="shared" ca="1" si="283"/>
        <v>Lenovo</v>
      </c>
      <c r="BG330" s="192" t="str">
        <f t="shared" ca="1" si="283"/>
        <v>DELTACO</v>
      </c>
      <c r="BH330" s="192" t="str">
        <f t="shared" ca="1" si="284"/>
        <v>Kecow</v>
      </c>
      <c r="BI330" s="192" t="str">
        <f t="shared" ca="1" si="284"/>
        <v>GBXRUGGEDLENTAB-V1</v>
      </c>
      <c r="BJ330" s="192" t="str">
        <f t="shared" ca="1" si="284"/>
        <v>GBXLENFILM</v>
      </c>
      <c r="BK330" s="192" t="str">
        <f t="shared" ca="1" si="284"/>
        <v>GBXLENCHARGE</v>
      </c>
      <c r="BL330" s="192" t="str">
        <f t="shared" ca="1" si="284"/>
        <v>GBX TB-631</v>
      </c>
      <c r="BM330" s="192" t="str">
        <f t="shared" ca="1" si="284"/>
        <v>GBXPP2PENMAGNETIC</v>
      </c>
      <c r="BN330" s="192">
        <f t="shared" ca="1" si="284"/>
        <v>325</v>
      </c>
      <c r="BO330" s="185">
        <f t="shared" ca="1" si="284"/>
        <v>180</v>
      </c>
      <c r="BP330" s="192">
        <f t="shared" ca="1" si="284"/>
        <v>220</v>
      </c>
      <c r="BQ330" s="192">
        <f t="shared" ca="1" si="284"/>
        <v>150</v>
      </c>
      <c r="BR330" s="192">
        <f t="shared" ca="1" si="284"/>
        <v>399</v>
      </c>
      <c r="BS330" s="185">
        <f t="shared" ca="1" si="284"/>
        <v>570</v>
      </c>
      <c r="BT330" s="185">
        <f t="shared" ca="1" si="284"/>
        <v>25</v>
      </c>
      <c r="BU330" s="185">
        <f t="shared" ca="1" si="284"/>
        <v>25</v>
      </c>
      <c r="BV330" s="185">
        <f t="shared" ca="1" si="284"/>
        <v>0</v>
      </c>
      <c r="BW330" s="185"/>
      <c r="BX330" s="185"/>
      <c r="BY330" s="185" t="str">
        <f t="shared" ca="1" si="279"/>
        <v>Qlosr Göteborg AB</v>
      </c>
      <c r="BZ330" s="185" t="str">
        <f t="shared" ca="1" si="279"/>
        <v>Lenovo</v>
      </c>
      <c r="CA330" s="63"/>
      <c r="CB330" s="63"/>
      <c r="CC330" s="63"/>
      <c r="CD330" s="63"/>
      <c r="CE330" s="63"/>
      <c r="CF330" s="63"/>
      <c r="CG330" s="63"/>
      <c r="CH330" s="63"/>
      <c r="CI330" s="63"/>
      <c r="CJ330" s="63"/>
      <c r="CK330" s="63"/>
      <c r="CL330" s="63"/>
      <c r="CM330" s="63"/>
      <c r="CN330" s="63"/>
    </row>
    <row r="331" spans="2:94" ht="30" customHeight="1" outlineLevel="1" x14ac:dyDescent="0.35">
      <c r="B331" s="69" t="s">
        <v>55</v>
      </c>
      <c r="C331" s="95" t="s">
        <v>371</v>
      </c>
      <c r="D331" s="70"/>
      <c r="F331" s="159" t="str">
        <f t="shared" si="285"/>
        <v/>
      </c>
      <c r="G331" s="160">
        <f t="shared" ca="1" si="286"/>
        <v>220</v>
      </c>
      <c r="H331" s="160">
        <f t="shared" ca="1" si="286"/>
        <v>108</v>
      </c>
      <c r="I331" s="160">
        <f t="shared" ca="1" si="286"/>
        <v>279</v>
      </c>
      <c r="J331" s="54"/>
      <c r="Q331" s="185">
        <f t="shared" si="260"/>
        <v>0</v>
      </c>
      <c r="R331" s="185">
        <f t="shared" si="261"/>
        <v>0</v>
      </c>
      <c r="S331" s="185">
        <f t="shared" si="262"/>
        <v>0</v>
      </c>
      <c r="T331" s="185">
        <f t="shared" si="263"/>
        <v>0</v>
      </c>
      <c r="U331" s="185">
        <f t="shared" si="264"/>
        <v>0</v>
      </c>
      <c r="V331" s="185">
        <f t="shared" si="265"/>
        <v>0</v>
      </c>
      <c r="W331" s="185">
        <f t="shared" si="266"/>
        <v>0</v>
      </c>
      <c r="X331" s="185">
        <f t="shared" si="267"/>
        <v>0</v>
      </c>
      <c r="Y331" s="185">
        <f t="shared" si="268"/>
        <v>0</v>
      </c>
      <c r="Z331" s="196">
        <f t="shared" ca="1" si="269"/>
        <v>3205</v>
      </c>
      <c r="AA331" s="185" t="str">
        <f t="shared" si="270"/>
        <v>Offererad produktnr. 08Qlosr Göteborg AB</v>
      </c>
      <c r="AB331" s="185" t="b">
        <f>IF(D315="",TRUE,IF(COUNTIF(Processor!$M$2:$M$3,D315)=0,IF(AN331=D315,TRUE,FALSE),IF(COUNTIF(AN331,INDEX(Processor!$N$2:$N$3,MATCH(Surfplattor!D315,Processor!$M$2:$M$3,0)))&gt;0,TRUE,FALSE)))</f>
        <v>1</v>
      </c>
      <c r="AC331" s="185" t="b">
        <f>IF($D$316="",TRUE,IF(COUNTIF(Processor!$I$2:$I$9,$D$316)&gt;0,AND(AO331&gt;INDEX(Processor!$J$2:$J$9,MATCH($D$316,Processor!$I$2:$I$9,0)),AO331&lt;INDEX(Processor!$K$2:$K$9,MATCH($D$316,Processor!$I$2:$I$9,0))),IF(AO331=$D$316,TRUE,FALSE)))</f>
        <v>1</v>
      </c>
      <c r="AD331" s="185" t="b">
        <f t="shared" si="271"/>
        <v>1</v>
      </c>
      <c r="AE331" s="185" t="b">
        <f t="shared" si="272"/>
        <v>1</v>
      </c>
      <c r="AF331" s="185" t="b">
        <f t="shared" si="273"/>
        <v>1</v>
      </c>
      <c r="AG331" s="185" t="b">
        <f t="shared" si="274"/>
        <v>1</v>
      </c>
      <c r="AH331" s="185" t="b">
        <f>IF($D$321="",TRUE,IF(INDEX(Processor!$C$14:$C$20,MATCH(LEFT(AT331,10)&amp;"",Processor!$A$14:$A$20,0))&gt;=INDEX(Processor!$C$14:$C$20,MATCH(LEFT($D$321,10)&amp;"",Processor!$A$14:$A$20,0)),TRUE,FALSE))</f>
        <v>1</v>
      </c>
      <c r="AI331" s="185" t="b">
        <f t="shared" si="275"/>
        <v>1</v>
      </c>
      <c r="AJ331" s="185"/>
      <c r="AK331" s="185"/>
      <c r="AL331" s="185" t="s">
        <v>559</v>
      </c>
      <c r="AM331" s="185">
        <v>1</v>
      </c>
      <c r="AN331" s="185" t="str">
        <f t="shared" ca="1" si="282"/>
        <v>iPadOS 15</v>
      </c>
      <c r="AO331" s="185">
        <f t="shared" ca="1" si="282"/>
        <v>10.199999999999999</v>
      </c>
      <c r="AP331" s="185" t="str">
        <f t="shared" ca="1" si="282"/>
        <v>2160x1620</v>
      </c>
      <c r="AQ331" s="185">
        <f t="shared" ca="1" si="282"/>
        <v>64</v>
      </c>
      <c r="AR331" s="185">
        <f t="shared" ca="1" si="282"/>
        <v>4.2</v>
      </c>
      <c r="AS331" s="185" t="str">
        <f t="shared" ca="1" si="282"/>
        <v>802.11a/b/g/n/ac</v>
      </c>
      <c r="AT331" s="185">
        <f t="shared" ca="1" si="282"/>
        <v>10</v>
      </c>
      <c r="AU331" s="185" t="str">
        <f t="shared" ca="1" si="282"/>
        <v>Ej miljömärkt</v>
      </c>
      <c r="AV331" s="185" t="str">
        <f t="shared" ca="1" si="282"/>
        <v>802.11a/b/g/n/ac</v>
      </c>
      <c r="AW331" s="185">
        <f t="shared" ca="1" si="282"/>
        <v>4.2</v>
      </c>
      <c r="AX331" s="185">
        <f t="shared" ca="1" si="283"/>
        <v>10</v>
      </c>
      <c r="AY331" s="185" t="str">
        <f t="shared" ca="1" si="283"/>
        <v>iPad 9th gen (2021)</v>
      </c>
      <c r="AZ331" s="185">
        <f t="shared" ca="1" si="283"/>
        <v>0</v>
      </c>
      <c r="BA331" s="185" t="str">
        <f t="shared" ca="1" si="283"/>
        <v>iPadOS 15</v>
      </c>
      <c r="BB331" s="185">
        <f t="shared" ca="1" si="283"/>
        <v>3205</v>
      </c>
      <c r="BC331" s="185">
        <f t="shared" ca="1" si="283"/>
        <v>3205</v>
      </c>
      <c r="BD331" s="192" t="str">
        <f t="shared" ca="1" si="283"/>
        <v>Otterbox Defender Series</v>
      </c>
      <c r="BE331" s="192" t="str">
        <f t="shared" ca="1" si="283"/>
        <v>ZAGG</v>
      </c>
      <c r="BF331" s="192" t="str">
        <f t="shared" ca="1" si="283"/>
        <v>Belkin</v>
      </c>
      <c r="BG331" s="192" t="str">
        <f t="shared" ca="1" si="283"/>
        <v>DELTACO</v>
      </c>
      <c r="BH331" s="192" t="str">
        <f t="shared" ca="1" si="284"/>
        <v>Apple</v>
      </c>
      <c r="BI331" s="192" t="str">
        <f t="shared" ca="1" si="284"/>
        <v>GBX77-62032</v>
      </c>
      <c r="BJ331" s="192" t="str">
        <f t="shared" ca="1" si="284"/>
        <v>gbx200106077</v>
      </c>
      <c r="BK331" s="192" t="str">
        <f t="shared" ca="1" si="284"/>
        <v>GBXWCA003VF04WH</v>
      </c>
      <c r="BL331" s="192" t="str">
        <f t="shared" ca="1" si="284"/>
        <v>GBX TB-631</v>
      </c>
      <c r="BM331" s="192" t="str">
        <f t="shared" ca="1" si="284"/>
        <v>MK0C2ZM/A</v>
      </c>
      <c r="BN331" s="192">
        <f t="shared" ca="1" si="284"/>
        <v>460</v>
      </c>
      <c r="BO331" s="185">
        <f t="shared" ca="1" si="284"/>
        <v>189</v>
      </c>
      <c r="BP331" s="192">
        <f t="shared" ca="1" si="284"/>
        <v>279</v>
      </c>
      <c r="BQ331" s="192">
        <f t="shared" ca="1" si="284"/>
        <v>150</v>
      </c>
      <c r="BR331" s="192">
        <f t="shared" ca="1" si="284"/>
        <v>839</v>
      </c>
      <c r="BS331" s="185">
        <f t="shared" ca="1" si="284"/>
        <v>514</v>
      </c>
      <c r="BT331" s="185">
        <f t="shared" ca="1" si="284"/>
        <v>25</v>
      </c>
      <c r="BU331" s="185">
        <f t="shared" ca="1" si="284"/>
        <v>25</v>
      </c>
      <c r="BV331" s="185">
        <f t="shared" ca="1" si="284"/>
        <v>0</v>
      </c>
      <c r="BW331" s="185"/>
      <c r="BX331" s="185"/>
      <c r="BY331" s="185" t="str">
        <f t="shared" ca="1" si="279"/>
        <v>Qlosr Göteborg AB</v>
      </c>
      <c r="BZ331" s="185" t="str">
        <f t="shared" ca="1" si="279"/>
        <v>Apple</v>
      </c>
      <c r="CA331" s="63"/>
      <c r="CB331" s="63"/>
      <c r="CC331" s="63"/>
      <c r="CD331" s="63"/>
      <c r="CE331" s="63"/>
      <c r="CF331" s="63"/>
      <c r="CG331" s="63"/>
      <c r="CH331" s="63"/>
      <c r="CI331" s="63"/>
      <c r="CJ331" s="63"/>
      <c r="CK331" s="63"/>
      <c r="CL331" s="63"/>
      <c r="CM331" s="63"/>
      <c r="CN331" s="63"/>
    </row>
    <row r="332" spans="2:94" ht="30" customHeight="1" outlineLevel="1" x14ac:dyDescent="0.35">
      <c r="B332" s="69" t="s">
        <v>342</v>
      </c>
      <c r="C332" s="96" t="s">
        <v>51</v>
      </c>
      <c r="D332" s="131" t="str">
        <f>IF("Ska Ingå"=D331,"Ska Ingå","")</f>
        <v/>
      </c>
      <c r="F332" s="84" t="str">
        <f t="shared" si="285"/>
        <v/>
      </c>
      <c r="G332" s="85" t="str">
        <f t="shared" ca="1" si="286"/>
        <v>Lenovo</v>
      </c>
      <c r="H332" s="85" t="str">
        <f t="shared" ca="1" si="286"/>
        <v>CoreParts</v>
      </c>
      <c r="I332" s="85" t="str">
        <f t="shared" ca="1" si="286"/>
        <v>Belkin</v>
      </c>
      <c r="J332" s="73"/>
      <c r="Q332" s="185">
        <f t="shared" si="260"/>
        <v>0</v>
      </c>
      <c r="R332" s="185">
        <f t="shared" si="261"/>
        <v>0</v>
      </c>
      <c r="S332" s="185">
        <f t="shared" si="262"/>
        <v>0</v>
      </c>
      <c r="T332" s="185">
        <f t="shared" si="263"/>
        <v>0</v>
      </c>
      <c r="U332" s="185">
        <f t="shared" si="264"/>
        <v>0</v>
      </c>
      <c r="V332" s="185">
        <f t="shared" si="265"/>
        <v>0</v>
      </c>
      <c r="W332" s="185">
        <f t="shared" si="266"/>
        <v>0</v>
      </c>
      <c r="X332" s="185">
        <f t="shared" si="267"/>
        <v>0</v>
      </c>
      <c r="Y332" s="185">
        <f t="shared" si="268"/>
        <v>0</v>
      </c>
      <c r="Z332" s="196">
        <f t="shared" ca="1" si="269"/>
        <v>7256</v>
      </c>
      <c r="AA332" s="185" t="str">
        <f t="shared" si="270"/>
        <v>Offererad produktnr. 09Qlosr Göteborg AB</v>
      </c>
      <c r="AB332" s="185" t="b">
        <f>IF(D315="",TRUE,IF(COUNTIF(Processor!$M$2:$M$3,D315)=0,IF(AN332=D315,TRUE,FALSE),IF(COUNTIF(AN332,INDEX(Processor!$N$2:$N$3,MATCH(Surfplattor!D315,Processor!$M$2:$M$3,0)))&gt;0,TRUE,FALSE)))</f>
        <v>1</v>
      </c>
      <c r="AC332" s="185" t="b">
        <f>IF($D$316="",TRUE,IF(COUNTIF(Processor!$I$2:$I$9,$D$316)&gt;0,AND(AO332&gt;INDEX(Processor!$J$2:$J$9,MATCH($D$316,Processor!$I$2:$I$9,0)),AO332&lt;INDEX(Processor!$K$2:$K$9,MATCH($D$316,Processor!$I$2:$I$9,0))),IF(AO332=$D$316,TRUE,FALSE)))</f>
        <v>1</v>
      </c>
      <c r="AD332" s="185" t="b">
        <f t="shared" si="271"/>
        <v>1</v>
      </c>
      <c r="AE332" s="185" t="b">
        <f t="shared" si="272"/>
        <v>1</v>
      </c>
      <c r="AF332" s="185" t="b">
        <f t="shared" si="273"/>
        <v>1</v>
      </c>
      <c r="AG332" s="185" t="b">
        <f t="shared" si="274"/>
        <v>1</v>
      </c>
      <c r="AH332" s="185" t="b">
        <f>IF($D$321="",TRUE,IF(INDEX(Processor!$C$14:$C$20,MATCH(LEFT(AT332,10)&amp;"",Processor!$A$14:$A$20,0))&gt;=INDEX(Processor!$C$14:$C$20,MATCH(LEFT($D$321,10)&amp;"",Processor!$A$14:$A$20,0)),TRUE,FALSE))</f>
        <v>1</v>
      </c>
      <c r="AI332" s="185" t="b">
        <f t="shared" si="275"/>
        <v>1</v>
      </c>
      <c r="AJ332" s="185"/>
      <c r="AK332" s="185"/>
      <c r="AL332" s="185" t="s">
        <v>560</v>
      </c>
      <c r="AM332" s="185">
        <v>1</v>
      </c>
      <c r="AN332" s="185" t="str">
        <f t="shared" ca="1" si="282"/>
        <v>iPadOS 14</v>
      </c>
      <c r="AO332" s="185">
        <f t="shared" ca="1" si="282"/>
        <v>11</v>
      </c>
      <c r="AP332" s="185" t="str">
        <f t="shared" ca="1" si="282"/>
        <v>2388x1668</v>
      </c>
      <c r="AQ332" s="185">
        <f t="shared" ca="1" si="282"/>
        <v>128</v>
      </c>
      <c r="AR332" s="185">
        <f t="shared" ca="1" si="282"/>
        <v>5</v>
      </c>
      <c r="AS332" s="185" t="str">
        <f t="shared" ca="1" si="282"/>
        <v>802.11a/b/g/n/ac/ax</v>
      </c>
      <c r="AT332" s="185">
        <f t="shared" ca="1" si="282"/>
        <v>10</v>
      </c>
      <c r="AU332" s="185" t="str">
        <f t="shared" ca="1" si="282"/>
        <v>Ej miljömärkt</v>
      </c>
      <c r="AV332" s="185" t="str">
        <f t="shared" ca="1" si="282"/>
        <v>802.11a/b/g/n/ac/ax</v>
      </c>
      <c r="AW332" s="185">
        <f t="shared" ca="1" si="282"/>
        <v>5</v>
      </c>
      <c r="AX332" s="185">
        <f t="shared" ca="1" si="283"/>
        <v>10</v>
      </c>
      <c r="AY332" s="185" t="str">
        <f t="shared" ca="1" si="283"/>
        <v>Ipad Pro 11 tum</v>
      </c>
      <c r="AZ332" s="185">
        <f t="shared" ca="1" si="283"/>
        <v>0</v>
      </c>
      <c r="BA332" s="185" t="str">
        <f t="shared" ca="1" si="283"/>
        <v>iPadOS 14</v>
      </c>
      <c r="BB332" s="185">
        <f t="shared" ca="1" si="283"/>
        <v>7256</v>
      </c>
      <c r="BC332" s="185">
        <f t="shared" ca="1" si="283"/>
        <v>7256</v>
      </c>
      <c r="BD332" s="192" t="str">
        <f t="shared" ca="1" si="283"/>
        <v>Otterbox Defender Series</v>
      </c>
      <c r="BE332" s="192" t="str">
        <f t="shared" ca="1" si="283"/>
        <v>ZAGG</v>
      </c>
      <c r="BF332" s="192" t="str">
        <f t="shared" ca="1" si="283"/>
        <v>Belkin</v>
      </c>
      <c r="BG332" s="192" t="str">
        <f t="shared" ca="1" si="283"/>
        <v>DELTACO</v>
      </c>
      <c r="BH332" s="192" t="str">
        <f t="shared" ca="1" si="284"/>
        <v>Apple</v>
      </c>
      <c r="BI332" s="192" t="str">
        <f t="shared" ca="1" si="284"/>
        <v>GBX77-82261</v>
      </c>
      <c r="BJ332" s="192" t="str">
        <f t="shared" ca="1" si="284"/>
        <v>GBX200108138</v>
      </c>
      <c r="BK332" s="192" t="str">
        <f t="shared" ca="1" si="284"/>
        <v>GBXF7U074vf04-SLV</v>
      </c>
      <c r="BL332" s="192" t="str">
        <f t="shared" ca="1" si="284"/>
        <v>GBX TB-631</v>
      </c>
      <c r="BM332" s="192" t="str">
        <f t="shared" ca="1" si="284"/>
        <v>MU8F2ZM/A</v>
      </c>
      <c r="BN332" s="192">
        <f t="shared" ca="1" si="284"/>
        <v>435</v>
      </c>
      <c r="BO332" s="185">
        <f t="shared" ca="1" si="284"/>
        <v>179</v>
      </c>
      <c r="BP332" s="192">
        <f t="shared" ca="1" si="284"/>
        <v>355</v>
      </c>
      <c r="BQ332" s="192">
        <f t="shared" ca="1" si="284"/>
        <v>150</v>
      </c>
      <c r="BR332" s="192">
        <f t="shared" ca="1" si="284"/>
        <v>1145</v>
      </c>
      <c r="BS332" s="185">
        <f t="shared" ca="1" si="284"/>
        <v>724</v>
      </c>
      <c r="BT332" s="185">
        <f t="shared" ca="1" si="284"/>
        <v>25</v>
      </c>
      <c r="BU332" s="185">
        <f t="shared" ca="1" si="284"/>
        <v>25</v>
      </c>
      <c r="BV332" s="185">
        <f t="shared" ca="1" si="284"/>
        <v>0</v>
      </c>
      <c r="BW332" s="185"/>
      <c r="BX332" s="185"/>
      <c r="BY332" s="185" t="str">
        <f t="shared" ca="1" si="279"/>
        <v>Qlosr Göteborg AB</v>
      </c>
      <c r="BZ332" s="185" t="str">
        <f t="shared" ca="1" si="279"/>
        <v>Apple</v>
      </c>
      <c r="CA332" s="63"/>
      <c r="CB332" s="63"/>
      <c r="CC332" s="63"/>
      <c r="CD332" s="63"/>
      <c r="CE332" s="63"/>
      <c r="CF332" s="63"/>
      <c r="CG332" s="63"/>
      <c r="CH332" s="63"/>
      <c r="CI332" s="63"/>
      <c r="CJ332" s="63"/>
      <c r="CK332" s="63"/>
      <c r="CL332" s="63"/>
      <c r="CM332" s="63"/>
      <c r="CN332" s="63"/>
    </row>
    <row r="333" spans="2:94" ht="67.5" customHeight="1" outlineLevel="1" x14ac:dyDescent="0.35">
      <c r="B333" s="69" t="s">
        <v>347</v>
      </c>
      <c r="C333" s="97" t="s">
        <v>52</v>
      </c>
      <c r="D333" s="132" t="str">
        <f>IF("Ska Ingå"=D331,"Ska Ingå","")</f>
        <v/>
      </c>
      <c r="F333" s="86" t="str">
        <f t="shared" si="285"/>
        <v/>
      </c>
      <c r="G333" s="87" t="str">
        <f t="shared" ca="1" si="286"/>
        <v>GBXLENCHARGE</v>
      </c>
      <c r="H333" s="87" t="str">
        <f t="shared" ca="1" si="286"/>
        <v>MBXUSB-AC0011 - Strömadapter - 12 Watt - 2.4 A (USB) - på kabel: USB-C - vit - med USB-C cable (2m)</v>
      </c>
      <c r="I333" s="87" t="str">
        <f t="shared" ca="1" si="286"/>
        <v>GBXWCA003VF04WH</v>
      </c>
      <c r="J333" s="54"/>
      <c r="Q333" s="185">
        <f t="shared" si="260"/>
        <v>0</v>
      </c>
      <c r="R333" s="185">
        <f t="shared" si="261"/>
        <v>0</v>
      </c>
      <c r="S333" s="185">
        <f t="shared" si="262"/>
        <v>0</v>
      </c>
      <c r="T333" s="185">
        <f t="shared" si="263"/>
        <v>0</v>
      </c>
      <c r="U333" s="185">
        <f t="shared" si="264"/>
        <v>0</v>
      </c>
      <c r="V333" s="185">
        <f t="shared" si="265"/>
        <v>0</v>
      </c>
      <c r="W333" s="185">
        <f t="shared" si="266"/>
        <v>0</v>
      </c>
      <c r="X333" s="185">
        <f t="shared" si="267"/>
        <v>0</v>
      </c>
      <c r="Y333" s="185">
        <f t="shared" si="268"/>
        <v>0</v>
      </c>
      <c r="Z333" s="196">
        <f t="shared" ca="1" si="269"/>
        <v>4710</v>
      </c>
      <c r="AA333" s="185" t="str">
        <f t="shared" si="270"/>
        <v>Offererad produktnr. 10Qlosr Göteborg AB</v>
      </c>
      <c r="AB333" s="185" t="b">
        <f>IF(D315="",TRUE,IF(COUNTIF(Processor!$M$2:$M$3,D315)=0,IF(AN333=D315,TRUE,FALSE),IF(COUNTIF(AN333,INDEX(Processor!$N$2:$N$3,MATCH(Surfplattor!D315,Processor!$M$2:$M$3,0)))&gt;0,TRUE,FALSE)))</f>
        <v>1</v>
      </c>
      <c r="AC333" s="185" t="b">
        <f>IF($D$316="",TRUE,IF(COUNTIF(Processor!$I$2:$I$9,$D$316)&gt;0,AND(AO333&gt;INDEX(Processor!$J$2:$J$9,MATCH($D$316,Processor!$I$2:$I$9,0)),AO333&lt;INDEX(Processor!$K$2:$K$9,MATCH($D$316,Processor!$I$2:$I$9,0))),IF(AO333=$D$316,TRUE,FALSE)))</f>
        <v>1</v>
      </c>
      <c r="AD333" s="185" t="b">
        <f t="shared" si="271"/>
        <v>1</v>
      </c>
      <c r="AE333" s="185" t="b">
        <f t="shared" si="272"/>
        <v>1</v>
      </c>
      <c r="AF333" s="185" t="b">
        <f t="shared" si="273"/>
        <v>1</v>
      </c>
      <c r="AG333" s="185" t="b">
        <f t="shared" si="274"/>
        <v>1</v>
      </c>
      <c r="AH333" s="185" t="b">
        <f>IF($D$321="",TRUE,IF(INDEX(Processor!$C$14:$C$20,MATCH(LEFT(AT333,10)&amp;"",Processor!$A$14:$A$20,0))&gt;=INDEX(Processor!$C$14:$C$20,MATCH(LEFT($D$321,10)&amp;"",Processor!$A$14:$A$20,0)),TRUE,FALSE))</f>
        <v>1</v>
      </c>
      <c r="AI333" s="185" t="b">
        <f t="shared" si="275"/>
        <v>1</v>
      </c>
      <c r="AJ333" s="185"/>
      <c r="AK333" s="185"/>
      <c r="AL333" s="185" t="s">
        <v>561</v>
      </c>
      <c r="AM333" s="185">
        <v>1</v>
      </c>
      <c r="AN333" s="185" t="str">
        <f t="shared" ca="1" si="282"/>
        <v>Android 10</v>
      </c>
      <c r="AO333" s="185">
        <f t="shared" ca="1" si="282"/>
        <v>11.5</v>
      </c>
      <c r="AP333" s="185" t="str">
        <f t="shared" ca="1" si="282"/>
        <v>2560x1600</v>
      </c>
      <c r="AQ333" s="185">
        <f t="shared" ca="1" si="282"/>
        <v>128</v>
      </c>
      <c r="AR333" s="185">
        <f t="shared" ca="1" si="282"/>
        <v>5</v>
      </c>
      <c r="AS333" s="185" t="str">
        <f t="shared" ca="1" si="282"/>
        <v>802.11a/b/g/n/ac</v>
      </c>
      <c r="AT333" s="185">
        <f t="shared" ca="1" si="282"/>
        <v>8</v>
      </c>
      <c r="AU333" s="185" t="str">
        <f t="shared" ca="1" si="282"/>
        <v>Ej miljömärkt</v>
      </c>
      <c r="AV333" s="185" t="str">
        <f t="shared" ca="1" si="282"/>
        <v>802.11a/b/g/n/ac</v>
      </c>
      <c r="AW333" s="185">
        <f t="shared" ca="1" si="282"/>
        <v>5</v>
      </c>
      <c r="AX333" s="185">
        <f t="shared" ca="1" si="283"/>
        <v>8</v>
      </c>
      <c r="AY333" s="185" t="str">
        <f t="shared" ca="1" si="283"/>
        <v>Lenovo Tab P11 Pro ZA7C 128GB</v>
      </c>
      <c r="AZ333" s="185">
        <f t="shared" ca="1" si="283"/>
        <v>0</v>
      </c>
      <c r="BA333" s="185" t="str">
        <f t="shared" ca="1" si="283"/>
        <v>Android 10</v>
      </c>
      <c r="BB333" s="185">
        <f t="shared" ca="1" si="283"/>
        <v>4710</v>
      </c>
      <c r="BC333" s="185">
        <f t="shared" ca="1" si="283"/>
        <v>4710</v>
      </c>
      <c r="BD333" s="192" t="str">
        <f t="shared" ca="1" si="283"/>
        <v>Phonelife</v>
      </c>
      <c r="BE333" s="192" t="str">
        <f t="shared" ca="1" si="283"/>
        <v>Lenovo</v>
      </c>
      <c r="BF333" s="192" t="str">
        <f t="shared" ca="1" si="283"/>
        <v>Lenovo</v>
      </c>
      <c r="BG333" s="192" t="str">
        <f t="shared" ca="1" si="283"/>
        <v>DELTACO</v>
      </c>
      <c r="BH333" s="192" t="str">
        <f t="shared" ca="1" si="284"/>
        <v>Kecow</v>
      </c>
      <c r="BI333" s="192" t="str">
        <f t="shared" ca="1" si="284"/>
        <v>GBXRUGGEDLENTAB-V2</v>
      </c>
      <c r="BJ333" s="192" t="str">
        <f t="shared" ca="1" si="284"/>
        <v>GBXLENFILM</v>
      </c>
      <c r="BK333" s="192" t="str">
        <f t="shared" ca="1" si="284"/>
        <v>GBXLENCHARGE</v>
      </c>
      <c r="BL333" s="192" t="str">
        <f t="shared" ca="1" si="284"/>
        <v>GBX TB-631</v>
      </c>
      <c r="BM333" s="192" t="str">
        <f t="shared" ca="1" si="284"/>
        <v>GBXPP2PENMAGNETIC</v>
      </c>
      <c r="BN333" s="192">
        <f t="shared" ca="1" si="284"/>
        <v>330</v>
      </c>
      <c r="BO333" s="185">
        <f t="shared" ca="1" si="284"/>
        <v>180</v>
      </c>
      <c r="BP333" s="192">
        <f t="shared" ca="1" si="284"/>
        <v>220</v>
      </c>
      <c r="BQ333" s="192">
        <f t="shared" ca="1" si="284"/>
        <v>150</v>
      </c>
      <c r="BR333" s="192">
        <f t="shared" ca="1" si="284"/>
        <v>399</v>
      </c>
      <c r="BS333" s="185">
        <f t="shared" ca="1" si="284"/>
        <v>560</v>
      </c>
      <c r="BT333" s="185">
        <f t="shared" ca="1" si="284"/>
        <v>25</v>
      </c>
      <c r="BU333" s="185">
        <f t="shared" ca="1" si="284"/>
        <v>25</v>
      </c>
      <c r="BV333" s="185">
        <f t="shared" ca="1" si="284"/>
        <v>0</v>
      </c>
      <c r="BW333" s="185"/>
      <c r="BX333" s="185"/>
      <c r="BY333" s="185" t="str">
        <f t="shared" ca="1" si="279"/>
        <v>Qlosr Göteborg AB</v>
      </c>
      <c r="BZ333" s="185" t="str">
        <f t="shared" ca="1" si="279"/>
        <v>Lenovo</v>
      </c>
      <c r="CA333" s="63"/>
      <c r="CB333" s="63"/>
      <c r="CC333" s="63"/>
      <c r="CD333" s="63"/>
      <c r="CE333" s="63"/>
      <c r="CF333" s="63"/>
      <c r="CG333" s="63"/>
      <c r="CH333" s="63"/>
      <c r="CI333" s="63"/>
      <c r="CJ333" s="63"/>
      <c r="CK333" s="63"/>
      <c r="CL333" s="63"/>
      <c r="CM333" s="63"/>
      <c r="CN333" s="63"/>
    </row>
    <row r="334" spans="2:94" ht="30" customHeight="1" outlineLevel="1" x14ac:dyDescent="0.35">
      <c r="B334" s="69" t="s">
        <v>59</v>
      </c>
      <c r="C334" s="98" t="s">
        <v>374</v>
      </c>
      <c r="D334" s="70"/>
      <c r="F334" s="157" t="str">
        <f t="shared" si="285"/>
        <v/>
      </c>
      <c r="G334" s="158">
        <f t="shared" ca="1" si="286"/>
        <v>150</v>
      </c>
      <c r="H334" s="158">
        <f t="shared" ca="1" si="286"/>
        <v>169</v>
      </c>
      <c r="I334" s="158">
        <f t="shared" ca="1" si="286"/>
        <v>150</v>
      </c>
      <c r="J334" s="73"/>
      <c r="BD334" s="63"/>
      <c r="BE334" s="63"/>
      <c r="BF334" s="63"/>
      <c r="BG334" s="63"/>
      <c r="BH334" s="63"/>
      <c r="BI334" s="63"/>
      <c r="BJ334" s="63"/>
      <c r="BK334" s="63"/>
      <c r="BL334" s="63"/>
      <c r="BM334" s="63"/>
      <c r="BN334" s="63"/>
      <c r="BP334" s="63"/>
      <c r="BQ334" s="63"/>
      <c r="BR334" s="63"/>
    </row>
    <row r="335" spans="2:94" ht="30" customHeight="1" outlineLevel="1" x14ac:dyDescent="0.35">
      <c r="B335" s="69" t="s">
        <v>343</v>
      </c>
      <c r="C335" s="61" t="s">
        <v>51</v>
      </c>
      <c r="D335" s="131" t="str">
        <f>IF("Ska Ingå"=D334,"Ska Ingå","")</f>
        <v/>
      </c>
      <c r="F335" s="88" t="str">
        <f t="shared" si="285"/>
        <v/>
      </c>
      <c r="G335" s="89" t="str">
        <f t="shared" ca="1" si="286"/>
        <v>DELTACO</v>
      </c>
      <c r="H335" s="89" t="str">
        <f t="shared" ca="1" si="286"/>
        <v>DELTACO</v>
      </c>
      <c r="I335" s="89" t="str">
        <f t="shared" ca="1" si="286"/>
        <v>DELTACO</v>
      </c>
      <c r="J335" s="54"/>
      <c r="BD335" s="63"/>
      <c r="BE335" s="63"/>
      <c r="BF335" s="63"/>
      <c r="BG335" s="63"/>
      <c r="BH335" s="63"/>
      <c r="BI335" s="63"/>
      <c r="BJ335" s="63"/>
      <c r="BK335" s="63"/>
      <c r="BL335" s="63"/>
      <c r="BM335" s="63"/>
      <c r="BN335" s="63"/>
      <c r="BP335" s="63"/>
      <c r="BQ335" s="63"/>
      <c r="BR335" s="63"/>
    </row>
    <row r="336" spans="2:94" ht="45" customHeight="1" outlineLevel="1" x14ac:dyDescent="0.35">
      <c r="B336" s="69" t="s">
        <v>348</v>
      </c>
      <c r="C336" s="99" t="s">
        <v>52</v>
      </c>
      <c r="D336" s="132" t="str">
        <f>IF("Ska Ingå"=D334,"Ska Ingå","")</f>
        <v/>
      </c>
      <c r="F336" s="90" t="str">
        <f t="shared" si="285"/>
        <v/>
      </c>
      <c r="G336" s="91" t="str">
        <f t="shared" ca="1" si="286"/>
        <v>GBX TB-631</v>
      </c>
      <c r="H336" s="91" t="str">
        <f t="shared" ca="1" si="286"/>
        <v>TB-631</v>
      </c>
      <c r="I336" s="91" t="str">
        <f t="shared" ca="1" si="286"/>
        <v>GBX TB-631</v>
      </c>
      <c r="BD336" s="63"/>
      <c r="BE336" s="63"/>
      <c r="BF336" s="63"/>
      <c r="BG336" s="63"/>
      <c r="BH336" s="63"/>
      <c r="BI336" s="63"/>
      <c r="BJ336" s="63"/>
      <c r="BK336" s="63"/>
      <c r="BL336" s="63"/>
      <c r="BM336" s="63"/>
      <c r="BN336" s="63"/>
      <c r="BP336" s="63"/>
      <c r="BQ336" s="63"/>
      <c r="BR336" s="63"/>
    </row>
    <row r="337" spans="2:92" ht="30" customHeight="1" outlineLevel="1" x14ac:dyDescent="0.35">
      <c r="B337" s="69" t="s">
        <v>227</v>
      </c>
      <c r="C337" s="95" t="s">
        <v>375</v>
      </c>
      <c r="D337" s="70"/>
      <c r="F337" s="159" t="str">
        <f t="shared" si="285"/>
        <v/>
      </c>
      <c r="G337" s="160">
        <f t="shared" ca="1" si="286"/>
        <v>399</v>
      </c>
      <c r="H337" s="160">
        <f t="shared" ca="1" si="286"/>
        <v>595</v>
      </c>
      <c r="I337" s="160">
        <f t="shared" ca="1" si="286"/>
        <v>839</v>
      </c>
      <c r="BD337" s="63"/>
      <c r="BE337" s="63"/>
      <c r="BF337" s="63"/>
      <c r="BG337" s="63"/>
      <c r="BH337" s="63"/>
      <c r="BI337" s="63"/>
      <c r="BJ337" s="63"/>
      <c r="BK337" s="63"/>
      <c r="BL337" s="63"/>
      <c r="BM337" s="63"/>
      <c r="BN337" s="63"/>
      <c r="BP337" s="63"/>
      <c r="BQ337" s="63"/>
      <c r="BR337" s="63"/>
    </row>
    <row r="338" spans="2:92" ht="30" customHeight="1" outlineLevel="1" x14ac:dyDescent="0.35">
      <c r="B338" s="69" t="s">
        <v>344</v>
      </c>
      <c r="C338" s="96" t="s">
        <v>51</v>
      </c>
      <c r="D338" s="131" t="str">
        <f>IF("Ska Ingå"=D337,"Ska Ingå","")</f>
        <v/>
      </c>
      <c r="F338" s="84" t="str">
        <f t="shared" si="285"/>
        <v/>
      </c>
      <c r="G338" s="85" t="str">
        <f t="shared" ca="1" si="286"/>
        <v>Kecow</v>
      </c>
      <c r="H338" s="85" t="str">
        <f t="shared" ca="1" si="286"/>
        <v xml:space="preserve">ZAGG </v>
      </c>
      <c r="I338" s="85" t="str">
        <f t="shared" ca="1" si="286"/>
        <v>Apple</v>
      </c>
      <c r="BD338" s="63"/>
      <c r="BE338" s="63"/>
      <c r="BF338" s="63"/>
      <c r="BG338" s="63"/>
      <c r="BH338" s="63"/>
      <c r="BI338" s="63"/>
      <c r="BJ338" s="63"/>
      <c r="BK338" s="63"/>
      <c r="BL338" s="63"/>
      <c r="BM338" s="63"/>
      <c r="BN338" s="63"/>
      <c r="BP338" s="63"/>
      <c r="BQ338" s="63"/>
      <c r="BR338" s="63"/>
    </row>
    <row r="339" spans="2:92" ht="67.5" customHeight="1" outlineLevel="1" x14ac:dyDescent="0.35">
      <c r="B339" s="69" t="s">
        <v>349</v>
      </c>
      <c r="C339" s="116" t="s">
        <v>52</v>
      </c>
      <c r="D339" s="132" t="str">
        <f>IF("Ska Ingå"=D337,"Ska Ingå","")</f>
        <v/>
      </c>
      <c r="F339" s="117" t="str">
        <f t="shared" si="285"/>
        <v/>
      </c>
      <c r="G339" s="118" t="str">
        <f t="shared" ca="1" si="286"/>
        <v>GBXPP2PENMAGNETIC</v>
      </c>
      <c r="H339" s="118" t="str">
        <f t="shared" ca="1" si="286"/>
        <v>109912139 - Pro Stylus 2 - Aktiv penna - grå</v>
      </c>
      <c r="I339" s="118" t="str">
        <f t="shared" ca="1" si="286"/>
        <v>MK0C2ZM/A</v>
      </c>
      <c r="BD339" s="63"/>
      <c r="BE339" s="63"/>
      <c r="BF339" s="63"/>
      <c r="BG339" s="63"/>
      <c r="BH339" s="63"/>
      <c r="BI339" s="63"/>
      <c r="BJ339" s="63"/>
      <c r="BK339" s="63"/>
      <c r="BL339" s="63"/>
      <c r="BM339" s="63"/>
      <c r="BN339" s="63"/>
      <c r="BP339" s="63"/>
      <c r="BQ339" s="63"/>
      <c r="BR339" s="63"/>
    </row>
    <row r="340" spans="2:92" ht="22.5" customHeight="1" outlineLevel="1" x14ac:dyDescent="0.35">
      <c r="B340" s="69"/>
      <c r="C340" s="212" t="s">
        <v>365</v>
      </c>
      <c r="D340" s="215"/>
      <c r="E340" s="213"/>
      <c r="F340" s="213"/>
      <c r="G340" s="213"/>
      <c r="H340" s="213"/>
      <c r="I340" s="214"/>
    </row>
    <row r="341" spans="2:92" ht="22.5" customHeight="1" outlineLevel="1" x14ac:dyDescent="0.35">
      <c r="B341" s="71" t="s">
        <v>228</v>
      </c>
      <c r="C341" s="115" t="s">
        <v>367</v>
      </c>
      <c r="D341" s="70"/>
      <c r="F341" s="161" t="str">
        <f>IF(F$312="Inget antal angivet","",IFERROR(INDEX($AN$313:$BZ$339,MATCH(F$309,$AL$313:$AL$339,0),MATCH($B341,$AN$313:$BZ$313,0)),""))</f>
        <v/>
      </c>
      <c r="G341" s="162">
        <f t="shared" ref="G341:I343" ca="1" si="287">IFERROR(INDEX($AN$313:$BZ$339,MATCH(G$309,$AL$313:$AL$339,0),MATCH($B341,$AN$313:$BZ$313,0)),"")</f>
        <v>570</v>
      </c>
      <c r="H341" s="162">
        <f t="shared" ca="1" si="287"/>
        <v>781</v>
      </c>
      <c r="I341" s="162">
        <f t="shared" ca="1" si="287"/>
        <v>514</v>
      </c>
    </row>
    <row r="342" spans="2:92" ht="22.5" customHeight="1" outlineLevel="1" x14ac:dyDescent="0.35">
      <c r="B342" s="71" t="s">
        <v>229</v>
      </c>
      <c r="C342" s="61" t="s">
        <v>369</v>
      </c>
      <c r="D342" s="70"/>
      <c r="F342" s="165" t="str">
        <f>IF(F$312="Inget antal angivet","",IFERROR(INDEX($AN$313:$BZ$339,MATCH(F$309,$AL$313:$AL$339,0),MATCH($B342,$AN$313:$BZ$313,0)),""))</f>
        <v/>
      </c>
      <c r="G342" s="166">
        <f t="shared" ca="1" si="287"/>
        <v>25</v>
      </c>
      <c r="H342" s="166">
        <f t="shared" ca="1" si="287"/>
        <v>50</v>
      </c>
      <c r="I342" s="166">
        <f t="shared" ca="1" si="287"/>
        <v>25</v>
      </c>
    </row>
    <row r="343" spans="2:92" ht="22.5" customHeight="1" outlineLevel="1" x14ac:dyDescent="0.35">
      <c r="B343" s="71" t="s">
        <v>230</v>
      </c>
      <c r="C343" s="96" t="s">
        <v>370</v>
      </c>
      <c r="D343" s="70"/>
      <c r="F343" s="163" t="str">
        <f>IF(F$312="Inget antal angivet","",IFERROR(INDEX($AN$313:$BZ$339,MATCH(F$309,$AL$313:$AL$339,0),MATCH($B343,$AN$313:$BZ$313,0)),""))</f>
        <v/>
      </c>
      <c r="G343" s="164">
        <f t="shared" ca="1" si="287"/>
        <v>25</v>
      </c>
      <c r="H343" s="164">
        <f t="shared" ca="1" si="287"/>
        <v>50</v>
      </c>
      <c r="I343" s="164">
        <f t="shared" ca="1" si="287"/>
        <v>25</v>
      </c>
    </row>
    <row r="344" spans="2:92" ht="22.5" customHeight="1" outlineLevel="1" x14ac:dyDescent="0.35"/>
    <row r="345" spans="2:92" ht="22.5" customHeight="1" x14ac:dyDescent="0.35"/>
    <row r="346" spans="2:92" ht="22.5" customHeight="1" x14ac:dyDescent="0.35">
      <c r="D346" s="72" t="s">
        <v>233</v>
      </c>
      <c r="F346" s="221" t="s">
        <v>252</v>
      </c>
      <c r="G346" s="221"/>
      <c r="H346" s="221"/>
      <c r="I346" s="222"/>
    </row>
    <row r="347" spans="2:92" ht="22.5" customHeight="1" x14ac:dyDescent="0.35">
      <c r="D347" s="74"/>
      <c r="F347" s="202" t="str">
        <f ca="1">IFERROR(INDEX($Z$314:$Z$337,MATCH(F309,$AA$314:$AA$337,0))*D347,"")</f>
        <v/>
      </c>
      <c r="G347" s="202">
        <f ca="1">IFERROR(P314 *D347,"")</f>
        <v>0</v>
      </c>
      <c r="H347" s="202">
        <f ca="1">IFERROR(P315 *D347,"")</f>
        <v>0</v>
      </c>
      <c r="I347" s="202">
        <f ca="1">IFERROR(P316 * D347,"")</f>
        <v>0</v>
      </c>
    </row>
    <row r="349" spans="2:92" ht="15" thickBot="1" x14ac:dyDescent="0.4">
      <c r="C349" s="174"/>
      <c r="D349" s="174"/>
      <c r="E349" s="174"/>
      <c r="F349" s="174"/>
      <c r="G349" s="174"/>
      <c r="H349" s="174"/>
      <c r="I349" s="174"/>
    </row>
    <row r="350" spans="2:92" ht="15" thickTop="1" x14ac:dyDescent="0.35"/>
    <row r="352" spans="2:92" ht="71.25" customHeight="1" collapsed="1" x14ac:dyDescent="0.35">
      <c r="C352" s="53"/>
      <c r="D352" s="53"/>
      <c r="F352" s="50" t="e">
        <f ca="1">N356</f>
        <v>#N/A</v>
      </c>
      <c r="G352" s="50" t="str">
        <f ca="1">INDEX(AA357:AA382,MATCH(P357,Z357:Z382,0))</f>
        <v>Offererad produktnr. 07Qlosr Göteborg AB</v>
      </c>
      <c r="H352" s="50" t="str">
        <f ca="1">INDEX(AA356:AA381,MATCH(P358,Z356:Z381,0))</f>
        <v>Offererad produktnr. 07Advania Sverige AB</v>
      </c>
      <c r="I352" s="50" t="str">
        <f ca="1">INDEX(AA356:AA381,MATCH(P359,Z356:Z381,0))</f>
        <v>Offererad produktnr. 08Qlosr Göteborg AB</v>
      </c>
      <c r="AN352" s="12" t="s">
        <v>124</v>
      </c>
      <c r="AO352" s="12" t="s">
        <v>124</v>
      </c>
      <c r="AP352" s="12" t="s">
        <v>124</v>
      </c>
      <c r="AQ352" s="12" t="s">
        <v>124</v>
      </c>
      <c r="AR352" s="12" t="s">
        <v>124</v>
      </c>
      <c r="AS352" s="12" t="s">
        <v>124</v>
      </c>
      <c r="AT352" s="12" t="s">
        <v>124</v>
      </c>
      <c r="AU352" s="12" t="s">
        <v>124</v>
      </c>
      <c r="AV352" s="12" t="s">
        <v>124</v>
      </c>
      <c r="AW352" s="12" t="s">
        <v>124</v>
      </c>
      <c r="AX352" s="12" t="s">
        <v>124</v>
      </c>
      <c r="AY352" s="12" t="s">
        <v>124</v>
      </c>
      <c r="AZ352" s="12" t="s">
        <v>124</v>
      </c>
      <c r="BA352" s="12" t="s">
        <v>124</v>
      </c>
      <c r="BB352" s="12" t="s">
        <v>124</v>
      </c>
      <c r="BC352" s="12" t="s">
        <v>124</v>
      </c>
      <c r="BD352" s="12" t="s">
        <v>124</v>
      </c>
      <c r="BE352" s="12" t="s">
        <v>124</v>
      </c>
      <c r="BF352" s="12" t="s">
        <v>124</v>
      </c>
      <c r="BG352" s="12" t="s">
        <v>124</v>
      </c>
      <c r="BH352" s="12" t="s">
        <v>124</v>
      </c>
      <c r="BI352" s="12" t="s">
        <v>124</v>
      </c>
      <c r="BJ352" s="12" t="s">
        <v>124</v>
      </c>
      <c r="BK352" s="12" t="s">
        <v>124</v>
      </c>
      <c r="BL352" s="12" t="s">
        <v>124</v>
      </c>
      <c r="BM352" s="12" t="s">
        <v>124</v>
      </c>
      <c r="BN352" s="12" t="s">
        <v>124</v>
      </c>
      <c r="BO352" s="12" t="s">
        <v>124</v>
      </c>
      <c r="BP352" s="12" t="s">
        <v>124</v>
      </c>
      <c r="BQ352" s="12" t="s">
        <v>124</v>
      </c>
      <c r="BR352" s="12" t="s">
        <v>124</v>
      </c>
      <c r="BS352" s="12" t="s">
        <v>124</v>
      </c>
      <c r="BT352" s="12" t="s">
        <v>124</v>
      </c>
      <c r="BU352" s="12" t="s">
        <v>124</v>
      </c>
      <c r="BV352" s="12" t="s">
        <v>124</v>
      </c>
      <c r="BW352" s="12"/>
      <c r="BX352" s="12"/>
      <c r="BY352" s="12" t="s">
        <v>124</v>
      </c>
      <c r="BZ352" s="12" t="s">
        <v>124</v>
      </c>
      <c r="CA352" s="12"/>
      <c r="CB352" s="12"/>
      <c r="CC352" s="12"/>
      <c r="CD352" s="12"/>
      <c r="CE352" s="12"/>
      <c r="CF352" s="12"/>
      <c r="CG352" s="12"/>
      <c r="CH352" s="12"/>
      <c r="CI352" s="12"/>
      <c r="CJ352" s="12"/>
      <c r="CK352" s="12"/>
      <c r="CL352" s="12"/>
      <c r="CM352" s="12"/>
      <c r="CN352" s="12"/>
    </row>
    <row r="353" spans="2:92" ht="25.5" customHeight="1" thickBot="1" x14ac:dyDescent="0.4">
      <c r="C353" s="53"/>
      <c r="D353" s="53"/>
      <c r="F353" s="140" t="s">
        <v>446</v>
      </c>
      <c r="G353" s="205" t="s">
        <v>447</v>
      </c>
      <c r="H353" s="205"/>
      <c r="I353" s="205"/>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row>
    <row r="354" spans="2:92" ht="22.5" customHeight="1" thickBot="1" x14ac:dyDescent="0.4">
      <c r="B354" t="str">
        <f ca="1" xml:space="preserve"> "Produkt "  &amp; B355</f>
        <v>Produkt 9</v>
      </c>
      <c r="C354" s="206" t="str">
        <f>IF(F355="Ingen produkt motsvarar","Felmeddelande",IF(COUNTIF($P$1:$P$6,TRUE)&gt;0,"","Felmeddelande"))</f>
        <v/>
      </c>
      <c r="D354" s="207"/>
      <c r="F354" s="218" t="s">
        <v>271</v>
      </c>
      <c r="G354" s="218"/>
      <c r="H354" s="218"/>
      <c r="I354" s="219"/>
      <c r="O354">
        <v>1</v>
      </c>
      <c r="AN354" s="13" t="str">
        <f t="shared" ref="AN354:AX354" si="288">AN356</f>
        <v>Operativsystem</v>
      </c>
      <c r="AO354" s="13" t="str">
        <f t="shared" si="288"/>
        <v>Skärmstorlek (tum)</v>
      </c>
      <c r="AP354" s="13" t="str">
        <f t="shared" si="288"/>
        <v>Upplösning</v>
      </c>
      <c r="AQ354" s="13" t="str">
        <f t="shared" si="288"/>
        <v>Lagringsutrymme</v>
      </c>
      <c r="AR354" s="13" t="str">
        <f t="shared" si="288"/>
        <v>Kommunikation Bluetooth</v>
      </c>
      <c r="AS354" s="13" t="str">
        <f t="shared" si="288"/>
        <v>Kommunikation WLAN</v>
      </c>
      <c r="AT354" s="13" t="str">
        <f t="shared" si="288"/>
        <v>Batteritid (tim)</v>
      </c>
      <c r="AU354" s="13" t="str">
        <f t="shared" si="288"/>
        <v>Miljömärkning</v>
      </c>
      <c r="AV354" s="13" t="str">
        <f t="shared" si="288"/>
        <v>Kommunikation WLAN</v>
      </c>
      <c r="AW354" s="13" t="str">
        <f t="shared" si="288"/>
        <v>Kommunikation Bluetooth</v>
      </c>
      <c r="AX354" s="13" t="str">
        <f t="shared" si="288"/>
        <v>Batteritid (tim)</v>
      </c>
      <c r="AY354" s="13" t="s">
        <v>52</v>
      </c>
      <c r="AZ354" s="13" t="str">
        <f>AZ356</f>
        <v>Låsskydd</v>
      </c>
      <c r="BA354" s="13" t="str">
        <f>BA356</f>
        <v>Operativsystem</v>
      </c>
      <c r="BB354" s="13" t="str">
        <f>BB356</f>
        <v>Pris</v>
      </c>
      <c r="BC354" t="s">
        <v>224</v>
      </c>
      <c r="BD354" s="100" t="s">
        <v>340</v>
      </c>
      <c r="BE354" s="100" t="s">
        <v>341</v>
      </c>
      <c r="BF354" s="100" t="s">
        <v>342</v>
      </c>
      <c r="BG354" s="100" t="s">
        <v>343</v>
      </c>
      <c r="BH354" s="100" t="s">
        <v>344</v>
      </c>
      <c r="BI354" s="100" t="s">
        <v>345</v>
      </c>
      <c r="BJ354" s="100" t="s">
        <v>346</v>
      </c>
      <c r="BK354" s="100" t="s">
        <v>347</v>
      </c>
      <c r="BL354" s="100" t="s">
        <v>348</v>
      </c>
      <c r="BM354" s="100" t="s">
        <v>349</v>
      </c>
      <c r="BN354" s="56" t="s">
        <v>53</v>
      </c>
      <c r="BO354" s="56" t="s">
        <v>54</v>
      </c>
      <c r="BP354" s="56" t="s">
        <v>55</v>
      </c>
      <c r="BQ354" s="56" t="s">
        <v>59</v>
      </c>
      <c r="BR354" s="56" t="s">
        <v>227</v>
      </c>
      <c r="BS354" s="57" t="s">
        <v>228</v>
      </c>
      <c r="BT354" s="57" t="s">
        <v>229</v>
      </c>
      <c r="BU354" s="57" t="s">
        <v>230</v>
      </c>
      <c r="BV354" s="57" t="s">
        <v>231</v>
      </c>
      <c r="BW354" s="57"/>
      <c r="BX354" s="57"/>
      <c r="BY354" s="57" t="s">
        <v>6</v>
      </c>
      <c r="BZ354" s="4" t="s">
        <v>51</v>
      </c>
      <c r="CA354" s="13"/>
      <c r="CB354" s="13"/>
      <c r="CC354" s="13"/>
      <c r="CD354" s="13"/>
      <c r="CE354" s="13"/>
      <c r="CF354" s="13"/>
      <c r="CG354" s="13"/>
      <c r="CH354" s="13"/>
      <c r="CI354" s="13"/>
      <c r="CJ354" s="13"/>
      <c r="CK354" s="13"/>
      <c r="CL354" s="13"/>
      <c r="CM354" s="13"/>
      <c r="CN354" s="13"/>
    </row>
    <row r="355" spans="2:92" ht="22.5" customHeight="1" x14ac:dyDescent="0.35">
      <c r="B355">
        <f ca="1">COUNTIF($F$7:F358,"Produkt I varukorg*")</f>
        <v>9</v>
      </c>
      <c r="F355" s="51" t="str">
        <f>IF(D390&lt;1,"Inget antal angivet",IFERROR(INDEX($Z$357:$Z$380,MATCH(F352,$AA$357:$AA$380,0)),"Ingen produkt motsvarar"))</f>
        <v>Inget antal angivet</v>
      </c>
      <c r="G355" s="52">
        <f ca="1">IFERROR(P357,"Ingen produkt motsvarar")</f>
        <v>1700</v>
      </c>
      <c r="H355" s="52">
        <f ca="1">IFERROR(P358,"")</f>
        <v>2084</v>
      </c>
      <c r="I355" s="52">
        <f ca="1">IFERROR(P359,"")</f>
        <v>3205</v>
      </c>
      <c r="AA355" t="str">
        <f>IF(COUNTIF(AB355:AI355,FALSE)&gt;0,AL355,"")</f>
        <v/>
      </c>
      <c r="AB355" t="b">
        <f>IF($D$360="",TRUE,IF(AN355=$D$360,TRUE,FALSE))</f>
        <v>1</v>
      </c>
      <c r="AC355" t="b">
        <f>IF(D357="",TRUE,IF(AO355=$D$361,TRUE,FALSE))</f>
        <v>1</v>
      </c>
      <c r="AD355" t="b">
        <f>IF(D360="",TRUE,IF(AP355=D360,TRUE,FALSE))</f>
        <v>1</v>
      </c>
      <c r="AE355" t="b">
        <f>IF(D361="",TRUE,IF(AQ355=D361,TRUE,FALSE))</f>
        <v>1</v>
      </c>
      <c r="AF355" t="b">
        <f>IF(D362="",TRUE,IF(AR355=D362,TRUE,FALSE))</f>
        <v>1</v>
      </c>
      <c r="AG355" t="b">
        <f>IF(D363="",TRUE,IF(AS355=D363,TRUE,FALSE))</f>
        <v>1</v>
      </c>
      <c r="AH355" t="b">
        <f>IF(D359="",TRUE,IF(AT355=D359,TRUE,FALSE))</f>
        <v>1</v>
      </c>
      <c r="AI355" t="b">
        <f>IF(D358="",TRUE,IF(AV355=D358,TRUE,FALSE))</f>
        <v>1</v>
      </c>
      <c r="AL355" t="s">
        <v>126</v>
      </c>
      <c r="AN355" s="58" t="str">
        <f t="shared" ref="AN355:BL355" ca="1" si="289">IFERROR(INDEX(INDIRECT(AN$352&amp;"!$A$10:CC100000"),MATCH($AL355,INDIRECT(AN$352&amp;"!BH$10:BH100000"),0),MATCH(AN$354,INDIRECT(AN$352&amp;"!a10:CC10"),0)),"False")</f>
        <v>False</v>
      </c>
      <c r="AO355" s="58" t="str">
        <f t="shared" ca="1" si="289"/>
        <v>False</v>
      </c>
      <c r="AP355" s="58" t="str">
        <f t="shared" ca="1" si="289"/>
        <v>False</v>
      </c>
      <c r="AQ355" s="58" t="str">
        <f t="shared" ca="1" si="289"/>
        <v>False</v>
      </c>
      <c r="AR355" s="58" t="str">
        <f t="shared" ca="1" si="289"/>
        <v>False</v>
      </c>
      <c r="AS355" s="58" t="str">
        <f t="shared" ca="1" si="289"/>
        <v>False</v>
      </c>
      <c r="AT355" s="58" t="str">
        <f t="shared" ca="1" si="289"/>
        <v>False</v>
      </c>
      <c r="AU355" s="58" t="str">
        <f t="shared" ca="1" si="289"/>
        <v>False</v>
      </c>
      <c r="AV355" s="58" t="str">
        <f t="shared" ca="1" si="289"/>
        <v>False</v>
      </c>
      <c r="AW355" s="58" t="str">
        <f t="shared" ca="1" si="289"/>
        <v>False</v>
      </c>
      <c r="AX355" s="58" t="str">
        <f t="shared" ca="1" si="289"/>
        <v>False</v>
      </c>
      <c r="AY355" s="58" t="str">
        <f t="shared" ca="1" si="289"/>
        <v>False</v>
      </c>
      <c r="AZ355" s="58" t="str">
        <f t="shared" ca="1" si="289"/>
        <v>False</v>
      </c>
      <c r="BA355" s="58" t="str">
        <f t="shared" ca="1" si="289"/>
        <v>False</v>
      </c>
      <c r="BB355" s="58" t="str">
        <f t="shared" ca="1" si="289"/>
        <v>False</v>
      </c>
      <c r="BC355" s="58" t="str">
        <f t="shared" ca="1" si="289"/>
        <v>False</v>
      </c>
      <c r="BD355" s="58" t="str">
        <f t="shared" ca="1" si="289"/>
        <v>False</v>
      </c>
      <c r="BE355" s="58" t="str">
        <f t="shared" ca="1" si="289"/>
        <v>False</v>
      </c>
      <c r="BF355" s="58" t="str">
        <f t="shared" ca="1" si="289"/>
        <v>False</v>
      </c>
      <c r="BG355" s="58" t="str">
        <f t="shared" ca="1" si="289"/>
        <v>False</v>
      </c>
      <c r="BH355" s="58" t="str">
        <f t="shared" ca="1" si="289"/>
        <v>False</v>
      </c>
      <c r="BI355" s="58" t="str">
        <f t="shared" ca="1" si="289"/>
        <v>False</v>
      </c>
      <c r="BJ355" s="58" t="str">
        <f t="shared" ca="1" si="289"/>
        <v>False</v>
      </c>
      <c r="BK355" s="58" t="str">
        <f t="shared" ca="1" si="289"/>
        <v>False</v>
      </c>
      <c r="BL355" s="58" t="str">
        <f t="shared" ca="1" si="289"/>
        <v>False</v>
      </c>
      <c r="BM355" s="58"/>
      <c r="BN355" s="58" t="str">
        <f t="shared" ref="BN355:BV355" ca="1" si="290">IFERROR(INDEX(INDIRECT(BN$352&amp;"!$A$10:CC100000"),MATCH($AL355,INDIRECT(BN$352&amp;"!BH$10:BH100000"),0),MATCH(BN$354,INDIRECT(BN$352&amp;"!a10:CC10"),0)),"False")</f>
        <v>False</v>
      </c>
      <c r="BO355" s="58" t="str">
        <f t="shared" ca="1" si="290"/>
        <v>False</v>
      </c>
      <c r="BP355" s="58" t="str">
        <f t="shared" ca="1" si="290"/>
        <v>False</v>
      </c>
      <c r="BQ355" s="58" t="str">
        <f t="shared" ca="1" si="290"/>
        <v>False</v>
      </c>
      <c r="BR355" s="58" t="str">
        <f t="shared" ca="1" si="290"/>
        <v>False</v>
      </c>
      <c r="BS355" s="58" t="str">
        <f t="shared" ca="1" si="290"/>
        <v>False</v>
      </c>
      <c r="BT355" s="58" t="str">
        <f t="shared" ca="1" si="290"/>
        <v>False</v>
      </c>
      <c r="BU355" s="58" t="str">
        <f t="shared" ca="1" si="290"/>
        <v>False</v>
      </c>
      <c r="BV355" s="58" t="str">
        <f t="shared" ca="1" si="290"/>
        <v>False</v>
      </c>
      <c r="BW355" s="58"/>
      <c r="BX355" s="58"/>
      <c r="BY355" s="58" t="str">
        <f ca="1">IFERROR(INDEX(INDIRECT(BY$352&amp;"!$A$10:CC100000"),MATCH($AL355,INDIRECT(BY$352&amp;"!BH$10:BH100000"),0),MATCH(BY$354,INDIRECT(BY$352&amp;"!a10:CC10"),0)),"False")</f>
        <v>False</v>
      </c>
      <c r="BZ355" s="58" t="str">
        <f ca="1">IFERROR(INDEX(INDIRECT(BZ$352&amp;"!$A$10:CC100000"),MATCH($AL355,INDIRECT(BZ$352&amp;"!BH$10:BH100000"),0),MATCH(BZ$354,INDIRECT(BZ$352&amp;"!a10:CC10"),0)),"False")</f>
        <v>False</v>
      </c>
      <c r="CA355" s="58"/>
      <c r="CB355" s="58"/>
      <c r="CC355" s="58"/>
      <c r="CD355" s="58"/>
      <c r="CE355" s="58"/>
      <c r="CF355" s="58"/>
      <c r="CG355" s="58"/>
      <c r="CH355" s="58"/>
      <c r="CI355" s="58"/>
      <c r="CJ355" s="58"/>
      <c r="CK355" s="58"/>
      <c r="CL355" s="58"/>
      <c r="CM355" s="58"/>
      <c r="CN355" s="58"/>
    </row>
    <row r="356" spans="2:92" ht="22.5" customHeight="1" x14ac:dyDescent="0.35">
      <c r="C356" s="210" t="str">
        <f ca="1" xml:space="preserve"> "Surfplatta "  &amp; RIGHT("00" &amp; B355,2)</f>
        <v>Surfplatta 09</v>
      </c>
      <c r="D356" s="211"/>
      <c r="F356" s="92" t="str">
        <f>IF(F355="Inget antal angivet","",IFERROR(INDEX($AN$356:$BZ$382,MATCH(F$352,$AL$356:$AL$382,0),MATCH("Modellbenämning",$AN$356:$BZ$356,0)),""))</f>
        <v/>
      </c>
      <c r="G356" s="92" t="str">
        <f ca="1">IFERROR(INDEX($AN$356:$BZ$382,MATCH(G$352,$AL$356:$AL$382,0),MATCH("Modellbenämning",$AN$356:$BZ$356,0)),"")</f>
        <v>M10 FHD G2</v>
      </c>
      <c r="H356" s="92" t="str">
        <f ca="1">IFERROR(INDEX($AN$356:$BZ$382,MATCH(H$352,$AL$356:$AL$382,0),MATCH("Modellbenämning",$AN$356:$BZ$356,0)),"")</f>
        <v>Tab M10 (3rd Gen)</v>
      </c>
      <c r="I356" s="92" t="str">
        <f ca="1">IFERROR(INDEX($AN$356:$BZ$382,MATCH(I$352,$AL$356:$AL$382,0),MATCH("Modellbenämning",$AN$356:$BZ$356,0)),"")</f>
        <v>iPad 9th gen (2021)</v>
      </c>
      <c r="J356" s="93"/>
      <c r="K356" s="92"/>
      <c r="L356" s="92"/>
      <c r="M356" s="92"/>
      <c r="N356" s="92" t="e">
        <f ca="1">INDEX($N$357:$N$362,MATCH(Överblick!$L$2,$M$357:$M$362,0))</f>
        <v>#N/A</v>
      </c>
      <c r="O356" s="92"/>
      <c r="P356" s="92"/>
      <c r="Q356" s="92"/>
      <c r="R356" s="92">
        <v>1</v>
      </c>
      <c r="S356" s="92">
        <v>2</v>
      </c>
      <c r="T356" s="92">
        <v>3</v>
      </c>
      <c r="U356" s="92">
        <v>5</v>
      </c>
      <c r="V356" s="92">
        <v>6</v>
      </c>
      <c r="W356" s="92">
        <v>7</v>
      </c>
      <c r="X356" s="92">
        <v>8</v>
      </c>
      <c r="Y356" s="92">
        <v>9</v>
      </c>
      <c r="Z356" s="92"/>
      <c r="AA356" s="92" t="s">
        <v>122</v>
      </c>
      <c r="AB356" s="92" t="s">
        <v>3</v>
      </c>
      <c r="AC356" s="92" t="s">
        <v>7</v>
      </c>
      <c r="AD356" s="92" t="s">
        <v>2</v>
      </c>
      <c r="AE356" s="92" t="s">
        <v>17</v>
      </c>
      <c r="AF356" s="92" t="s">
        <v>75</v>
      </c>
      <c r="AG356" s="92" t="s">
        <v>103</v>
      </c>
      <c r="AH356" s="92" t="s">
        <v>120</v>
      </c>
      <c r="AI356" s="92" t="s">
        <v>39</v>
      </c>
      <c r="AJ356" s="92"/>
      <c r="AK356" s="92"/>
      <c r="AL356" s="92" t="s">
        <v>222</v>
      </c>
      <c r="AM356" s="92">
        <v>1</v>
      </c>
      <c r="AN356" s="92" t="s">
        <v>3</v>
      </c>
      <c r="AO356" s="92" t="s">
        <v>7</v>
      </c>
      <c r="AP356" s="92" t="s">
        <v>2</v>
      </c>
      <c r="AQ356" s="92" t="s">
        <v>17</v>
      </c>
      <c r="AR356" s="92" t="s">
        <v>75</v>
      </c>
      <c r="AS356" s="92" t="s">
        <v>103</v>
      </c>
      <c r="AT356" s="92" t="s">
        <v>120</v>
      </c>
      <c r="AU356" s="92" t="s">
        <v>39</v>
      </c>
      <c r="AV356" s="92" t="s">
        <v>103</v>
      </c>
      <c r="AW356" s="92" t="s">
        <v>75</v>
      </c>
      <c r="AX356" s="92" t="s">
        <v>120</v>
      </c>
      <c r="AY356" s="92" t="s">
        <v>52</v>
      </c>
      <c r="AZ356" s="92" t="s">
        <v>37</v>
      </c>
      <c r="BA356" s="92" t="s">
        <v>3</v>
      </c>
      <c r="BB356" s="92" t="s">
        <v>25</v>
      </c>
      <c r="BC356" s="92" t="s">
        <v>25</v>
      </c>
      <c r="BD356" s="92" t="s">
        <v>340</v>
      </c>
      <c r="BE356" s="92" t="s">
        <v>341</v>
      </c>
      <c r="BF356" s="92" t="s">
        <v>342</v>
      </c>
      <c r="BG356" s="92" t="s">
        <v>343</v>
      </c>
      <c r="BH356" s="92" t="s">
        <v>344</v>
      </c>
      <c r="BI356" s="92" t="s">
        <v>345</v>
      </c>
      <c r="BJ356" s="92" t="s">
        <v>346</v>
      </c>
      <c r="BK356" s="92" t="s">
        <v>347</v>
      </c>
      <c r="BL356" s="92" t="s">
        <v>348</v>
      </c>
      <c r="BM356" s="92" t="s">
        <v>349</v>
      </c>
      <c r="BN356" s="92" t="s">
        <v>53</v>
      </c>
      <c r="BO356" s="92" t="s">
        <v>54</v>
      </c>
      <c r="BP356" s="92" t="s">
        <v>55</v>
      </c>
      <c r="BQ356" s="92" t="s">
        <v>59</v>
      </c>
      <c r="BR356" s="92" t="s">
        <v>227</v>
      </c>
      <c r="BS356" s="92" t="s">
        <v>228</v>
      </c>
      <c r="BT356" s="92" t="s">
        <v>229</v>
      </c>
      <c r="BU356" s="92" t="s">
        <v>230</v>
      </c>
      <c r="BV356" s="92" t="s">
        <v>231</v>
      </c>
      <c r="BW356" s="92"/>
      <c r="BX356" s="92"/>
      <c r="BY356" s="92" t="s">
        <v>6</v>
      </c>
      <c r="BZ356" s="92" t="s">
        <v>51</v>
      </c>
      <c r="CA356" s="92" t="s">
        <v>2</v>
      </c>
      <c r="CB356" s="92" t="s">
        <v>17</v>
      </c>
      <c r="CC356" s="92" t="s">
        <v>75</v>
      </c>
      <c r="CD356" s="92" t="s">
        <v>103</v>
      </c>
      <c r="CE356" s="92" t="s">
        <v>7</v>
      </c>
      <c r="CF356" s="92" t="s">
        <v>120</v>
      </c>
      <c r="CG356" s="92" t="s">
        <v>3</v>
      </c>
      <c r="CH356" s="92" t="s">
        <v>39</v>
      </c>
      <c r="CI356" s="92" t="s">
        <v>103</v>
      </c>
      <c r="CJ356" s="92" t="s">
        <v>75</v>
      </c>
      <c r="CK356" s="92" t="s">
        <v>120</v>
      </c>
      <c r="CL356" s="92" t="s">
        <v>38</v>
      </c>
      <c r="CM356" s="92" t="s">
        <v>37</v>
      </c>
      <c r="CN356" s="92" t="s">
        <v>3</v>
      </c>
    </row>
    <row r="357" spans="2:92" ht="22.5" customHeight="1" outlineLevel="1" x14ac:dyDescent="0.35">
      <c r="C357" s="210" t="s">
        <v>261</v>
      </c>
      <c r="D357" s="211"/>
      <c r="F357" s="76" t="str">
        <f>IF(F355="Inget antal angivet","",IFERROR(INDEX($AN$356:$BZ$382,MATCH(F$352,$AL$356:$AL$382,0),MATCH("Varumärke",$AN$356:$BZ$356,0)),""))</f>
        <v/>
      </c>
      <c r="G357" s="77" t="str">
        <f ca="1">IFERROR(INDEX($AN$356:$BZ$382,MATCH(G$352,$AL$356:$AL$382,0),MATCH("Varumärke",$AN$356:$BZ$356,0)),"")</f>
        <v>Lenovo</v>
      </c>
      <c r="H357" s="77" t="str">
        <f ca="1">IFERROR(INDEX($AN$356:$BZ$382,MATCH(H$352,$AL$356:$AL$382,0),MATCH("Varumärke",$AN$356:$BZ$356,0)),"")</f>
        <v>Lenovo</v>
      </c>
      <c r="I357" s="119" t="str">
        <f ca="1">IFERROR(INDEX($AN$356:$BZ$382,MATCH(I$352,$AL$356:$AL$382,0),MATCH("Varumärke",$AN$356:$BZ$356,0)),"")</f>
        <v>Apple</v>
      </c>
      <c r="K357" s="185">
        <f t="shared" ref="K357:K362" ca="1" si="291">O357*$D$390</f>
        <v>0</v>
      </c>
      <c r="L357" s="185" t="b">
        <f t="shared" ref="L357:L362" si="292">IF($D$390=0,TRUE,IF(K357=0,FALSE,TRUE))</f>
        <v>1</v>
      </c>
      <c r="M357" s="185" t="s">
        <v>162</v>
      </c>
      <c r="N357" s="185" t="str">
        <f t="shared" ref="N357:N362" ca="1" si="293">IFERROR(INDEX($AA$357:$AA$382,MATCH(O357,$Z$357:$Z$382,0)),"")</f>
        <v>Offererad produktnr. 07Advania Sverige AB</v>
      </c>
      <c r="O357" s="185" cm="1">
        <f t="array" aca="1" ref="O357" ca="1">MIN(IF(($BY$357:$BY$380=M357)*($AM$357:$AM$380=$O$354),$Z$357:$Z$380))</f>
        <v>2084</v>
      </c>
      <c r="P357" s="197">
        <f ca="1">SMALL($Z$357:$Z$382,1)</f>
        <v>1700</v>
      </c>
      <c r="Q357" s="185">
        <f t="shared" ref="Q357:Q376" si="294">SUM(R357:Y357)</f>
        <v>0</v>
      </c>
      <c r="R357" s="185">
        <f t="shared" ref="R357:R376" si="295">IF($D$368="",0,BN357)</f>
        <v>0</v>
      </c>
      <c r="S357" s="185">
        <f t="shared" ref="S357:S376" si="296">IF($D$371="",0,BO357)</f>
        <v>0</v>
      </c>
      <c r="T357" s="185">
        <f t="shared" ref="T357:T376" si="297">IF($D$374="",0,BP357)</f>
        <v>0</v>
      </c>
      <c r="U357" s="185">
        <f t="shared" ref="U357:U376" si="298">IF($D$377="",0,BQ357)</f>
        <v>0</v>
      </c>
      <c r="V357" s="185">
        <f t="shared" ref="V357:V376" si="299">IF($D$380="",0,BR357)</f>
        <v>0</v>
      </c>
      <c r="W357" s="185">
        <f t="shared" ref="W357:W376" si="300">IF($D$384="",0,BS357)</f>
        <v>0</v>
      </c>
      <c r="X357" s="185">
        <f t="shared" ref="X357:X376" si="301">IF($D$385="",0,BT357)</f>
        <v>0</v>
      </c>
      <c r="Y357" s="185">
        <f t="shared" ref="Y357:Y376" si="302">IF($D$386="",0,BU357)</f>
        <v>0</v>
      </c>
      <c r="Z357" s="196">
        <f t="shared" ref="Z357:Z376" ca="1" si="303">IF(AA357="","",SUM(BC357,R357:Y357))</f>
        <v>2084</v>
      </c>
      <c r="AA357" s="185" t="str">
        <f t="shared" ref="AA357:AA376" si="304">IF(COUNTIF(AB357:AK357,FALSE)&gt;0,"",AL357)</f>
        <v>Offererad produktnr. 07Advania Sverige AB</v>
      </c>
      <c r="AB357" s="185" t="b">
        <f>IF(D358="",TRUE,IF(COUNTIF(Processor!$M$2:$M$3,D358)=0,IF(AN357=D358,TRUE,FALSE),IF(COUNTIF(AN357,INDEX(Processor!$N$2:$N$3,MATCH(Surfplattor!D358,Processor!$M$2:$M$3,0)))&gt;0,TRUE,FALSE)))</f>
        <v>1</v>
      </c>
      <c r="AC357" s="185" t="b">
        <f>IF($D$359="",TRUE,IF(COUNTIF(Processor!$I$2:$I$9,$D$359)&gt;0,AND(AO357&gt;INDEX(Processor!$J$2:$J$9,MATCH($D$359,Processor!$I$2:$I$9,0)),AO357&lt;INDEX(Processor!$K$2:$K$9,MATCH($D$359,Processor!$I$2:$I$9,0))),IF(AO357=$D$359,TRUE,FALSE)))</f>
        <v>1</v>
      </c>
      <c r="AD357" s="185" t="b">
        <f t="shared" ref="AD357:AD376" si="305">IFERROR(IF($D$360="",TRUE,IF(AND(IF(LEFT($D$360,4)*1&lt;=1*LEFT(AP357,4),TRUE,FALSE),IF(RIGHT(AP357,4)*1&gt;=1*RIGHT($D$360,4),TRUE,FALSE)),TRUE,FALSE)),0)</f>
        <v>1</v>
      </c>
      <c r="AE357" s="185" t="b">
        <f t="shared" ref="AE357:AE376" si="306">IF($D$361="",TRUE,IF(AQ357&gt;=$D$361,TRUE,FALSE))</f>
        <v>1</v>
      </c>
      <c r="AF357" s="185" t="b">
        <f t="shared" ref="AF357:AF376" si="307">IF($D$362="",TRUE,IF(AR357&gt;=$D$362,TRUE,FALSE))</f>
        <v>1</v>
      </c>
      <c r="AG357" s="185" t="b">
        <f t="shared" ref="AG357:AG376" si="308">IF($D$363="",TRUE,IF($D$363="802.11a/b/g/n/ac",TRUE,IF(AS357&gt;=$D$363,TRUE,FALSE)))</f>
        <v>1</v>
      </c>
      <c r="AH357" s="185" t="b">
        <f>IF($D$364="",TRUE,IF(INDEX(Processor!$C$14:$C$20,MATCH(LEFT(AT357,10)&amp;"",Processor!$A$14:$A$20,0))&gt;=INDEX(Processor!$C$14:$C$20,MATCH(LEFT($D$364,10)&amp;"",Processor!$A$14:$A$20,0)),TRUE,FALSE))</f>
        <v>1</v>
      </c>
      <c r="AI357" s="185" t="b">
        <f t="shared" ref="AI357:AI376" si="309">IF($D$365="",TRUE,IF($D$365="Miljömärkt",IF(AU357="Ej miljömärkt",FALSE,TRUE),IF(AU357=$D$365,TRUE,FALSE)))</f>
        <v>1</v>
      </c>
      <c r="AJ357" s="185"/>
      <c r="AK357" s="185"/>
      <c r="AL357" s="185" t="s">
        <v>204</v>
      </c>
      <c r="AM357" s="185">
        <v>1</v>
      </c>
      <c r="AN357" s="185" t="str">
        <f t="shared" ref="AN357:AW366" ca="1" si="310">IFERROR(INDEX(INDIRECT(AN$352&amp;"!$A$10:CC100000"),MATCH($AL357,INDIRECT(AN$352&amp;"!BH$10:BH100000"),0),MATCH(AN$354,INDIRECT(AN$352&amp;"!a10:CC10"),0)),"False")</f>
        <v>Android 11</v>
      </c>
      <c r="AO357" s="185">
        <f t="shared" ca="1" si="310"/>
        <v>10.1</v>
      </c>
      <c r="AP357" s="185" t="str">
        <f t="shared" ca="1" si="310"/>
        <v>1920x1200</v>
      </c>
      <c r="AQ357" s="185">
        <f t="shared" ca="1" si="310"/>
        <v>64</v>
      </c>
      <c r="AR357" s="185">
        <f t="shared" ca="1" si="310"/>
        <v>5</v>
      </c>
      <c r="AS357" s="185" t="str">
        <f t="shared" ca="1" si="310"/>
        <v>802.11a/b/g/n/ac</v>
      </c>
      <c r="AT357" s="185">
        <f t="shared" ca="1" si="310"/>
        <v>9</v>
      </c>
      <c r="AU357" s="185" t="str">
        <f t="shared" ca="1" si="310"/>
        <v>Ej miljömärkt</v>
      </c>
      <c r="AV357" s="185" t="str">
        <f t="shared" ca="1" si="310"/>
        <v>802.11a/b/g/n/ac</v>
      </c>
      <c r="AW357" s="185">
        <f t="shared" ca="1" si="310"/>
        <v>5</v>
      </c>
      <c r="AX357" s="185">
        <f t="shared" ref="AX357:BG366" ca="1" si="311">IFERROR(INDEX(INDIRECT(AX$352&amp;"!$A$10:CC100000"),MATCH($AL357,INDIRECT(AX$352&amp;"!BH$10:BH100000"),0),MATCH(AX$354,INDIRECT(AX$352&amp;"!a10:CC10"),0)),"False")</f>
        <v>9</v>
      </c>
      <c r="AY357" s="185" t="str">
        <f t="shared" ca="1" si="311"/>
        <v>Tab M10 (3rd Gen)</v>
      </c>
      <c r="AZ357" s="185">
        <f t="shared" ca="1" si="311"/>
        <v>0</v>
      </c>
      <c r="BA357" s="185" t="str">
        <f t="shared" ca="1" si="311"/>
        <v>Android 11</v>
      </c>
      <c r="BB357" s="185">
        <f t="shared" ca="1" si="311"/>
        <v>2084</v>
      </c>
      <c r="BC357" s="185">
        <f t="shared" ca="1" si="311"/>
        <v>2084</v>
      </c>
      <c r="BD357" s="192" t="str">
        <f t="shared" ca="1" si="311"/>
        <v>eSTUFF</v>
      </c>
      <c r="BE357" s="192" t="str">
        <f t="shared" ca="1" si="311"/>
        <v>eSTUFF</v>
      </c>
      <c r="BF357" s="192" t="str">
        <f t="shared" ca="1" si="311"/>
        <v>CoreParts</v>
      </c>
      <c r="BG357" s="192" t="str">
        <f t="shared" ca="1" si="311"/>
        <v>DELTACO</v>
      </c>
      <c r="BH357" s="192" t="str">
        <f t="shared" ref="BH357:BV366" ca="1" si="312">IFERROR(INDEX(INDIRECT(BH$352&amp;"!$A$10:CC100000"),MATCH($AL357,INDIRECT(BH$352&amp;"!BH$10:BH100000"),0),MATCH(BH$354,INDIRECT(BH$352&amp;"!a10:CC10"),0)),"False")</f>
        <v xml:space="preserve">ZAGG </v>
      </c>
      <c r="BI357" s="192" t="str">
        <f t="shared" ca="1" si="312"/>
        <v>ES685307-BULK - Vikbart fodral för surfplatta - polyuretan, polykarbonat, konstläder, mikrofiber - svart - för Lenovo Tab M10 (3rd Gen)</v>
      </c>
      <c r="BJ357" s="192" t="str">
        <f t="shared" ca="1" si="312"/>
        <v>ES517003 - Skärmskydd för surfplatta - glas - klar - för Lenovo Tab M10 (3rd Gen)</v>
      </c>
      <c r="BK357" s="192" t="str">
        <f t="shared" ca="1" si="312"/>
        <v>MBXUSB-AC0011 - Strömadapter - 12 Watt - 2.4 A (USB) - på kabel: USB-C - vit - med USB-C cable (2m)</v>
      </c>
      <c r="BL357" s="192" t="str">
        <f t="shared" ca="1" si="312"/>
        <v>TB-631</v>
      </c>
      <c r="BM357" s="192" t="str">
        <f t="shared" ca="1" si="312"/>
        <v>109912139 - Pro Stylus 2 - Aktiv penna - grå</v>
      </c>
      <c r="BN357" s="192">
        <f t="shared" ca="1" si="312"/>
        <v>251</v>
      </c>
      <c r="BO357" s="192">
        <f t="shared" ca="1" si="312"/>
        <v>251</v>
      </c>
      <c r="BP357" s="192">
        <f t="shared" ca="1" si="312"/>
        <v>108</v>
      </c>
      <c r="BQ357" s="192">
        <f t="shared" ca="1" si="312"/>
        <v>169</v>
      </c>
      <c r="BR357" s="192">
        <f t="shared" ca="1" si="312"/>
        <v>595</v>
      </c>
      <c r="BS357" s="192">
        <f t="shared" ca="1" si="312"/>
        <v>781</v>
      </c>
      <c r="BT357" s="192">
        <f t="shared" ca="1" si="312"/>
        <v>50</v>
      </c>
      <c r="BU357" s="192">
        <f t="shared" ca="1" si="312"/>
        <v>50</v>
      </c>
      <c r="BV357" s="192">
        <f t="shared" ca="1" si="312"/>
        <v>0</v>
      </c>
      <c r="BW357" s="192"/>
      <c r="BX357" s="192"/>
      <c r="BY357" s="192" t="str">
        <f t="shared" ref="BY357:BZ376" ca="1" si="313">IFERROR(INDEX(INDIRECT(BY$352&amp;"!$A$10:CC100000"),MATCH($AL357,INDIRECT(BY$352&amp;"!BH$10:BH100000"),0),MATCH(BY$354,INDIRECT(BY$352&amp;"!a10:CC10"),0)),"False")</f>
        <v>Advania Sverige AB</v>
      </c>
      <c r="BZ357" s="192" t="str">
        <f t="shared" ca="1" si="313"/>
        <v>Lenovo</v>
      </c>
      <c r="CA357" s="199" t="s">
        <v>163</v>
      </c>
      <c r="CB357" s="192">
        <v>64</v>
      </c>
      <c r="CC357" s="185">
        <v>4</v>
      </c>
      <c r="CD357" s="192" t="s">
        <v>79</v>
      </c>
      <c r="CE357" s="185" t="s">
        <v>356</v>
      </c>
      <c r="CF357" s="185" t="s">
        <v>148</v>
      </c>
      <c r="CG357" s="185" t="s">
        <v>469</v>
      </c>
      <c r="CH357" s="192" t="s">
        <v>273</v>
      </c>
      <c r="CI357" s="192" t="s">
        <v>79</v>
      </c>
      <c r="CJ357" s="185">
        <v>4</v>
      </c>
      <c r="CK357" s="185" t="s">
        <v>148</v>
      </c>
      <c r="CL357" s="192">
        <v>0</v>
      </c>
      <c r="CM357" s="192">
        <v>0</v>
      </c>
      <c r="CN357" s="185" t="s">
        <v>165</v>
      </c>
    </row>
    <row r="358" spans="2:92" ht="22.5" customHeight="1" outlineLevel="1" x14ac:dyDescent="0.35">
      <c r="C358" s="61" t="s">
        <v>3</v>
      </c>
      <c r="D358" s="64"/>
      <c r="F358" s="78" t="str">
        <f t="shared" ref="F358:F365" si="314">IF(F$355="Inget antal angivet","",IFERROR(INDEX($AN$356:$BZ$382,MATCH(F$352,$AL$356:$AL$382,0),MATCH($C358,$AN$356:$BZ$356,0)),""))</f>
        <v/>
      </c>
      <c r="G358" s="79" t="str">
        <f t="shared" ref="G358:I365" ca="1" si="315">IFERROR(INDEX($AN$356:$BZ$382,MATCH(G$352,$AL$356:$AL$382,0),MATCH($C358,$AN$356:$BZ$356,0)),"")</f>
        <v>Android 9</v>
      </c>
      <c r="H358" s="79" t="str">
        <f t="shared" ca="1" si="315"/>
        <v>Android 11</v>
      </c>
      <c r="I358" s="120" t="str">
        <f t="shared" ca="1" si="315"/>
        <v>iPadOS 15</v>
      </c>
      <c r="J358" s="62"/>
      <c r="K358" s="185">
        <f t="shared" ca="1" si="291"/>
        <v>0</v>
      </c>
      <c r="L358" s="185" t="b">
        <f t="shared" si="292"/>
        <v>1</v>
      </c>
      <c r="M358" s="185" t="s">
        <v>150</v>
      </c>
      <c r="N358" s="185" t="str">
        <f t="shared" ca="1" si="293"/>
        <v>Offererad produktnr. 08Atea Sverige AB</v>
      </c>
      <c r="O358" s="185" cm="1">
        <f t="array" aca="1" ref="O358" ca="1">MIN(IF(($BY$357:$BY$380=M358)*($AM$357:$AM$380=$O$354),$Z$357:$Z$380))</f>
        <v>5254</v>
      </c>
      <c r="P358" s="197">
        <f ca="1">SMALL($Z$357:$Z$382,2)</f>
        <v>2084</v>
      </c>
      <c r="Q358" s="185">
        <f t="shared" si="294"/>
        <v>0</v>
      </c>
      <c r="R358" s="185">
        <f t="shared" si="295"/>
        <v>0</v>
      </c>
      <c r="S358" s="185">
        <f t="shared" si="296"/>
        <v>0</v>
      </c>
      <c r="T358" s="185">
        <f t="shared" si="297"/>
        <v>0</v>
      </c>
      <c r="U358" s="185">
        <f t="shared" si="298"/>
        <v>0</v>
      </c>
      <c r="V358" s="185">
        <f t="shared" si="299"/>
        <v>0</v>
      </c>
      <c r="W358" s="185">
        <f t="shared" si="300"/>
        <v>0</v>
      </c>
      <c r="X358" s="185">
        <f t="shared" si="301"/>
        <v>0</v>
      </c>
      <c r="Y358" s="185">
        <f t="shared" si="302"/>
        <v>0</v>
      </c>
      <c r="Z358" s="196">
        <f t="shared" ca="1" si="303"/>
        <v>4238</v>
      </c>
      <c r="AA358" s="185" t="str">
        <f t="shared" si="304"/>
        <v>Offererad produktnr. 08Advania Sverige AB</v>
      </c>
      <c r="AB358" s="185" t="b">
        <f>IF(D358="",TRUE,IF(COUNTIF(Processor!$M$2:$M$3,D358)=0,IF(AN358=D358,TRUE,FALSE),IF(COUNTIF(AN358,INDEX(Processor!$N$2:$N$3,MATCH(Surfplattor!D358,Processor!$M$2:$M$3,0)))&gt;0,TRUE,FALSE)))</f>
        <v>1</v>
      </c>
      <c r="AC358" s="185" t="b">
        <f>IF($D$359="",TRUE,IF(COUNTIF(Processor!$I$2:$I$9,$D$359)&gt;0,AND(AO358&gt;INDEX(Processor!$J$2:$J$9,MATCH($D$359,Processor!$I$2:$I$9,0)),AO358&lt;INDEX(Processor!$K$2:$K$9,MATCH($D$359,Processor!$I$2:$I$9,0))),IF(AO358=$D$359,TRUE,FALSE)))</f>
        <v>1</v>
      </c>
      <c r="AD358" s="185" t="b">
        <f t="shared" si="305"/>
        <v>1</v>
      </c>
      <c r="AE358" s="185" t="b">
        <f t="shared" si="306"/>
        <v>1</v>
      </c>
      <c r="AF358" s="185" t="b">
        <f t="shared" si="307"/>
        <v>1</v>
      </c>
      <c r="AG358" s="185" t="b">
        <f t="shared" si="308"/>
        <v>1</v>
      </c>
      <c r="AH358" s="185" t="b">
        <f>IF($D$364="",TRUE,IF(INDEX(Processor!$C$14:$C$20,MATCH(LEFT(AT358,10)&amp;"",Processor!$A$14:$A$20,0))&gt;=INDEX(Processor!$C$14:$C$20,MATCH(LEFT($D$364,10)&amp;"",Processor!$A$14:$A$20,0)),TRUE,FALSE))</f>
        <v>1</v>
      </c>
      <c r="AI358" s="185" t="b">
        <f t="shared" si="309"/>
        <v>1</v>
      </c>
      <c r="AJ358" s="185"/>
      <c r="AK358" s="185"/>
      <c r="AL358" s="185" t="s">
        <v>205</v>
      </c>
      <c r="AM358" s="185">
        <v>1</v>
      </c>
      <c r="AN358" s="185" t="str">
        <f t="shared" ca="1" si="310"/>
        <v>iPadOS 14</v>
      </c>
      <c r="AO358" s="185">
        <f t="shared" ca="1" si="310"/>
        <v>10.199999999999999</v>
      </c>
      <c r="AP358" s="185" t="str">
        <f t="shared" ca="1" si="310"/>
        <v>2160x1620</v>
      </c>
      <c r="AQ358" s="185">
        <f t="shared" ca="1" si="310"/>
        <v>64</v>
      </c>
      <c r="AR358" s="185">
        <f t="shared" ca="1" si="310"/>
        <v>4.2</v>
      </c>
      <c r="AS358" s="185" t="str">
        <f t="shared" ca="1" si="310"/>
        <v>802.11a/b/g/n/ac</v>
      </c>
      <c r="AT358" s="185">
        <f t="shared" ca="1" si="310"/>
        <v>10</v>
      </c>
      <c r="AU358" s="185" t="str">
        <f t="shared" ca="1" si="310"/>
        <v>EPEAT Gold</v>
      </c>
      <c r="AV358" s="185" t="str">
        <f t="shared" ca="1" si="310"/>
        <v>802.11a/b/g/n/ac</v>
      </c>
      <c r="AW358" s="185">
        <f t="shared" ca="1" si="310"/>
        <v>4.2</v>
      </c>
      <c r="AX358" s="185">
        <f t="shared" ca="1" si="311"/>
        <v>10</v>
      </c>
      <c r="AY358" s="185" t="str">
        <f t="shared" ca="1" si="311"/>
        <v>10.2-inch iPad Wi-Fi 64GB</v>
      </c>
      <c r="AZ358" s="185">
        <f t="shared" ca="1" si="311"/>
        <v>0</v>
      </c>
      <c r="BA358" s="185" t="str">
        <f t="shared" ca="1" si="311"/>
        <v>iPadOS 14</v>
      </c>
      <c r="BB358" s="185">
        <f t="shared" ca="1" si="311"/>
        <v>4238</v>
      </c>
      <c r="BC358" s="185">
        <f t="shared" ca="1" si="311"/>
        <v>4238</v>
      </c>
      <c r="BD358" s="192" t="str">
        <f t="shared" ca="1" si="311"/>
        <v>eSTUFF</v>
      </c>
      <c r="BE358" s="192" t="str">
        <f t="shared" ca="1" si="311"/>
        <v>eSTUFF</v>
      </c>
      <c r="BF358" s="192" t="str">
        <f t="shared" ca="1" si="311"/>
        <v>DELTACO</v>
      </c>
      <c r="BG358" s="192" t="str">
        <f t="shared" ca="1" si="311"/>
        <v>DELTACO</v>
      </c>
      <c r="BH358" s="192" t="str">
        <f t="shared" ca="1" si="312"/>
        <v xml:space="preserve">ZAGG </v>
      </c>
      <c r="BI358" s="192" t="str">
        <f t="shared" ca="1" si="312"/>
        <v>ES682335-BULK - Baksidesskydd för surfplatta</v>
      </c>
      <c r="BJ358" s="192" t="str">
        <f t="shared" ca="1" si="312"/>
        <v>ES503200 - Titan Shield - skärmskydd för mobiltelefon</v>
      </c>
      <c r="BK358" s="192" t="str">
        <f t="shared" ca="1" si="312"/>
        <v xml:space="preserve">USBC-AC141 </v>
      </c>
      <c r="BL358" s="192" t="str">
        <f t="shared" ca="1" si="312"/>
        <v>TB-631</v>
      </c>
      <c r="BM358" s="192" t="str">
        <f t="shared" ca="1" si="312"/>
        <v>109912139 - Pro Stylus 2 - Aktiv penna - grå</v>
      </c>
      <c r="BN358" s="192">
        <f t="shared" ca="1" si="312"/>
        <v>181</v>
      </c>
      <c r="BO358" s="192">
        <f t="shared" ca="1" si="312"/>
        <v>219</v>
      </c>
      <c r="BP358" s="192">
        <f t="shared" ca="1" si="312"/>
        <v>144</v>
      </c>
      <c r="BQ358" s="192">
        <f t="shared" ca="1" si="312"/>
        <v>169</v>
      </c>
      <c r="BR358" s="192">
        <f t="shared" ca="1" si="312"/>
        <v>595</v>
      </c>
      <c r="BS358" s="192">
        <f t="shared" ca="1" si="312"/>
        <v>781</v>
      </c>
      <c r="BT358" s="192">
        <f t="shared" ca="1" si="312"/>
        <v>50</v>
      </c>
      <c r="BU358" s="192">
        <f t="shared" ca="1" si="312"/>
        <v>50</v>
      </c>
      <c r="BV358" s="192">
        <f t="shared" ca="1" si="312"/>
        <v>0</v>
      </c>
      <c r="BW358" s="192"/>
      <c r="BX358" s="192"/>
      <c r="BY358" s="192" t="str">
        <f t="shared" ca="1" si="313"/>
        <v>Advania Sverige AB</v>
      </c>
      <c r="BZ358" s="192" t="str">
        <f t="shared" ca="1" si="313"/>
        <v>Apple</v>
      </c>
      <c r="CA358" s="200" t="s">
        <v>141</v>
      </c>
      <c r="CB358" s="185">
        <v>128</v>
      </c>
      <c r="CC358" s="185">
        <v>4.2</v>
      </c>
      <c r="CD358" s="185" t="s">
        <v>86</v>
      </c>
      <c r="CE358" s="185" t="s">
        <v>353</v>
      </c>
      <c r="CF358" s="185" t="s">
        <v>164</v>
      </c>
      <c r="CG358" s="185" t="s">
        <v>470</v>
      </c>
      <c r="CH358" s="192" t="s">
        <v>142</v>
      </c>
      <c r="CI358" s="185" t="s">
        <v>86</v>
      </c>
      <c r="CJ358" s="185">
        <v>4.2</v>
      </c>
      <c r="CK358" s="185" t="s">
        <v>164</v>
      </c>
      <c r="CL358" s="185" t="s">
        <v>352</v>
      </c>
      <c r="CM358" s="185" t="s">
        <v>69</v>
      </c>
      <c r="CN358" s="185" t="s">
        <v>83</v>
      </c>
    </row>
    <row r="359" spans="2:92" ht="22.5" customHeight="1" outlineLevel="1" x14ac:dyDescent="0.35">
      <c r="C359" s="61" t="s">
        <v>7</v>
      </c>
      <c r="D359" s="64"/>
      <c r="F359" s="78" t="str">
        <f t="shared" si="314"/>
        <v/>
      </c>
      <c r="G359" s="79">
        <f t="shared" ca="1" si="315"/>
        <v>10.3</v>
      </c>
      <c r="H359" s="79">
        <f t="shared" ca="1" si="315"/>
        <v>10.1</v>
      </c>
      <c r="I359" s="120">
        <f t="shared" ca="1" si="315"/>
        <v>10.199999999999999</v>
      </c>
      <c r="J359" s="62"/>
      <c r="K359" s="185">
        <f t="shared" ca="1" si="291"/>
        <v>0</v>
      </c>
      <c r="L359" s="185" t="b">
        <f t="shared" si="292"/>
        <v>1</v>
      </c>
      <c r="M359" s="185" t="s">
        <v>128</v>
      </c>
      <c r="N359" s="185" t="str">
        <f t="shared" ca="1" si="293"/>
        <v>Offererad produktnr. 07Dustin Sverige AB</v>
      </c>
      <c r="O359" s="185" cm="1">
        <f t="array" aca="1" ref="O359" ca="1">MIN(IF(($BY$357:$BY$380=M359)*($AM$357:$AM$380=$O$354),$Z$357:$Z$380))</f>
        <v>3261</v>
      </c>
      <c r="P359" s="197">
        <f ca="1">SMALL($Z$357:$Z$382,3)</f>
        <v>3205</v>
      </c>
      <c r="Q359" s="185">
        <f t="shared" si="294"/>
        <v>0</v>
      </c>
      <c r="R359" s="185">
        <f t="shared" si="295"/>
        <v>0</v>
      </c>
      <c r="S359" s="185">
        <f t="shared" si="296"/>
        <v>0</v>
      </c>
      <c r="T359" s="185">
        <f t="shared" si="297"/>
        <v>0</v>
      </c>
      <c r="U359" s="185">
        <f t="shared" si="298"/>
        <v>0</v>
      </c>
      <c r="V359" s="185">
        <f t="shared" si="299"/>
        <v>0</v>
      </c>
      <c r="W359" s="185">
        <f t="shared" si="300"/>
        <v>0</v>
      </c>
      <c r="X359" s="185">
        <f t="shared" si="301"/>
        <v>0</v>
      </c>
      <c r="Y359" s="185">
        <f t="shared" si="302"/>
        <v>0</v>
      </c>
      <c r="Z359" s="196">
        <f t="shared" ca="1" si="303"/>
        <v>8671</v>
      </c>
      <c r="AA359" s="185" t="str">
        <f t="shared" si="304"/>
        <v>Offererad produktnr. 09Advania Sverige AB</v>
      </c>
      <c r="AB359" s="185" t="b">
        <f>IF(D358="",TRUE,IF(COUNTIF(Processor!$M$2:$M$3,D358)=0,IF(AN359=D358,TRUE,FALSE),IF(COUNTIF(AN359,INDEX(Processor!$N$2:$N$3,MATCH(Surfplattor!D358,Processor!$M$2:$M$3,0)))&gt;0,TRUE,FALSE)))</f>
        <v>1</v>
      </c>
      <c r="AC359" s="185" t="b">
        <f>IF($D$359="",TRUE,IF(COUNTIF(Processor!$I$2:$I$9,$D$359)&gt;0,AND(AO359&gt;INDEX(Processor!$J$2:$J$9,MATCH($D$359,Processor!$I$2:$I$9,0)),AO359&lt;INDEX(Processor!$K$2:$K$9,MATCH($D$359,Processor!$I$2:$I$9,0))),IF(AO359=$D$359,TRUE,FALSE)))</f>
        <v>1</v>
      </c>
      <c r="AD359" s="185" t="b">
        <f t="shared" si="305"/>
        <v>1</v>
      </c>
      <c r="AE359" s="185" t="b">
        <f t="shared" si="306"/>
        <v>1</v>
      </c>
      <c r="AF359" s="185" t="b">
        <f t="shared" si="307"/>
        <v>1</v>
      </c>
      <c r="AG359" s="185" t="b">
        <f t="shared" si="308"/>
        <v>1</v>
      </c>
      <c r="AH359" s="185" t="b">
        <f>IF($D$364="",TRUE,IF(INDEX(Processor!$C$14:$C$20,MATCH(LEFT(AT359,10)&amp;"",Processor!$A$14:$A$20,0))&gt;=INDEX(Processor!$C$14:$C$20,MATCH(LEFT($D$364,10)&amp;"",Processor!$A$14:$A$20,0)),TRUE,FALSE))</f>
        <v>1</v>
      </c>
      <c r="AI359" s="185" t="b">
        <f t="shared" si="309"/>
        <v>1</v>
      </c>
      <c r="AJ359" s="185"/>
      <c r="AK359" s="185"/>
      <c r="AL359" s="185" t="s">
        <v>206</v>
      </c>
      <c r="AM359" s="185">
        <v>1</v>
      </c>
      <c r="AN359" s="185" t="str">
        <f t="shared" ca="1" si="310"/>
        <v>Android 11</v>
      </c>
      <c r="AO359" s="185">
        <f t="shared" ca="1" si="310"/>
        <v>11</v>
      </c>
      <c r="AP359" s="185" t="str">
        <f t="shared" ca="1" si="310"/>
        <v>2560x1600</v>
      </c>
      <c r="AQ359" s="185">
        <f t="shared" ca="1" si="310"/>
        <v>128</v>
      </c>
      <c r="AR359" s="185">
        <f t="shared" ca="1" si="310"/>
        <v>5.3</v>
      </c>
      <c r="AS359" s="185" t="str">
        <f t="shared" ca="1" si="310"/>
        <v>802.11a/b/g/n/ac/ax</v>
      </c>
      <c r="AT359" s="185">
        <f t="shared" ca="1" si="310"/>
        <v>13</v>
      </c>
      <c r="AU359" s="185" t="str">
        <f t="shared" ca="1" si="310"/>
        <v>Ej miljömärkt</v>
      </c>
      <c r="AV359" s="185" t="str">
        <f t="shared" ca="1" si="310"/>
        <v>802.11a/b/g/n/ac/ax</v>
      </c>
      <c r="AW359" s="185">
        <f t="shared" ca="1" si="310"/>
        <v>5.3</v>
      </c>
      <c r="AX359" s="185">
        <f t="shared" ca="1" si="311"/>
        <v>13</v>
      </c>
      <c r="AY359" s="185" t="str">
        <f t="shared" ca="1" si="311"/>
        <v>Samsung Galaxy Tab S9</v>
      </c>
      <c r="AZ359" s="185">
        <f t="shared" ca="1" si="311"/>
        <v>0</v>
      </c>
      <c r="BA359" s="185" t="str">
        <f t="shared" ca="1" si="311"/>
        <v>Android 11</v>
      </c>
      <c r="BB359" s="185">
        <f t="shared" ca="1" si="311"/>
        <v>8671</v>
      </c>
      <c r="BC359" s="185">
        <f t="shared" ca="1" si="311"/>
        <v>8671</v>
      </c>
      <c r="BD359" s="192" t="str">
        <f t="shared" ca="1" si="311"/>
        <v>Insmat</v>
      </c>
      <c r="BE359" s="192" t="str">
        <f t="shared" ca="1" si="311"/>
        <v>Samsung</v>
      </c>
      <c r="BF359" s="192" t="str">
        <f t="shared" ca="1" si="311"/>
        <v>CoreParts</v>
      </c>
      <c r="BG359" s="192" t="str">
        <f t="shared" ca="1" si="311"/>
        <v>DELTACO</v>
      </c>
      <c r="BH359" s="192" t="str">
        <f t="shared" ca="1" si="312"/>
        <v>Samsung</v>
      </c>
      <c r="BI359" s="192" t="str">
        <f t="shared" ca="1" si="312"/>
        <v xml:space="preserve">652-1287 - Baksidesskydd för surfplatta - robust - rugged armor </v>
      </c>
      <c r="BJ359" s="192" t="str">
        <f t="shared" ca="1" si="312"/>
        <v>EF-UX710CTEGWW - EF-UX710 - Skärmskydd för surfplatta</v>
      </c>
      <c r="BK359" s="192" t="str">
        <f t="shared" ca="1" si="312"/>
        <v>MBXUSB-AC0011 - Strömadapter - 12 Watt - 2.4 A (USB) - på kabel: USB-C - vit - med USB-C cable (2m)</v>
      </c>
      <c r="BL359" s="192" t="str">
        <f t="shared" ca="1" si="312"/>
        <v>TB-631</v>
      </c>
      <c r="BM359" s="192" t="str">
        <f t="shared" ca="1" si="312"/>
        <v>EJ-PX710BBEGEU - S Pen - Aktiv penna - Bluetooth</v>
      </c>
      <c r="BN359" s="192">
        <f t="shared" ca="1" si="312"/>
        <v>174</v>
      </c>
      <c r="BO359" s="192">
        <f t="shared" ca="1" si="312"/>
        <v>219</v>
      </c>
      <c r="BP359" s="192">
        <f t="shared" ca="1" si="312"/>
        <v>108</v>
      </c>
      <c r="BQ359" s="192">
        <f t="shared" ca="1" si="312"/>
        <v>169</v>
      </c>
      <c r="BR359" s="192">
        <f t="shared" ca="1" si="312"/>
        <v>295</v>
      </c>
      <c r="BS359" s="192">
        <f t="shared" ca="1" si="312"/>
        <v>269</v>
      </c>
      <c r="BT359" s="192">
        <f t="shared" ca="1" si="312"/>
        <v>50</v>
      </c>
      <c r="BU359" s="192">
        <f t="shared" ca="1" si="312"/>
        <v>50</v>
      </c>
      <c r="BV359" s="192">
        <f t="shared" ca="1" si="312"/>
        <v>0</v>
      </c>
      <c r="BW359" s="192"/>
      <c r="BX359" s="192"/>
      <c r="BY359" s="192" t="str">
        <f t="shared" ca="1" si="313"/>
        <v>Advania Sverige AB</v>
      </c>
      <c r="BZ359" s="192" t="str">
        <f t="shared" ca="1" si="313"/>
        <v>Samsung</v>
      </c>
      <c r="CA359" s="199" t="s">
        <v>90</v>
      </c>
      <c r="CB359" s="185">
        <v>0</v>
      </c>
      <c r="CC359" s="186">
        <v>5</v>
      </c>
      <c r="CD359" s="185"/>
      <c r="CE359" s="185">
        <v>10.199999999999999</v>
      </c>
      <c r="CF359" s="185" t="s">
        <v>144</v>
      </c>
      <c r="CG359" s="185" t="s">
        <v>96</v>
      </c>
      <c r="CH359" s="185" t="s">
        <v>94</v>
      </c>
      <c r="CI359" s="185"/>
      <c r="CJ359" s="186">
        <v>5</v>
      </c>
      <c r="CK359" s="185" t="s">
        <v>144</v>
      </c>
      <c r="CL359" s="185"/>
      <c r="CM359" s="185"/>
      <c r="CN359" s="185" t="s">
        <v>91</v>
      </c>
    </row>
    <row r="360" spans="2:92" ht="22.5" customHeight="1" outlineLevel="1" x14ac:dyDescent="0.35">
      <c r="C360" s="61" t="s">
        <v>2</v>
      </c>
      <c r="D360" s="64"/>
      <c r="F360" s="78" t="str">
        <f t="shared" si="314"/>
        <v/>
      </c>
      <c r="G360" s="79" t="str">
        <f t="shared" ca="1" si="315"/>
        <v>1920x1200</v>
      </c>
      <c r="H360" s="79" t="str">
        <f t="shared" ca="1" si="315"/>
        <v>1920x1200</v>
      </c>
      <c r="I360" s="120" t="str">
        <f t="shared" ca="1" si="315"/>
        <v>2160x1620</v>
      </c>
      <c r="J360" s="62"/>
      <c r="K360" s="185">
        <f t="shared" ca="1" si="291"/>
        <v>0</v>
      </c>
      <c r="L360" s="185" t="b">
        <f t="shared" si="292"/>
        <v>1</v>
      </c>
      <c r="M360" s="185" t="s">
        <v>169</v>
      </c>
      <c r="N360" s="185" t="str">
        <f t="shared" ca="1" si="293"/>
        <v>Offererad produktnr. 08Foxway Education AB</v>
      </c>
      <c r="O360" s="185" cm="1">
        <f t="array" aca="1" ref="O360" ca="1">MIN(IF(($BY$357:$BY$380=M360)*($AM$357:$AM$380=$O$354),$Z$357:$Z$380))</f>
        <v>3894</v>
      </c>
      <c r="P360" s="197"/>
      <c r="Q360" s="185">
        <f t="shared" si="294"/>
        <v>0</v>
      </c>
      <c r="R360" s="185">
        <f t="shared" si="295"/>
        <v>0</v>
      </c>
      <c r="S360" s="185">
        <f t="shared" si="296"/>
        <v>0</v>
      </c>
      <c r="T360" s="185">
        <f t="shared" si="297"/>
        <v>0</v>
      </c>
      <c r="U360" s="185">
        <f t="shared" si="298"/>
        <v>0</v>
      </c>
      <c r="V360" s="185">
        <f t="shared" si="299"/>
        <v>0</v>
      </c>
      <c r="W360" s="185">
        <f t="shared" si="300"/>
        <v>0</v>
      </c>
      <c r="X360" s="185">
        <f t="shared" si="301"/>
        <v>0</v>
      </c>
      <c r="Y360" s="185">
        <f t="shared" si="302"/>
        <v>0</v>
      </c>
      <c r="Z360" s="196">
        <f t="shared" ca="1" si="303"/>
        <v>6116</v>
      </c>
      <c r="AA360" s="185" t="str">
        <f t="shared" si="304"/>
        <v>Offererad produktnr. 10Advania Sverige AB</v>
      </c>
      <c r="AB360" s="185" t="b">
        <f>IF(D358="",TRUE,IF(COUNTIF(Processor!$M$2:$M$3,D358)=0,IF(AN360=D358,TRUE,FALSE),IF(COUNTIF(AN360,INDEX(Processor!$N$2:$N$3,MATCH(Surfplattor!D358,Processor!$M$2:$M$3,0)))&gt;0,TRUE,FALSE)))</f>
        <v>1</v>
      </c>
      <c r="AC360" s="185" t="b">
        <f>IF($D$359="",TRUE,IF(COUNTIF(Processor!$I$2:$I$9,$D$359)&gt;0,AND(AO360&gt;INDEX(Processor!$J$2:$J$9,MATCH($D$359,Processor!$I$2:$I$9,0)),AO360&lt;INDEX(Processor!$K$2:$K$9,MATCH($D$359,Processor!$I$2:$I$9,0))),IF(AO360=$D$359,TRUE,FALSE)))</f>
        <v>1</v>
      </c>
      <c r="AD360" s="185" t="b">
        <f t="shared" si="305"/>
        <v>1</v>
      </c>
      <c r="AE360" s="185" t="b">
        <f t="shared" si="306"/>
        <v>1</v>
      </c>
      <c r="AF360" s="185" t="b">
        <f t="shared" si="307"/>
        <v>1</v>
      </c>
      <c r="AG360" s="185" t="b">
        <f t="shared" si="308"/>
        <v>1</v>
      </c>
      <c r="AH360" s="185" t="b">
        <f>IF($D$364="",TRUE,IF(INDEX(Processor!$C$14:$C$20,MATCH(LEFT(AT360,10)&amp;"",Processor!$A$14:$A$20,0))&gt;=INDEX(Processor!$C$14:$C$20,MATCH(LEFT($D$364,10)&amp;"",Processor!$A$14:$A$20,0)),TRUE,FALSE))</f>
        <v>1</v>
      </c>
      <c r="AI360" s="185" t="b">
        <f t="shared" si="309"/>
        <v>1</v>
      </c>
      <c r="AJ360" s="185"/>
      <c r="AK360" s="185"/>
      <c r="AL360" s="185" t="s">
        <v>207</v>
      </c>
      <c r="AM360" s="185">
        <v>1</v>
      </c>
      <c r="AN360" s="185" t="str">
        <f t="shared" ca="1" si="310"/>
        <v>Android 11</v>
      </c>
      <c r="AO360" s="185">
        <f t="shared" ca="1" si="310"/>
        <v>11</v>
      </c>
      <c r="AP360" s="185" t="str">
        <f t="shared" ca="1" si="310"/>
        <v>2560x1600</v>
      </c>
      <c r="AQ360" s="185">
        <f t="shared" ca="1" si="310"/>
        <v>128</v>
      </c>
      <c r="AR360" s="185">
        <f t="shared" ca="1" si="310"/>
        <v>5.2</v>
      </c>
      <c r="AS360" s="185" t="str">
        <f t="shared" ca="1" si="310"/>
        <v>802.11a/b/g/n/ac/ax</v>
      </c>
      <c r="AT360" s="185">
        <f t="shared" ca="1" si="310"/>
        <v>13</v>
      </c>
      <c r="AU360" s="185" t="str">
        <f t="shared" ca="1" si="310"/>
        <v>Ej miljömärkt</v>
      </c>
      <c r="AV360" s="185" t="str">
        <f t="shared" ca="1" si="310"/>
        <v>802.11a/b/g/n/ac/ax</v>
      </c>
      <c r="AW360" s="185">
        <f t="shared" ca="1" si="310"/>
        <v>5.2</v>
      </c>
      <c r="AX360" s="185">
        <f t="shared" ca="1" si="311"/>
        <v>13</v>
      </c>
      <c r="AY360" s="185" t="str">
        <f t="shared" ca="1" si="311"/>
        <v>Samsung Galaxy Tab S8</v>
      </c>
      <c r="AZ360" s="185">
        <f t="shared" ca="1" si="311"/>
        <v>0</v>
      </c>
      <c r="BA360" s="185" t="str">
        <f t="shared" ca="1" si="311"/>
        <v>Android 11</v>
      </c>
      <c r="BB360" s="185">
        <f t="shared" ca="1" si="311"/>
        <v>6116</v>
      </c>
      <c r="BC360" s="185">
        <f t="shared" ca="1" si="311"/>
        <v>6116</v>
      </c>
      <c r="BD360" s="192" t="str">
        <f t="shared" ca="1" si="311"/>
        <v>Insmat</v>
      </c>
      <c r="BE360" s="192" t="str">
        <f t="shared" ca="1" si="311"/>
        <v>Tolerate</v>
      </c>
      <c r="BF360" s="192" t="str">
        <f t="shared" ca="1" si="311"/>
        <v>CoreParts</v>
      </c>
      <c r="BG360" s="192" t="str">
        <f t="shared" ca="1" si="311"/>
        <v>DELTACO</v>
      </c>
      <c r="BH360" s="192" t="str">
        <f t="shared" ca="1" si="312"/>
        <v xml:space="preserve">ZAGG </v>
      </c>
      <c r="BI360" s="192" t="str">
        <f t="shared" ca="1" si="312"/>
        <v xml:space="preserve">652-1287 - Baksidesskydd för surfplatta - robust - rugged armor </v>
      </c>
      <c r="BJ360" s="192" t="str">
        <f t="shared" ca="1" si="312"/>
        <v>ED600189 - Skärmskydd för surfplatta</v>
      </c>
      <c r="BK360" s="192" t="str">
        <f t="shared" ca="1" si="312"/>
        <v>MBXUSB-AC0011 - Strömadapter - 12 Watt - 2.4 A (USB) - på kabel: USB-C - vit - med USB-C cable (2m)</v>
      </c>
      <c r="BL360" s="192" t="str">
        <f t="shared" ca="1" si="312"/>
        <v>TB-631</v>
      </c>
      <c r="BM360" s="192" t="str">
        <f t="shared" ca="1" si="312"/>
        <v>109912139 - Pro Stylus 2 - Aktiv penna - grå</v>
      </c>
      <c r="BN360" s="192">
        <f t="shared" ca="1" si="312"/>
        <v>181</v>
      </c>
      <c r="BO360" s="192">
        <f t="shared" ca="1" si="312"/>
        <v>228</v>
      </c>
      <c r="BP360" s="192">
        <f t="shared" ca="1" si="312"/>
        <v>108</v>
      </c>
      <c r="BQ360" s="192">
        <f t="shared" ca="1" si="312"/>
        <v>169</v>
      </c>
      <c r="BR360" s="192">
        <f t="shared" ca="1" si="312"/>
        <v>595</v>
      </c>
      <c r="BS360" s="192">
        <f t="shared" ca="1" si="312"/>
        <v>781</v>
      </c>
      <c r="BT360" s="192">
        <f t="shared" ca="1" si="312"/>
        <v>50</v>
      </c>
      <c r="BU360" s="192">
        <f t="shared" ca="1" si="312"/>
        <v>50</v>
      </c>
      <c r="BV360" s="192">
        <f t="shared" ca="1" si="312"/>
        <v>0</v>
      </c>
      <c r="BW360" s="192"/>
      <c r="BX360" s="192"/>
      <c r="BY360" s="192" t="str">
        <f t="shared" ca="1" si="313"/>
        <v>Advania Sverige AB</v>
      </c>
      <c r="BZ360" s="192" t="str">
        <f t="shared" ca="1" si="313"/>
        <v>Samsung</v>
      </c>
      <c r="CA360" s="199" t="s">
        <v>95</v>
      </c>
      <c r="CB360" s="185"/>
      <c r="CC360" s="185"/>
      <c r="CD360" s="185"/>
      <c r="CE360" s="185">
        <v>10.3</v>
      </c>
      <c r="CF360" s="185" t="s">
        <v>130</v>
      </c>
      <c r="CG360" s="185" t="s">
        <v>530</v>
      </c>
      <c r="CH360" s="185" t="s">
        <v>171</v>
      </c>
      <c r="CI360" s="185"/>
      <c r="CJ360" s="185">
        <v>5.2</v>
      </c>
      <c r="CK360" s="185" t="s">
        <v>130</v>
      </c>
      <c r="CL360" s="185"/>
      <c r="CM360" s="185"/>
      <c r="CN360" s="185" t="s">
        <v>96</v>
      </c>
    </row>
    <row r="361" spans="2:92" ht="22.5" customHeight="1" outlineLevel="1" x14ac:dyDescent="0.35">
      <c r="C361" s="61" t="s">
        <v>17</v>
      </c>
      <c r="D361" s="64"/>
      <c r="F361" s="78" t="str">
        <f t="shared" si="314"/>
        <v/>
      </c>
      <c r="G361" s="79">
        <f t="shared" ca="1" si="315"/>
        <v>64</v>
      </c>
      <c r="H361" s="79">
        <f t="shared" ca="1" si="315"/>
        <v>64</v>
      </c>
      <c r="I361" s="120">
        <f t="shared" ca="1" si="315"/>
        <v>64</v>
      </c>
      <c r="J361" s="62"/>
      <c r="K361" s="185">
        <f t="shared" ca="1" si="291"/>
        <v>0</v>
      </c>
      <c r="L361" s="185" t="b">
        <f t="shared" si="292"/>
        <v>1</v>
      </c>
      <c r="M361" s="185" t="s">
        <v>167</v>
      </c>
      <c r="N361" s="185" t="str">
        <f t="shared" ca="1" si="293"/>
        <v/>
      </c>
      <c r="O361" s="185" cm="1">
        <f t="array" aca="1" ref="O361" ca="1">MIN(IF(($BY$357:$BY$380=M361)*($AM$357:$AM$380=$O$354),$Z$357:$Z$380))</f>
        <v>0</v>
      </c>
      <c r="P361" s="197"/>
      <c r="Q361" s="185">
        <f t="shared" si="294"/>
        <v>0</v>
      </c>
      <c r="R361" s="185">
        <f t="shared" si="295"/>
        <v>0</v>
      </c>
      <c r="S361" s="185">
        <f t="shared" si="296"/>
        <v>0</v>
      </c>
      <c r="T361" s="185">
        <f t="shared" si="297"/>
        <v>0</v>
      </c>
      <c r="U361" s="185">
        <f t="shared" si="298"/>
        <v>0</v>
      </c>
      <c r="V361" s="185">
        <f t="shared" si="299"/>
        <v>0</v>
      </c>
      <c r="W361" s="185">
        <f t="shared" si="300"/>
        <v>0</v>
      </c>
      <c r="X361" s="185">
        <f t="shared" si="301"/>
        <v>0</v>
      </c>
      <c r="Y361" s="185">
        <f t="shared" si="302"/>
        <v>0</v>
      </c>
      <c r="Z361" s="196">
        <f t="shared" ca="1" si="303"/>
        <v>9140</v>
      </c>
      <c r="AA361" s="185" t="str">
        <f t="shared" si="304"/>
        <v>Offererad produktnr. 07Atea Sverige AB</v>
      </c>
      <c r="AB361" s="185" t="b">
        <f>IF(D358="",TRUE,IF(COUNTIF(Processor!$M$2:$M$3,D358)=0,IF(AN361=D358,TRUE,FALSE),IF(COUNTIF(AN361,INDEX(Processor!$N$2:$N$3,MATCH(Surfplattor!D358,Processor!$M$2:$M$3,0)))&gt;0,TRUE,FALSE)))</f>
        <v>1</v>
      </c>
      <c r="AC361" s="185" t="b">
        <f>IF($D$359="",TRUE,IF(COUNTIF(Processor!$I$2:$I$9,$D$359)&gt;0,AND(AO361&gt;INDEX(Processor!$J$2:$J$9,MATCH($D$359,Processor!$I$2:$I$9,0)),AO361&lt;INDEX(Processor!$K$2:$K$9,MATCH($D$359,Processor!$I$2:$I$9,0))),IF(AO361=$D$359,TRUE,FALSE)))</f>
        <v>1</v>
      </c>
      <c r="AD361" s="185" t="b">
        <f t="shared" si="305"/>
        <v>1</v>
      </c>
      <c r="AE361" s="185" t="b">
        <f t="shared" si="306"/>
        <v>1</v>
      </c>
      <c r="AF361" s="185" t="b">
        <f t="shared" si="307"/>
        <v>1</v>
      </c>
      <c r="AG361" s="185" t="b">
        <f t="shared" si="308"/>
        <v>1</v>
      </c>
      <c r="AH361" s="185" t="b">
        <f>IF($D$364="",TRUE,IF(INDEX(Processor!$C$14:$C$20,MATCH(LEFT(AT361,10)&amp;"",Processor!$A$14:$A$20,0))&gt;=INDEX(Processor!$C$14:$C$20,MATCH(LEFT($D$364,10)&amp;"",Processor!$A$14:$A$20,0)),TRUE,FALSE))</f>
        <v>1</v>
      </c>
      <c r="AI361" s="185" t="b">
        <f t="shared" si="309"/>
        <v>1</v>
      </c>
      <c r="AJ361" s="185"/>
      <c r="AK361" s="185"/>
      <c r="AL361" s="185" t="s">
        <v>192</v>
      </c>
      <c r="AM361" s="185">
        <v>1</v>
      </c>
      <c r="AN361" s="185" t="str">
        <f t="shared" ca="1" si="310"/>
        <v>iPadOS 15</v>
      </c>
      <c r="AO361" s="185">
        <f t="shared" ca="1" si="310"/>
        <v>10.9</v>
      </c>
      <c r="AP361" s="185" t="str">
        <f t="shared" ca="1" si="310"/>
        <v>2360x1640</v>
      </c>
      <c r="AQ361" s="185">
        <f t="shared" ca="1" si="310"/>
        <v>64</v>
      </c>
      <c r="AR361" s="185">
        <f t="shared" ca="1" si="310"/>
        <v>5</v>
      </c>
      <c r="AS361" s="185" t="str">
        <f t="shared" ca="1" si="310"/>
        <v>802.11a/b/g/n/ac/ax</v>
      </c>
      <c r="AT361" s="185">
        <f t="shared" ca="1" si="310"/>
        <v>10</v>
      </c>
      <c r="AU361" s="185" t="str">
        <f t="shared" ca="1" si="310"/>
        <v>EPEAT Gold</v>
      </c>
      <c r="AV361" s="185" t="str">
        <f t="shared" ca="1" si="310"/>
        <v>802.11a/b/g/n/ac/ax</v>
      </c>
      <c r="AW361" s="185">
        <f t="shared" ca="1" si="310"/>
        <v>5</v>
      </c>
      <c r="AX361" s="185">
        <f t="shared" ca="1" si="311"/>
        <v>10</v>
      </c>
      <c r="AY361" s="185" t="str">
        <f t="shared" ca="1" si="311"/>
        <v>10.9-inch iPad Air Wi-Fi 5th Gen</v>
      </c>
      <c r="AZ361" s="185">
        <f t="shared" ca="1" si="311"/>
        <v>0</v>
      </c>
      <c r="BA361" s="185" t="str">
        <f t="shared" ca="1" si="311"/>
        <v>iPadOS 15</v>
      </c>
      <c r="BB361" s="185">
        <f t="shared" ca="1" si="311"/>
        <v>9140</v>
      </c>
      <c r="BC361" s="185">
        <f t="shared" ca="1" si="311"/>
        <v>9140</v>
      </c>
      <c r="BD361" s="192" t="str">
        <f t="shared" ca="1" si="311"/>
        <v>ZAGG</v>
      </c>
      <c r="BE361" s="192" t="str">
        <f t="shared" ca="1" si="311"/>
        <v>ZAGG</v>
      </c>
      <c r="BF361" s="192" t="str">
        <f t="shared" ca="1" si="311"/>
        <v xml:space="preserve">Mophie </v>
      </c>
      <c r="BG361" s="192" t="str">
        <f t="shared" ca="1" si="311"/>
        <v>Tolerate</v>
      </c>
      <c r="BH361" s="192" t="str">
        <f t="shared" ca="1" si="312"/>
        <v>Apple</v>
      </c>
      <c r="BI361" s="192" t="str">
        <f t="shared" ca="1" si="312"/>
        <v>GEAR4 Case Brompton + Folio Apple iPad Air 10.9" (4th Gen)/ iPad Pro 11" (1st &amp; 2nd Gen) - smoke</v>
      </c>
      <c r="BJ361" s="192" t="str">
        <f t="shared" ca="1" si="312"/>
        <v>InvisibleShield Glass Elite+ iPad Air 4/11P (2021) Case friendly Screen</v>
      </c>
      <c r="BK361" s="192" t="str">
        <f t="shared" ca="1" si="312"/>
        <v>Mophie USB typ C-kabel/MOPHIE WALL ADAPTER USB-C 20W</v>
      </c>
      <c r="BL361" s="192" t="str">
        <f t="shared" ca="1" si="312"/>
        <v>TOLERATE KEYBOARD FOLIO IPAD AIR 10,9 BLACK</v>
      </c>
      <c r="BM361" s="192" t="str">
        <f t="shared" ca="1" si="312"/>
        <v>Apple Pencil 2nd Generation - Penna för surfplatta - för 10.9-inch iPad Air (4th generation); 11-inch iPad Pro (1st generation, 2nd generation, 3rd generation); 12.9-inch iPad Pro (3rd generation, 4th generation, 5th generation)</v>
      </c>
      <c r="BN361" s="192">
        <f t="shared" ca="1" si="312"/>
        <v>344</v>
      </c>
      <c r="BO361" s="192">
        <f t="shared" ca="1" si="312"/>
        <v>302</v>
      </c>
      <c r="BP361" s="192">
        <f t="shared" ca="1" si="312"/>
        <v>289</v>
      </c>
      <c r="BQ361" s="192">
        <f t="shared" ca="1" si="312"/>
        <v>756</v>
      </c>
      <c r="BR361" s="192">
        <f t="shared" ca="1" si="312"/>
        <v>1742</v>
      </c>
      <c r="BS361" s="192">
        <f t="shared" ca="1" si="312"/>
        <v>672</v>
      </c>
      <c r="BT361" s="192">
        <f t="shared" ca="1" si="312"/>
        <v>85</v>
      </c>
      <c r="BU361" s="192">
        <f t="shared" ca="1" si="312"/>
        <v>100</v>
      </c>
      <c r="BV361" s="192">
        <f t="shared" ca="1" si="312"/>
        <v>0</v>
      </c>
      <c r="BW361" s="192"/>
      <c r="BX361" s="192"/>
      <c r="BY361" s="192" t="str">
        <f t="shared" ca="1" si="313"/>
        <v>Atea Sverige AB</v>
      </c>
      <c r="BZ361" s="192" t="str">
        <f t="shared" ca="1" si="313"/>
        <v>Apple</v>
      </c>
      <c r="CA361" s="199" t="s">
        <v>435</v>
      </c>
      <c r="CB361" s="185"/>
      <c r="CC361" s="185"/>
      <c r="CD361" s="185"/>
      <c r="CE361" s="185">
        <v>10.4</v>
      </c>
      <c r="CF361" s="185" t="s">
        <v>225</v>
      </c>
      <c r="CG361" s="185" t="s">
        <v>165</v>
      </c>
      <c r="CH361" s="185"/>
      <c r="CI361" s="185"/>
      <c r="CJ361" s="185"/>
      <c r="CK361" s="185" t="s">
        <v>225</v>
      </c>
      <c r="CL361" s="185"/>
      <c r="CM361" s="185"/>
      <c r="CN361" s="185"/>
    </row>
    <row r="362" spans="2:92" ht="28.5" customHeight="1" outlineLevel="1" x14ac:dyDescent="0.35">
      <c r="C362" s="61" t="s">
        <v>75</v>
      </c>
      <c r="D362" s="110"/>
      <c r="F362" s="78" t="str">
        <f t="shared" si="314"/>
        <v/>
      </c>
      <c r="G362" s="79">
        <f t="shared" ca="1" si="315"/>
        <v>5</v>
      </c>
      <c r="H362" s="79">
        <f t="shared" ca="1" si="315"/>
        <v>5</v>
      </c>
      <c r="I362" s="120">
        <f t="shared" ca="1" si="315"/>
        <v>4.2</v>
      </c>
      <c r="J362" s="62"/>
      <c r="K362" s="185">
        <f t="shared" ca="1" si="291"/>
        <v>0</v>
      </c>
      <c r="L362" s="185" t="b">
        <f t="shared" si="292"/>
        <v>1</v>
      </c>
      <c r="M362" s="185" t="s">
        <v>546</v>
      </c>
      <c r="N362" s="185" t="str">
        <f t="shared" ca="1" si="293"/>
        <v>Offererad produktnr. 07Qlosr Göteborg AB</v>
      </c>
      <c r="O362" s="185" cm="1">
        <f t="array" aca="1" ref="O362" ca="1">MIN(IF(($BY$357:$BY$380=M362)*($AM$357:$AM$380=$O$354),$Z$357:$Z$380))</f>
        <v>1700</v>
      </c>
      <c r="P362" s="197"/>
      <c r="Q362" s="185">
        <f t="shared" si="294"/>
        <v>0</v>
      </c>
      <c r="R362" s="185">
        <f t="shared" si="295"/>
        <v>0</v>
      </c>
      <c r="S362" s="185">
        <f t="shared" si="296"/>
        <v>0</v>
      </c>
      <c r="T362" s="185">
        <f t="shared" si="297"/>
        <v>0</v>
      </c>
      <c r="U362" s="185">
        <f t="shared" si="298"/>
        <v>0</v>
      </c>
      <c r="V362" s="185">
        <f t="shared" si="299"/>
        <v>0</v>
      </c>
      <c r="W362" s="185">
        <f t="shared" si="300"/>
        <v>0</v>
      </c>
      <c r="X362" s="185">
        <f t="shared" si="301"/>
        <v>0</v>
      </c>
      <c r="Y362" s="185">
        <f t="shared" si="302"/>
        <v>0</v>
      </c>
      <c r="Z362" s="196">
        <f t="shared" ca="1" si="303"/>
        <v>5254</v>
      </c>
      <c r="AA362" s="185" t="str">
        <f t="shared" si="304"/>
        <v>Offererad produktnr. 08Atea Sverige AB</v>
      </c>
      <c r="AB362" s="185" t="b">
        <f>IF(D358="",TRUE,IF(COUNTIF(Processor!$M$2:$M$3,D358)=0,IF(AN362=D358,TRUE,FALSE),IF(COUNTIF(AN362,INDEX(Processor!$N$2:$N$3,MATCH(Surfplattor!D358,Processor!$M$2:$M$3,0)))&gt;0,TRUE,FALSE)))</f>
        <v>1</v>
      </c>
      <c r="AC362" s="185" t="b">
        <f>IF($D$359="",TRUE,IF(COUNTIF(Processor!$I$2:$I$9,$D$359)&gt;0,AND(AO362&gt;INDEX(Processor!$J$2:$J$9,MATCH($D$359,Processor!$I$2:$I$9,0)),AO362&lt;INDEX(Processor!$K$2:$K$9,MATCH($D$359,Processor!$I$2:$I$9,0))),IF(AO362=$D$359,TRUE,FALSE)))</f>
        <v>1</v>
      </c>
      <c r="AD362" s="185" t="b">
        <f t="shared" si="305"/>
        <v>1</v>
      </c>
      <c r="AE362" s="185" t="b">
        <f t="shared" si="306"/>
        <v>1</v>
      </c>
      <c r="AF362" s="185" t="b">
        <f t="shared" si="307"/>
        <v>1</v>
      </c>
      <c r="AG362" s="185" t="b">
        <f t="shared" si="308"/>
        <v>1</v>
      </c>
      <c r="AH362" s="185" t="b">
        <f>IF($D$364="",TRUE,IF(INDEX(Processor!$C$14:$C$20,MATCH(LEFT(AT362,10)&amp;"",Processor!$A$14:$A$20,0))&gt;=INDEX(Processor!$C$14:$C$20,MATCH(LEFT($D$364,10)&amp;"",Processor!$A$14:$A$20,0)),TRUE,FALSE))</f>
        <v>1</v>
      </c>
      <c r="AI362" s="185" t="b">
        <f t="shared" si="309"/>
        <v>1</v>
      </c>
      <c r="AJ362" s="185"/>
      <c r="AK362" s="185"/>
      <c r="AL362" s="185" t="s">
        <v>193</v>
      </c>
      <c r="AM362" s="185">
        <v>1</v>
      </c>
      <c r="AN362" s="185" t="str">
        <f t="shared" ca="1" si="310"/>
        <v>iPadOS 14</v>
      </c>
      <c r="AO362" s="185">
        <f t="shared" ca="1" si="310"/>
        <v>10.199999999999999</v>
      </c>
      <c r="AP362" s="185" t="str">
        <f t="shared" ca="1" si="310"/>
        <v>2160x1620</v>
      </c>
      <c r="AQ362" s="185">
        <f t="shared" ca="1" si="310"/>
        <v>64</v>
      </c>
      <c r="AR362" s="185">
        <f t="shared" ca="1" si="310"/>
        <v>4.2</v>
      </c>
      <c r="AS362" s="185" t="str">
        <f t="shared" ca="1" si="310"/>
        <v>802.11a/b/g/n/ac</v>
      </c>
      <c r="AT362" s="185">
        <f t="shared" ca="1" si="310"/>
        <v>10</v>
      </c>
      <c r="AU362" s="185" t="str">
        <f t="shared" ca="1" si="310"/>
        <v>EPEAT Gold</v>
      </c>
      <c r="AV362" s="185" t="str">
        <f t="shared" ca="1" si="310"/>
        <v>802.11a/b/g/n/ac</v>
      </c>
      <c r="AW362" s="185">
        <f t="shared" ca="1" si="310"/>
        <v>4.2</v>
      </c>
      <c r="AX362" s="185">
        <f t="shared" ca="1" si="311"/>
        <v>10</v>
      </c>
      <c r="AY362" s="185" t="str">
        <f t="shared" ca="1" si="311"/>
        <v>iPad Wi-Fi 9:e Generationen</v>
      </c>
      <c r="AZ362" s="185">
        <f t="shared" ca="1" si="311"/>
        <v>0</v>
      </c>
      <c r="BA362" s="185" t="str">
        <f t="shared" ca="1" si="311"/>
        <v>iPadOS 14</v>
      </c>
      <c r="BB362" s="185">
        <f t="shared" ca="1" si="311"/>
        <v>5254</v>
      </c>
      <c r="BC362" s="185">
        <f t="shared" ca="1" si="311"/>
        <v>5254</v>
      </c>
      <c r="BD362" s="192" t="str">
        <f t="shared" ca="1" si="311"/>
        <v>ZAGG</v>
      </c>
      <c r="BE362" s="192" t="str">
        <f t="shared" ca="1" si="311"/>
        <v>ZAGG</v>
      </c>
      <c r="BF362" s="192" t="str">
        <f t="shared" ca="1" si="311"/>
        <v>Mophie</v>
      </c>
      <c r="BG362" s="192" t="str">
        <f t="shared" ca="1" si="311"/>
        <v>Tolerate</v>
      </c>
      <c r="BH362" s="192" t="str">
        <f t="shared" ca="1" si="312"/>
        <v>Apple</v>
      </c>
      <c r="BI362" s="192" t="str">
        <f t="shared" ca="1" si="312"/>
        <v>ZAGG Rugged Messenger Case - Skyddsfodral för surfplatta - robust - 10.2" - för Apple 10.2-inch iPad</v>
      </c>
      <c r="BJ362" s="192" t="str">
        <f t="shared" ca="1" si="312"/>
        <v>InvisibleShield Glass Elite+ Apple iPad 10.2" Screen</v>
      </c>
      <c r="BK362" s="192" t="str">
        <f t="shared" ca="1" si="312"/>
        <v>Wall Adapter-USB-C-20W-White-EU/mophie Charge and Sync Cable- USB-C to Lightning Cable 1.8M – White</v>
      </c>
      <c r="BL362" s="192" t="str">
        <f t="shared" ca="1" si="312"/>
        <v>Tolerate KEYBOARD FOLIO - Tangentbord och foliefodral - Bluetooth - svensk - svart - för Apple 10.2-inch iPad</v>
      </c>
      <c r="BM362" s="192" t="str">
        <f t="shared" ca="1" si="312"/>
        <v>Apple Pencil - Penna för surfplatta - för 10.2-inch iPad (7th generation, 8th generation); 10.5-inch iPad Air (3rd generation); 10.5-inch iPad Pro; 12.9-inch iPad Pro (1st generation, 2nd generation); 9.7-inch iPad (6th generation); 9.7-inch iPad Pro; iPad mini 5</v>
      </c>
      <c r="BN362" s="192">
        <f t="shared" ca="1" si="312"/>
        <v>430</v>
      </c>
      <c r="BO362" s="192">
        <f t="shared" ca="1" si="312"/>
        <v>302</v>
      </c>
      <c r="BP362" s="192">
        <f t="shared" ca="1" si="312"/>
        <v>226</v>
      </c>
      <c r="BQ362" s="192">
        <f t="shared" ca="1" si="312"/>
        <v>756</v>
      </c>
      <c r="BR362" s="192">
        <f t="shared" ca="1" si="312"/>
        <v>1284</v>
      </c>
      <c r="BS362" s="192">
        <f t="shared" ca="1" si="312"/>
        <v>672</v>
      </c>
      <c r="BT362" s="192">
        <f t="shared" ca="1" si="312"/>
        <v>85</v>
      </c>
      <c r="BU362" s="192">
        <f t="shared" ca="1" si="312"/>
        <v>100</v>
      </c>
      <c r="BV362" s="192">
        <f t="shared" ca="1" si="312"/>
        <v>0</v>
      </c>
      <c r="BW362" s="192"/>
      <c r="BX362" s="192"/>
      <c r="BY362" s="192" t="str">
        <f t="shared" ca="1" si="313"/>
        <v>Atea Sverige AB</v>
      </c>
      <c r="BZ362" s="192" t="str">
        <f t="shared" ca="1" si="313"/>
        <v>Apple</v>
      </c>
      <c r="CA362" s="199" t="s">
        <v>93</v>
      </c>
      <c r="CB362" s="185"/>
      <c r="CC362" s="185"/>
      <c r="CD362" s="185"/>
      <c r="CE362" s="185">
        <v>10.9</v>
      </c>
      <c r="CF362" s="185" t="s">
        <v>146</v>
      </c>
      <c r="CG362" s="185" t="s">
        <v>91</v>
      </c>
      <c r="CH362" s="185"/>
      <c r="CI362" s="185"/>
      <c r="CJ362" s="185"/>
      <c r="CK362" s="185" t="s">
        <v>146</v>
      </c>
      <c r="CL362" s="185"/>
      <c r="CM362" s="185"/>
      <c r="CN362" s="185"/>
    </row>
    <row r="363" spans="2:92" ht="29.25" customHeight="1" outlineLevel="1" x14ac:dyDescent="0.35">
      <c r="C363" s="61" t="s">
        <v>103</v>
      </c>
      <c r="D363" s="64"/>
      <c r="F363" s="78" t="str">
        <f t="shared" si="314"/>
        <v/>
      </c>
      <c r="G363" s="79" t="str">
        <f t="shared" ca="1" si="315"/>
        <v>802.11a/b/g/n/ac</v>
      </c>
      <c r="H363" s="79" t="str">
        <f t="shared" ca="1" si="315"/>
        <v>802.11a/b/g/n/ac</v>
      </c>
      <c r="I363" s="120" t="str">
        <f t="shared" ca="1" si="315"/>
        <v>802.11a/b/g/n/ac</v>
      </c>
      <c r="J363" s="62"/>
      <c r="Q363" s="185">
        <f t="shared" si="294"/>
        <v>0</v>
      </c>
      <c r="R363" s="185">
        <f t="shared" si="295"/>
        <v>0</v>
      </c>
      <c r="S363" s="185">
        <f t="shared" si="296"/>
        <v>0</v>
      </c>
      <c r="T363" s="185">
        <f t="shared" si="297"/>
        <v>0</v>
      </c>
      <c r="U363" s="185">
        <f t="shared" si="298"/>
        <v>0</v>
      </c>
      <c r="V363" s="185">
        <f t="shared" si="299"/>
        <v>0</v>
      </c>
      <c r="W363" s="185">
        <f t="shared" si="300"/>
        <v>0</v>
      </c>
      <c r="X363" s="185">
        <f t="shared" si="301"/>
        <v>0</v>
      </c>
      <c r="Y363" s="185">
        <f t="shared" si="302"/>
        <v>0</v>
      </c>
      <c r="Z363" s="196">
        <f t="shared" ca="1" si="303"/>
        <v>10177</v>
      </c>
      <c r="AA363" s="185" t="str">
        <f t="shared" si="304"/>
        <v>Offererad produktnr. 09Atea Sverige AB</v>
      </c>
      <c r="AB363" s="185" t="b">
        <f>IF(D358="",TRUE,IF(COUNTIF(Processor!$M$2:$M$3,D358)=0,IF(AN363=D358,TRUE,FALSE),IF(COUNTIF(AN363,INDEX(Processor!$N$2:$N$3,MATCH(Surfplattor!D358,Processor!$M$2:$M$3,0)))&gt;0,TRUE,FALSE)))</f>
        <v>1</v>
      </c>
      <c r="AC363" s="185" t="b">
        <f>IF($D$359="",TRUE,IF(COUNTIF(Processor!$I$2:$I$9,$D$359)&gt;0,AND(AO363&gt;INDEX(Processor!$J$2:$J$9,MATCH($D$359,Processor!$I$2:$I$9,0)),AO363&lt;INDEX(Processor!$K$2:$K$9,MATCH($D$359,Processor!$I$2:$I$9,0))),IF(AO363=$D$359,TRUE,FALSE)))</f>
        <v>1</v>
      </c>
      <c r="AD363" s="185" t="b">
        <f t="shared" si="305"/>
        <v>1</v>
      </c>
      <c r="AE363" s="185" t="b">
        <f t="shared" si="306"/>
        <v>1</v>
      </c>
      <c r="AF363" s="185" t="b">
        <f t="shared" si="307"/>
        <v>1</v>
      </c>
      <c r="AG363" s="185" t="b">
        <f t="shared" si="308"/>
        <v>1</v>
      </c>
      <c r="AH363" s="185" t="b">
        <f>IF($D$364="",TRUE,IF(INDEX(Processor!$C$14:$C$20,MATCH(LEFT(AT363,10)&amp;"",Processor!$A$14:$A$20,0))&gt;=INDEX(Processor!$C$14:$C$20,MATCH(LEFT($D$364,10)&amp;"",Processor!$A$14:$A$20,0)),TRUE,FALSE))</f>
        <v>1</v>
      </c>
      <c r="AI363" s="185" t="b">
        <f t="shared" si="309"/>
        <v>1</v>
      </c>
      <c r="AJ363" s="185"/>
      <c r="AK363" s="185"/>
      <c r="AL363" s="185" t="s">
        <v>194</v>
      </c>
      <c r="AM363" s="185">
        <v>1</v>
      </c>
      <c r="AN363" s="185" t="str">
        <f t="shared" ca="1" si="310"/>
        <v>Android 13</v>
      </c>
      <c r="AO363" s="185">
        <f t="shared" ca="1" si="310"/>
        <v>11</v>
      </c>
      <c r="AP363" s="185" t="str">
        <f t="shared" ca="1" si="310"/>
        <v>2560x1600</v>
      </c>
      <c r="AQ363" s="185">
        <f t="shared" ca="1" si="310"/>
        <v>128</v>
      </c>
      <c r="AR363" s="185">
        <f t="shared" ca="1" si="310"/>
        <v>5.3</v>
      </c>
      <c r="AS363" s="185" t="str">
        <f t="shared" ca="1" si="310"/>
        <v>802.11a/b/g/n/ac/ax</v>
      </c>
      <c r="AT363" s="185">
        <f t="shared" ca="1" si="310"/>
        <v>13</v>
      </c>
      <c r="AU363" s="185" t="str">
        <f t="shared" ca="1" si="310"/>
        <v>Ej miljömärkt</v>
      </c>
      <c r="AV363" s="185" t="str">
        <f t="shared" ca="1" si="310"/>
        <v>802.11a/b/g/n/ac/ax</v>
      </c>
      <c r="AW363" s="185">
        <f t="shared" ca="1" si="310"/>
        <v>5.3</v>
      </c>
      <c r="AX363" s="185">
        <f t="shared" ca="1" si="311"/>
        <v>13</v>
      </c>
      <c r="AY363" s="185" t="str">
        <f t="shared" ca="1" si="311"/>
        <v>Galaxy Tab S9 Wifi (128GB)</v>
      </c>
      <c r="AZ363" s="185">
        <f t="shared" ca="1" si="311"/>
        <v>0</v>
      </c>
      <c r="BA363" s="185" t="str">
        <f t="shared" ca="1" si="311"/>
        <v>Android 13</v>
      </c>
      <c r="BB363" s="185">
        <f t="shared" ca="1" si="311"/>
        <v>10177</v>
      </c>
      <c r="BC363" s="185">
        <f t="shared" ca="1" si="311"/>
        <v>10177</v>
      </c>
      <c r="BD363" s="192" t="str">
        <f t="shared" ca="1" si="311"/>
        <v>Tolerate</v>
      </c>
      <c r="BE363" s="192" t="str">
        <f t="shared" ca="1" si="311"/>
        <v>Tolerate</v>
      </c>
      <c r="BF363" s="192" t="str">
        <f t="shared" ca="1" si="311"/>
        <v>Samsung</v>
      </c>
      <c r="BG363" s="192" t="str">
        <f t="shared" ca="1" si="311"/>
        <v>Tolerate</v>
      </c>
      <c r="BH363" s="192" t="str">
        <f t="shared" ca="1" si="312"/>
        <v>Samsung</v>
      </c>
      <c r="BI363" s="192" t="str">
        <f t="shared" ca="1" si="312"/>
        <v>TOLERATE ARMOUR FOLIO TAB S9 BULK</v>
      </c>
      <c r="BJ363" s="192" t="str">
        <f t="shared" ca="1" si="312"/>
        <v>TOLERATE GLASS SCREEN PROTECTOR SAMSUNG TAB S9 BULK</v>
      </c>
      <c r="BK363" s="192" t="str">
        <f t="shared" ca="1" si="312"/>
        <v>Samsung Travel Adapter/USB-C till USB-A-kabel - 1.5 m</v>
      </c>
      <c r="BL363" s="192" t="str">
        <f t="shared" ca="1" si="312"/>
        <v xml:space="preserve">TOLERATE KEYBOARD FOLIO SAMSUNG TAB S8 </v>
      </c>
      <c r="BM363" s="192" t="str">
        <f t="shared" ca="1" si="312"/>
        <v>Samsung S-Pen</v>
      </c>
      <c r="BN363" s="192">
        <f t="shared" ca="1" si="312"/>
        <v>461</v>
      </c>
      <c r="BO363" s="192">
        <f t="shared" ca="1" si="312"/>
        <v>281</v>
      </c>
      <c r="BP363" s="192">
        <f t="shared" ca="1" si="312"/>
        <v>386</v>
      </c>
      <c r="BQ363" s="192">
        <f t="shared" ca="1" si="312"/>
        <v>756</v>
      </c>
      <c r="BR363" s="192">
        <f t="shared" ca="1" si="312"/>
        <v>504</v>
      </c>
      <c r="BS363" s="192">
        <f t="shared" ca="1" si="312"/>
        <v>1</v>
      </c>
      <c r="BT363" s="192">
        <f t="shared" ca="1" si="312"/>
        <v>85</v>
      </c>
      <c r="BU363" s="192">
        <f t="shared" ca="1" si="312"/>
        <v>100</v>
      </c>
      <c r="BV363" s="192">
        <f t="shared" ca="1" si="312"/>
        <v>0</v>
      </c>
      <c r="BW363" s="192"/>
      <c r="BX363" s="192"/>
      <c r="BY363" s="192" t="str">
        <f t="shared" ca="1" si="313"/>
        <v>Atea Sverige AB</v>
      </c>
      <c r="BZ363" s="192" t="str">
        <f t="shared" ca="1" si="313"/>
        <v>Samsung</v>
      </c>
      <c r="CA363" s="199" t="s">
        <v>147</v>
      </c>
      <c r="CB363" s="185"/>
      <c r="CC363" s="185"/>
      <c r="CD363" s="185"/>
      <c r="CE363" s="185">
        <v>11</v>
      </c>
      <c r="CF363" s="185"/>
      <c r="CG363" s="192"/>
      <c r="CH363" s="185"/>
      <c r="CI363" s="185"/>
      <c r="CJ363" s="185"/>
      <c r="CK363" s="185"/>
      <c r="CL363" s="185"/>
      <c r="CM363" s="185"/>
      <c r="CN363" s="192"/>
    </row>
    <row r="364" spans="2:92" ht="29.25" customHeight="1" outlineLevel="1" x14ac:dyDescent="0.35">
      <c r="C364" s="61" t="s">
        <v>120</v>
      </c>
      <c r="D364" s="64"/>
      <c r="F364" s="80" t="str">
        <f t="shared" si="314"/>
        <v/>
      </c>
      <c r="G364" s="81">
        <f t="shared" ca="1" si="315"/>
        <v>9</v>
      </c>
      <c r="H364" s="81">
        <f t="shared" ca="1" si="315"/>
        <v>9</v>
      </c>
      <c r="I364" s="121">
        <f t="shared" ca="1" si="315"/>
        <v>10</v>
      </c>
      <c r="J364" s="62"/>
      <c r="Q364" s="185">
        <f t="shared" si="294"/>
        <v>0</v>
      </c>
      <c r="R364" s="185">
        <f t="shared" si="295"/>
        <v>0</v>
      </c>
      <c r="S364" s="185">
        <f t="shared" si="296"/>
        <v>0</v>
      </c>
      <c r="T364" s="185">
        <f t="shared" si="297"/>
        <v>0</v>
      </c>
      <c r="U364" s="185">
        <f t="shared" si="298"/>
        <v>0</v>
      </c>
      <c r="V364" s="185">
        <f t="shared" si="299"/>
        <v>0</v>
      </c>
      <c r="W364" s="185">
        <f t="shared" si="300"/>
        <v>0</v>
      </c>
      <c r="X364" s="185">
        <f t="shared" si="301"/>
        <v>0</v>
      </c>
      <c r="Y364" s="185">
        <f t="shared" si="302"/>
        <v>0</v>
      </c>
      <c r="Z364" s="196">
        <f t="shared" ca="1" si="303"/>
        <v>8276</v>
      </c>
      <c r="AA364" s="185" t="str">
        <f t="shared" si="304"/>
        <v>Offererad produktnr. 10Atea Sverige AB</v>
      </c>
      <c r="AB364" s="185" t="b">
        <f>IF(D358="",TRUE,IF(COUNTIF(Processor!$M$2:$M$3,D358)=0,IF(AN364=D358,TRUE,FALSE),IF(COUNTIF(AN364,INDEX(Processor!$N$2:$N$3,MATCH(Surfplattor!D358,Processor!$M$2:$M$3,0)))&gt;0,TRUE,FALSE)))</f>
        <v>1</v>
      </c>
      <c r="AC364" s="185" t="b">
        <f>IF($D$359="",TRUE,IF(COUNTIF(Processor!$I$2:$I$9,$D$359)&gt;0,AND(AO364&gt;INDEX(Processor!$J$2:$J$9,MATCH($D$359,Processor!$I$2:$I$9,0)),AO364&lt;INDEX(Processor!$K$2:$K$9,MATCH($D$359,Processor!$I$2:$I$9,0))),IF(AO364=$D$359,TRUE,FALSE)))</f>
        <v>1</v>
      </c>
      <c r="AD364" s="185" t="b">
        <f t="shared" si="305"/>
        <v>1</v>
      </c>
      <c r="AE364" s="185" t="b">
        <f t="shared" si="306"/>
        <v>1</v>
      </c>
      <c r="AF364" s="185" t="b">
        <f t="shared" si="307"/>
        <v>1</v>
      </c>
      <c r="AG364" s="185" t="b">
        <f t="shared" si="308"/>
        <v>1</v>
      </c>
      <c r="AH364" s="185" t="b">
        <f>IF($D$364="",TRUE,IF(INDEX(Processor!$C$14:$C$20,MATCH(LEFT(AT364,10)&amp;"",Processor!$A$14:$A$20,0))&gt;=INDEX(Processor!$C$14:$C$20,MATCH(LEFT($D$364,10)&amp;"",Processor!$A$14:$A$20,0)),TRUE,FALSE))</f>
        <v>1</v>
      </c>
      <c r="AI364" s="185" t="b">
        <f t="shared" si="309"/>
        <v>1</v>
      </c>
      <c r="AJ364" s="185"/>
      <c r="AK364" s="185"/>
      <c r="AL364" s="185" t="s">
        <v>195</v>
      </c>
      <c r="AM364" s="185">
        <v>1</v>
      </c>
      <c r="AN364" s="185" t="str">
        <f t="shared" ca="1" si="310"/>
        <v>Android 10</v>
      </c>
      <c r="AO364" s="185">
        <f t="shared" ca="1" si="310"/>
        <v>11.5</v>
      </c>
      <c r="AP364" s="185" t="str">
        <f t="shared" ca="1" si="310"/>
        <v>2560x1600</v>
      </c>
      <c r="AQ364" s="185">
        <f t="shared" ca="1" si="310"/>
        <v>128</v>
      </c>
      <c r="AR364" s="185">
        <f t="shared" ca="1" si="310"/>
        <v>5</v>
      </c>
      <c r="AS364" s="185" t="str">
        <f t="shared" ca="1" si="310"/>
        <v>802.11a/b/g/n/ac</v>
      </c>
      <c r="AT364" s="185">
        <f t="shared" ca="1" si="310"/>
        <v>8</v>
      </c>
      <c r="AU364" s="185" t="str">
        <f t="shared" ca="1" si="310"/>
        <v>Ej miljömärkt</v>
      </c>
      <c r="AV364" s="185" t="str">
        <f t="shared" ca="1" si="310"/>
        <v>802.11a/b/g/n/ac</v>
      </c>
      <c r="AW364" s="185">
        <f t="shared" ca="1" si="310"/>
        <v>5</v>
      </c>
      <c r="AX364" s="185">
        <f t="shared" ca="1" si="311"/>
        <v>8</v>
      </c>
      <c r="AY364" s="185" t="str">
        <f t="shared" ca="1" si="311"/>
        <v>Lenovo Tab P11 Pro</v>
      </c>
      <c r="AZ364" s="185">
        <f t="shared" ca="1" si="311"/>
        <v>0</v>
      </c>
      <c r="BA364" s="185" t="str">
        <f t="shared" ca="1" si="311"/>
        <v>Android 10</v>
      </c>
      <c r="BB364" s="185">
        <f t="shared" ca="1" si="311"/>
        <v>8276</v>
      </c>
      <c r="BC364" s="185">
        <f t="shared" ca="1" si="311"/>
        <v>8276</v>
      </c>
      <c r="BD364" s="192" t="str">
        <f t="shared" ca="1" si="311"/>
        <v>Tolerate</v>
      </c>
      <c r="BE364" s="192" t="str">
        <f t="shared" ca="1" si="311"/>
        <v>Zagg</v>
      </c>
      <c r="BF364" s="192" t="str">
        <f t="shared" ca="1" si="311"/>
        <v>Lenovo</v>
      </c>
      <c r="BG364" s="192" t="str">
        <f t="shared" ca="1" si="311"/>
        <v>Lenovo</v>
      </c>
      <c r="BH364" s="192" t="str">
        <f t="shared" ca="1" si="312"/>
        <v>Lenovo</v>
      </c>
      <c r="BI364" s="192" t="str">
        <f t="shared" ca="1" si="312"/>
        <v>TOLERATE ARMOR FOLIO LENOVO TAB 11 PRO</v>
      </c>
      <c r="BJ364" s="192" t="str">
        <f t="shared" ca="1" si="312"/>
        <v>InvisibleShield Glass Elite+</v>
      </c>
      <c r="BK364" s="192" t="str">
        <f t="shared" ca="1" si="312"/>
        <v xml:space="preserve">Lenovo Smart Charge station </v>
      </c>
      <c r="BL364" s="192" t="str">
        <f t="shared" ca="1" si="312"/>
        <v>Lenovo P11 Pro Keyboard</v>
      </c>
      <c r="BM364" s="192" t="str">
        <f t="shared" ca="1" si="312"/>
        <v>Lenovo Precision Pen 2</v>
      </c>
      <c r="BN364" s="192">
        <f t="shared" ca="1" si="312"/>
        <v>502</v>
      </c>
      <c r="BO364" s="192">
        <f t="shared" ca="1" si="312"/>
        <v>293</v>
      </c>
      <c r="BP364" s="192">
        <f t="shared" ca="1" si="312"/>
        <v>324</v>
      </c>
      <c r="BQ364" s="192">
        <f t="shared" ca="1" si="312"/>
        <v>1138</v>
      </c>
      <c r="BR364" s="192">
        <f t="shared" ca="1" si="312"/>
        <v>718</v>
      </c>
      <c r="BS364" s="192">
        <f t="shared" ca="1" si="312"/>
        <v>1</v>
      </c>
      <c r="BT364" s="192">
        <f t="shared" ca="1" si="312"/>
        <v>85</v>
      </c>
      <c r="BU364" s="192">
        <f t="shared" ca="1" si="312"/>
        <v>100</v>
      </c>
      <c r="BV364" s="192">
        <f t="shared" ca="1" si="312"/>
        <v>0</v>
      </c>
      <c r="BW364" s="192"/>
      <c r="BX364" s="192"/>
      <c r="BY364" s="192" t="str">
        <f t="shared" ca="1" si="313"/>
        <v>Atea Sverige AB</v>
      </c>
      <c r="BZ364" s="192" t="str">
        <f t="shared" ca="1" si="313"/>
        <v>Lenovo</v>
      </c>
      <c r="CA364" s="199"/>
      <c r="CB364" s="185"/>
      <c r="CC364" s="185"/>
      <c r="CD364" s="185"/>
      <c r="CE364" s="185">
        <v>11.5</v>
      </c>
      <c r="CF364" s="185"/>
      <c r="CG364" s="185"/>
      <c r="CH364" s="185"/>
      <c r="CI364" s="185"/>
      <c r="CJ364" s="185"/>
      <c r="CK364" s="192"/>
      <c r="CL364" s="185"/>
      <c r="CM364" s="185"/>
      <c r="CN364" s="185"/>
    </row>
    <row r="365" spans="2:92" ht="29.25" customHeight="1" outlineLevel="1" x14ac:dyDescent="0.35">
      <c r="C365" s="61" t="s">
        <v>39</v>
      </c>
      <c r="D365" s="64"/>
      <c r="F365" s="78" t="str">
        <f t="shared" si="314"/>
        <v/>
      </c>
      <c r="G365" s="79" t="str">
        <f t="shared" ca="1" si="315"/>
        <v>Ej miljömärkt</v>
      </c>
      <c r="H365" s="79" t="str">
        <f t="shared" ca="1" si="315"/>
        <v>Ej miljömärkt</v>
      </c>
      <c r="I365" s="120" t="str">
        <f t="shared" ca="1" si="315"/>
        <v>Ej miljömärkt</v>
      </c>
      <c r="J365" s="62"/>
      <c r="Q365" s="185">
        <f t="shared" si="294"/>
        <v>0</v>
      </c>
      <c r="R365" s="185">
        <f t="shared" si="295"/>
        <v>0</v>
      </c>
      <c r="S365" s="185">
        <f t="shared" si="296"/>
        <v>0</v>
      </c>
      <c r="T365" s="185">
        <f t="shared" si="297"/>
        <v>0</v>
      </c>
      <c r="U365" s="185">
        <f t="shared" si="298"/>
        <v>0</v>
      </c>
      <c r="V365" s="185">
        <f t="shared" si="299"/>
        <v>0</v>
      </c>
      <c r="W365" s="185">
        <f t="shared" si="300"/>
        <v>0</v>
      </c>
      <c r="X365" s="185">
        <f t="shared" si="301"/>
        <v>0</v>
      </c>
      <c r="Y365" s="185">
        <f t="shared" si="302"/>
        <v>0</v>
      </c>
      <c r="Z365" s="196">
        <f t="shared" ca="1" si="303"/>
        <v>3261</v>
      </c>
      <c r="AA365" s="185" t="str">
        <f t="shared" si="304"/>
        <v>Offererad produktnr. 07Dustin Sverige AB</v>
      </c>
      <c r="AB365" s="185" t="b">
        <f>IF(D358="",TRUE,IF(COUNTIF(Processor!$M$2:$M$3,D358)=0,IF(AN365=D358,TRUE,FALSE),IF(COUNTIF(AN365,INDEX(Processor!$N$2:$N$3,MATCH(Surfplattor!D358,Processor!$M$2:$M$3,0)))&gt;0,TRUE,FALSE)))</f>
        <v>1</v>
      </c>
      <c r="AC365" s="185" t="b">
        <f>IF($D$359="",TRUE,IF(COUNTIF(Processor!$I$2:$I$9,$D$359)&gt;0,AND(AO365&gt;INDEX(Processor!$J$2:$J$9,MATCH($D$359,Processor!$I$2:$I$9,0)),AO365&lt;INDEX(Processor!$K$2:$K$9,MATCH($D$359,Processor!$I$2:$I$9,0))),IF(AO365=$D$359,TRUE,FALSE)))</f>
        <v>1</v>
      </c>
      <c r="AD365" s="185" t="b">
        <f t="shared" si="305"/>
        <v>1</v>
      </c>
      <c r="AE365" s="185" t="b">
        <f t="shared" si="306"/>
        <v>1</v>
      </c>
      <c r="AF365" s="185" t="b">
        <f t="shared" si="307"/>
        <v>1</v>
      </c>
      <c r="AG365" s="185" t="b">
        <f t="shared" si="308"/>
        <v>1</v>
      </c>
      <c r="AH365" s="185" t="b">
        <f>IF($D$364="",TRUE,IF(INDEX(Processor!$C$14:$C$20,MATCH(LEFT(AT365,10)&amp;"",Processor!$A$14:$A$20,0))&gt;=INDEX(Processor!$C$14:$C$20,MATCH(LEFT($D$364,10)&amp;"",Processor!$A$14:$A$20,0)),TRUE,FALSE))</f>
        <v>1</v>
      </c>
      <c r="AI365" s="185" t="b">
        <f t="shared" si="309"/>
        <v>1</v>
      </c>
      <c r="AJ365" s="185"/>
      <c r="AK365" s="185"/>
      <c r="AL365" s="185" t="s">
        <v>180</v>
      </c>
      <c r="AM365" s="185">
        <v>1</v>
      </c>
      <c r="AN365" s="185" t="str">
        <f t="shared" ca="1" si="310"/>
        <v>Android 11</v>
      </c>
      <c r="AO365" s="185">
        <f t="shared" ca="1" si="310"/>
        <v>10.4</v>
      </c>
      <c r="AP365" s="185" t="str">
        <f t="shared" ca="1" si="310"/>
        <v>2000x1200</v>
      </c>
      <c r="AQ365" s="185">
        <f t="shared" ca="1" si="310"/>
        <v>64</v>
      </c>
      <c r="AR365" s="185">
        <f t="shared" ca="1" si="310"/>
        <v>5</v>
      </c>
      <c r="AS365" s="185" t="str">
        <f t="shared" ca="1" si="310"/>
        <v>802.11a/b/g/n/ac</v>
      </c>
      <c r="AT365" s="185">
        <f t="shared" ca="1" si="310"/>
        <v>12</v>
      </c>
      <c r="AU365" s="185" t="str">
        <f t="shared" ca="1" si="310"/>
        <v>EPEAT Bronze (Canada)</v>
      </c>
      <c r="AV365" s="185" t="str">
        <f t="shared" ca="1" si="310"/>
        <v>802.11a/b/g/n/ac</v>
      </c>
      <c r="AW365" s="185">
        <f t="shared" ca="1" si="310"/>
        <v>5</v>
      </c>
      <c r="AX365" s="185">
        <f t="shared" ca="1" si="311"/>
        <v>12</v>
      </c>
      <c r="AY365" s="185" t="str">
        <f t="shared" ca="1" si="311"/>
        <v>Galaxy Tab S6 Lite WiFi (64GB)</v>
      </c>
      <c r="AZ365" s="185">
        <f t="shared" ca="1" si="311"/>
        <v>0</v>
      </c>
      <c r="BA365" s="185" t="str">
        <f t="shared" ca="1" si="311"/>
        <v>Android 11</v>
      </c>
      <c r="BB365" s="185">
        <f t="shared" ca="1" si="311"/>
        <v>3261</v>
      </c>
      <c r="BC365" s="185">
        <f t="shared" ca="1" si="311"/>
        <v>3261</v>
      </c>
      <c r="BD365" s="192" t="str">
        <f t="shared" ca="1" si="311"/>
        <v>Samsung</v>
      </c>
      <c r="BE365" s="192" t="str">
        <f t="shared" ca="1" si="311"/>
        <v>Hama</v>
      </c>
      <c r="BF365" s="192" t="str">
        <f t="shared" ca="1" si="311"/>
        <v>Samsung</v>
      </c>
      <c r="BG365" s="192" t="str">
        <f t="shared" ca="1" si="311"/>
        <v>Voxicon</v>
      </c>
      <c r="BH365" s="192" t="str">
        <f t="shared" ca="1" si="312"/>
        <v>Samsung</v>
      </c>
      <c r="BI365" s="192" t="str">
        <f t="shared" ca="1" si="312"/>
        <v>GH96-13408A</v>
      </c>
      <c r="BJ365" s="192" t="str">
        <f t="shared" ca="1" si="312"/>
        <v>KAP12483</v>
      </c>
      <c r="BK365" s="192" t="str">
        <f t="shared" ca="1" si="312"/>
        <v>EP-T1510NBEGEU / EP-TA20EWECGWW</v>
      </c>
      <c r="BL365" s="192" t="str">
        <f t="shared" ca="1" si="312"/>
        <v>DK-199B-G</v>
      </c>
      <c r="BM365" s="192" t="str">
        <f t="shared" ca="1" si="312"/>
        <v>EJ-PP610BJEGEU / EJ-PP610BLEGEU</v>
      </c>
      <c r="BN365" s="192">
        <f t="shared" ca="1" si="312"/>
        <v>518</v>
      </c>
      <c r="BO365" s="192">
        <f t="shared" ca="1" si="312"/>
        <v>219</v>
      </c>
      <c r="BP365" s="192">
        <f t="shared" ca="1" si="312"/>
        <v>111</v>
      </c>
      <c r="BQ365" s="192">
        <f t="shared" ca="1" si="312"/>
        <v>936</v>
      </c>
      <c r="BR365" s="192">
        <f t="shared" ca="1" si="312"/>
        <v>305</v>
      </c>
      <c r="BS365" s="192">
        <f t="shared" ca="1" si="312"/>
        <v>532</v>
      </c>
      <c r="BT365" s="192">
        <f t="shared" ca="1" si="312"/>
        <v>20</v>
      </c>
      <c r="BU365" s="192">
        <f t="shared" ca="1" si="312"/>
        <v>20</v>
      </c>
      <c r="BV365" s="192">
        <f t="shared" ca="1" si="312"/>
        <v>0</v>
      </c>
      <c r="BW365" s="192"/>
      <c r="BX365" s="192"/>
      <c r="BY365" s="192" t="str">
        <f t="shared" ca="1" si="313"/>
        <v>Dustin Sverige AB</v>
      </c>
      <c r="BZ365" s="192" t="str">
        <f t="shared" ca="1" si="313"/>
        <v>Samsung</v>
      </c>
      <c r="CA365" s="199"/>
      <c r="CB365" s="185"/>
      <c r="CC365" s="185"/>
      <c r="CD365" s="185"/>
      <c r="CE365" s="186">
        <v>12.4</v>
      </c>
      <c r="CF365" s="185"/>
      <c r="CG365" s="185"/>
      <c r="CH365" s="185"/>
      <c r="CI365" s="185"/>
      <c r="CJ365" s="185"/>
      <c r="CK365" s="185"/>
      <c r="CL365" s="185"/>
      <c r="CM365" s="185"/>
      <c r="CN365" s="185"/>
    </row>
    <row r="366" spans="2:92" ht="22.5" customHeight="1" outlineLevel="1" x14ac:dyDescent="0.35">
      <c r="C366" s="66"/>
      <c r="D366" s="67"/>
      <c r="G366" s="62"/>
      <c r="H366" s="62"/>
      <c r="I366" s="62"/>
      <c r="J366" s="62"/>
      <c r="Q366" s="185">
        <f t="shared" si="294"/>
        <v>0</v>
      </c>
      <c r="R366" s="185">
        <f t="shared" si="295"/>
        <v>0</v>
      </c>
      <c r="S366" s="185">
        <f t="shared" si="296"/>
        <v>0</v>
      </c>
      <c r="T366" s="185">
        <f t="shared" si="297"/>
        <v>0</v>
      </c>
      <c r="U366" s="185">
        <f t="shared" si="298"/>
        <v>0</v>
      </c>
      <c r="V366" s="185">
        <f t="shared" si="299"/>
        <v>0</v>
      </c>
      <c r="W366" s="185">
        <f t="shared" si="300"/>
        <v>0</v>
      </c>
      <c r="X366" s="185">
        <f t="shared" si="301"/>
        <v>0</v>
      </c>
      <c r="Y366" s="185">
        <f t="shared" si="302"/>
        <v>0</v>
      </c>
      <c r="Z366" s="196">
        <f t="shared" ca="1" si="303"/>
        <v>3751</v>
      </c>
      <c r="AA366" s="185" t="str">
        <f t="shared" si="304"/>
        <v>Offererad produktnr. 08Dustin Sverige AB</v>
      </c>
      <c r="AB366" s="185" t="b">
        <f>IF(D358="",TRUE,IF(COUNTIF(Processor!$M$2:$M$3,D358)=0,IF(AN366=D358,TRUE,FALSE),IF(COUNTIF(AN366,INDEX(Processor!$N$2:$N$3,MATCH(Surfplattor!D358,Processor!$M$2:$M$3,0)))&gt;0,TRUE,FALSE)))</f>
        <v>1</v>
      </c>
      <c r="AC366" s="185" t="b">
        <f>IF($D$359="",TRUE,IF(COUNTIF(Processor!$I$2:$I$9,$D$359)&gt;0,AND(AO366&gt;INDEX(Processor!$J$2:$J$9,MATCH($D$359,Processor!$I$2:$I$9,0)),AO366&lt;INDEX(Processor!$K$2:$K$9,MATCH($D$359,Processor!$I$2:$I$9,0))),IF(AO366=$D$359,TRUE,FALSE)))</f>
        <v>1</v>
      </c>
      <c r="AD366" s="185" t="b">
        <f t="shared" si="305"/>
        <v>1</v>
      </c>
      <c r="AE366" s="185" t="b">
        <f t="shared" si="306"/>
        <v>1</v>
      </c>
      <c r="AF366" s="185" t="b">
        <f t="shared" si="307"/>
        <v>1</v>
      </c>
      <c r="AG366" s="185" t="b">
        <f t="shared" si="308"/>
        <v>1</v>
      </c>
      <c r="AH366" s="185" t="b">
        <f>IF($D$364="",TRUE,IF(INDEX(Processor!$C$14:$C$20,MATCH(LEFT(AT366,10)&amp;"",Processor!$A$14:$A$20,0))&gt;=INDEX(Processor!$C$14:$C$20,MATCH(LEFT($D$364,10)&amp;"",Processor!$A$14:$A$20,0)),TRUE,FALSE))</f>
        <v>1</v>
      </c>
      <c r="AI366" s="185" t="b">
        <f t="shared" si="309"/>
        <v>1</v>
      </c>
      <c r="AJ366" s="185"/>
      <c r="AK366" s="185"/>
      <c r="AL366" s="185" t="s">
        <v>181</v>
      </c>
      <c r="AM366" s="185">
        <v>1</v>
      </c>
      <c r="AN366" s="185" t="str">
        <f t="shared" ca="1" si="310"/>
        <v>iPadOS 14</v>
      </c>
      <c r="AO366" s="185">
        <f t="shared" ca="1" si="310"/>
        <v>10.199999999999999</v>
      </c>
      <c r="AP366" s="185" t="str">
        <f t="shared" ca="1" si="310"/>
        <v>2160x1620</v>
      </c>
      <c r="AQ366" s="185">
        <f t="shared" ca="1" si="310"/>
        <v>64</v>
      </c>
      <c r="AR366" s="185">
        <f t="shared" ca="1" si="310"/>
        <v>4.2</v>
      </c>
      <c r="AS366" s="185" t="str">
        <f t="shared" ca="1" si="310"/>
        <v>802.11a/b/g/n/ac</v>
      </c>
      <c r="AT366" s="185">
        <f t="shared" ca="1" si="310"/>
        <v>10</v>
      </c>
      <c r="AU366" s="185" t="str">
        <f t="shared" ca="1" si="310"/>
        <v>EPEAT Gold</v>
      </c>
      <c r="AV366" s="185" t="str">
        <f t="shared" ca="1" si="310"/>
        <v>802.11a/b/g/n/ac</v>
      </c>
      <c r="AW366" s="185">
        <f t="shared" ca="1" si="310"/>
        <v>4.2</v>
      </c>
      <c r="AX366" s="185">
        <f t="shared" ca="1" si="311"/>
        <v>10</v>
      </c>
      <c r="AY366" s="185" t="str">
        <f t="shared" ca="1" si="311"/>
        <v>iPad 9th gen</v>
      </c>
      <c r="AZ366" s="185">
        <f t="shared" ca="1" si="311"/>
        <v>0</v>
      </c>
      <c r="BA366" s="185" t="str">
        <f t="shared" ca="1" si="311"/>
        <v>iPadOS 14</v>
      </c>
      <c r="BB366" s="185">
        <f t="shared" ca="1" si="311"/>
        <v>3751</v>
      </c>
      <c r="BC366" s="185">
        <f t="shared" ca="1" si="311"/>
        <v>3751</v>
      </c>
      <c r="BD366" s="192" t="str">
        <f t="shared" ca="1" si="311"/>
        <v>Cirafon</v>
      </c>
      <c r="BE366" s="192" t="str">
        <f t="shared" ca="1" si="311"/>
        <v>Cirafon</v>
      </c>
      <c r="BF366" s="192" t="str">
        <f t="shared" ca="1" si="311"/>
        <v>Cirafon</v>
      </c>
      <c r="BG366" s="192" t="str">
        <f t="shared" ca="1" si="311"/>
        <v>Voxicon</v>
      </c>
      <c r="BH366" s="192" t="str">
        <f t="shared" ca="1" si="312"/>
        <v>Zagg</v>
      </c>
      <c r="BI366" s="192" t="str">
        <f t="shared" ca="1" si="312"/>
        <v>APD9-HBSFO-BLCK</v>
      </c>
      <c r="BJ366" s="192" t="str">
        <f t="shared" ca="1" si="312"/>
        <v>CG-TG-APL-IDP102</v>
      </c>
      <c r="BK366" s="192" t="str">
        <f t="shared" ca="1" si="312"/>
        <v>PD20E-1TGA-W/DMA-038#KIT</v>
      </c>
      <c r="BL366" s="192" t="str">
        <f t="shared" ca="1" si="312"/>
        <v>DK-400B-WHT</v>
      </c>
      <c r="BM366" s="192">
        <f t="shared" ca="1" si="312"/>
        <v>109907068</v>
      </c>
      <c r="BN366" s="192">
        <f t="shared" ca="1" si="312"/>
        <v>347</v>
      </c>
      <c r="BO366" s="192">
        <f t="shared" ca="1" si="312"/>
        <v>234</v>
      </c>
      <c r="BP366" s="192">
        <f t="shared" ca="1" si="312"/>
        <v>309</v>
      </c>
      <c r="BQ366" s="192">
        <f t="shared" ca="1" si="312"/>
        <v>407</v>
      </c>
      <c r="BR366" s="192">
        <f t="shared" ca="1" si="312"/>
        <v>373</v>
      </c>
      <c r="BS366" s="192">
        <f t="shared" ca="1" si="312"/>
        <v>532</v>
      </c>
      <c r="BT366" s="192">
        <f t="shared" ca="1" si="312"/>
        <v>20</v>
      </c>
      <c r="BU366" s="192">
        <f t="shared" ca="1" si="312"/>
        <v>20</v>
      </c>
      <c r="BV366" s="192">
        <f t="shared" ca="1" si="312"/>
        <v>0</v>
      </c>
      <c r="BW366" s="192"/>
      <c r="BX366" s="192"/>
      <c r="BY366" s="192" t="str">
        <f t="shared" ca="1" si="313"/>
        <v>Dustin Sverige AB</v>
      </c>
      <c r="BZ366" s="192" t="str">
        <f t="shared" ca="1" si="313"/>
        <v>Apple</v>
      </c>
      <c r="CA366" s="199"/>
      <c r="CB366" s="185"/>
      <c r="CC366" s="185"/>
      <c r="CD366" s="185"/>
      <c r="CE366" s="185"/>
      <c r="CF366" s="185"/>
      <c r="CG366" s="185"/>
      <c r="CH366" s="185"/>
      <c r="CI366" s="185"/>
      <c r="CJ366" s="185"/>
      <c r="CK366" s="185"/>
      <c r="CL366" s="185"/>
      <c r="CM366" s="185"/>
      <c r="CN366" s="185"/>
    </row>
    <row r="367" spans="2:92" ht="22.5" customHeight="1" outlineLevel="1" x14ac:dyDescent="0.35">
      <c r="C367" s="212" t="s">
        <v>366</v>
      </c>
      <c r="D367" s="213"/>
      <c r="E367" s="213"/>
      <c r="F367" s="213"/>
      <c r="G367" s="213"/>
      <c r="H367" s="213"/>
      <c r="I367" s="214"/>
      <c r="J367" s="94"/>
      <c r="Q367" s="185">
        <f t="shared" si="294"/>
        <v>0</v>
      </c>
      <c r="R367" s="185">
        <f t="shared" si="295"/>
        <v>0</v>
      </c>
      <c r="S367" s="185">
        <f t="shared" si="296"/>
        <v>0</v>
      </c>
      <c r="T367" s="185">
        <f t="shared" si="297"/>
        <v>0</v>
      </c>
      <c r="U367" s="185">
        <f t="shared" si="298"/>
        <v>0</v>
      </c>
      <c r="V367" s="185">
        <f t="shared" si="299"/>
        <v>0</v>
      </c>
      <c r="W367" s="185">
        <f t="shared" si="300"/>
        <v>0</v>
      </c>
      <c r="X367" s="185">
        <f t="shared" si="301"/>
        <v>0</v>
      </c>
      <c r="Y367" s="185">
        <f t="shared" si="302"/>
        <v>0</v>
      </c>
      <c r="Z367" s="196">
        <f t="shared" ca="1" si="303"/>
        <v>5710</v>
      </c>
      <c r="AA367" s="185" t="str">
        <f t="shared" si="304"/>
        <v>Offererad produktnr. 09Dustin Sverige AB</v>
      </c>
      <c r="AB367" s="185" t="b">
        <f>IF(D358="",TRUE,IF(COUNTIF(Processor!$M$2:$M$3,D358)=0,IF(AN367=D358,TRUE,FALSE),IF(COUNTIF(AN367,INDEX(Processor!$N$2:$N$3,MATCH(Surfplattor!D358,Processor!$M$2:$M$3,0)))&gt;0,TRUE,FALSE)))</f>
        <v>1</v>
      </c>
      <c r="AC367" s="185" t="b">
        <f>IF($D$359="",TRUE,IF(COUNTIF(Processor!$I$2:$I$9,$D$359)&gt;0,AND(AO367&gt;INDEX(Processor!$J$2:$J$9,MATCH($D$359,Processor!$I$2:$I$9,0)),AO367&lt;INDEX(Processor!$K$2:$K$9,MATCH($D$359,Processor!$I$2:$I$9,0))),IF(AO367=$D$359,TRUE,FALSE)))</f>
        <v>1</v>
      </c>
      <c r="AD367" s="185" t="b">
        <f t="shared" si="305"/>
        <v>1</v>
      </c>
      <c r="AE367" s="185" t="b">
        <f t="shared" si="306"/>
        <v>1</v>
      </c>
      <c r="AF367" s="185" t="b">
        <f t="shared" si="307"/>
        <v>1</v>
      </c>
      <c r="AG367" s="185" t="b">
        <f t="shared" si="308"/>
        <v>1</v>
      </c>
      <c r="AH367" s="185" t="b">
        <f>IF($D$364="",TRUE,IF(INDEX(Processor!$C$14:$C$20,MATCH(LEFT(AT367,10)&amp;"",Processor!$A$14:$A$20,0))&gt;=INDEX(Processor!$C$14:$C$20,MATCH(LEFT($D$364,10)&amp;"",Processor!$A$14:$A$20,0)),TRUE,FALSE))</f>
        <v>1</v>
      </c>
      <c r="AI367" s="185" t="b">
        <f t="shared" si="309"/>
        <v>1</v>
      </c>
      <c r="AJ367" s="185"/>
      <c r="AK367" s="185"/>
      <c r="AL367" s="185" t="s">
        <v>182</v>
      </c>
      <c r="AM367" s="185">
        <v>1</v>
      </c>
      <c r="AN367" s="185" t="str">
        <f t="shared" ref="AN367:AW376" ca="1" si="316">IFERROR(INDEX(INDIRECT(AN$352&amp;"!$A$10:CC100000"),MATCH($AL367,INDIRECT(AN$352&amp;"!BH$10:BH100000"),0),MATCH(AN$354,INDIRECT(AN$352&amp;"!a10:CC10"),0)),"False")</f>
        <v>Android 13</v>
      </c>
      <c r="AO367" s="185">
        <f t="shared" ca="1" si="316"/>
        <v>11</v>
      </c>
      <c r="AP367" s="185" t="str">
        <f t="shared" ca="1" si="316"/>
        <v>2560x1600</v>
      </c>
      <c r="AQ367" s="185">
        <f t="shared" ca="1" si="316"/>
        <v>128</v>
      </c>
      <c r="AR367" s="185">
        <f t="shared" ca="1" si="316"/>
        <v>5.3</v>
      </c>
      <c r="AS367" s="185" t="str">
        <f t="shared" ca="1" si="316"/>
        <v>802.11a/b/g/n/ac/ax</v>
      </c>
      <c r="AT367" s="185">
        <f t="shared" ca="1" si="316"/>
        <v>13</v>
      </c>
      <c r="AU367" s="185" t="str">
        <f t="shared" ca="1" si="316"/>
        <v>EPEAT Bronze (Canada)</v>
      </c>
      <c r="AV367" s="185" t="str">
        <f t="shared" ca="1" si="316"/>
        <v>802.11a/b/g/n/ac/ax</v>
      </c>
      <c r="AW367" s="185">
        <f t="shared" ca="1" si="316"/>
        <v>5.3</v>
      </c>
      <c r="AX367" s="185">
        <f t="shared" ref="AX367:BG376" ca="1" si="317">IFERROR(INDEX(INDIRECT(AX$352&amp;"!$A$10:CC100000"),MATCH($AL367,INDIRECT(AX$352&amp;"!BH$10:BH100000"),0),MATCH(AX$354,INDIRECT(AX$352&amp;"!a10:CC10"),0)),"False")</f>
        <v>13</v>
      </c>
      <c r="AY367" s="185" t="str">
        <f t="shared" ca="1" si="317"/>
        <v>Galaxy Tab S9</v>
      </c>
      <c r="AZ367" s="185">
        <f t="shared" ca="1" si="317"/>
        <v>0</v>
      </c>
      <c r="BA367" s="185" t="str">
        <f t="shared" ca="1" si="317"/>
        <v>Android 13</v>
      </c>
      <c r="BB367" s="185">
        <f t="shared" ca="1" si="317"/>
        <v>5710</v>
      </c>
      <c r="BC367" s="185">
        <f t="shared" ca="1" si="317"/>
        <v>5710</v>
      </c>
      <c r="BD367" s="192" t="str">
        <f t="shared" ca="1" si="317"/>
        <v>UAG METROPOLIS SE</v>
      </c>
      <c r="BE367" s="192" t="str">
        <f t="shared" ca="1" si="317"/>
        <v>Panzerglass</v>
      </c>
      <c r="BF367" s="192" t="str">
        <f t="shared" ca="1" si="317"/>
        <v xml:space="preserve">Samsung </v>
      </c>
      <c r="BG367" s="192" t="str">
        <f t="shared" ca="1" si="317"/>
        <v>Voxicon</v>
      </c>
      <c r="BH367" s="192" t="str">
        <f t="shared" ref="BH367:BV376" ca="1" si="318">IFERROR(INDEX(INDIRECT(BH$352&amp;"!$A$10:CC100000"),MATCH($AL367,INDIRECT(BH$352&amp;"!BH$10:BH100000"),0),MATCH(BH$354,INDIRECT(BH$352&amp;"!a10:CC10"),0)),"False")</f>
        <v>INGÅR</v>
      </c>
      <c r="BI367" s="192">
        <f t="shared" ca="1" si="318"/>
        <v>224339114040</v>
      </c>
      <c r="BJ367" s="192">
        <f t="shared" ca="1" si="318"/>
        <v>7332</v>
      </c>
      <c r="BK367" s="192" t="str">
        <f t="shared" ca="1" si="318"/>
        <v>EP-T1510NBEGEU / EP-TA20EWECGWW</v>
      </c>
      <c r="BL367" s="192" t="str">
        <f t="shared" ca="1" si="318"/>
        <v>DK-199B-G</v>
      </c>
      <c r="BM367" s="192">
        <f t="shared" ca="1" si="318"/>
        <v>0</v>
      </c>
      <c r="BN367" s="192">
        <f t="shared" ca="1" si="318"/>
        <v>419</v>
      </c>
      <c r="BO367" s="192">
        <f t="shared" ca="1" si="318"/>
        <v>269</v>
      </c>
      <c r="BP367" s="192">
        <f t="shared" ca="1" si="318"/>
        <v>111</v>
      </c>
      <c r="BQ367" s="192">
        <f t="shared" ca="1" si="318"/>
        <v>866</v>
      </c>
      <c r="BR367" s="192">
        <f t="shared" ca="1" si="318"/>
        <v>0</v>
      </c>
      <c r="BS367" s="192">
        <f t="shared" ca="1" si="318"/>
        <v>532</v>
      </c>
      <c r="BT367" s="192">
        <f t="shared" ca="1" si="318"/>
        <v>20</v>
      </c>
      <c r="BU367" s="192">
        <f t="shared" ca="1" si="318"/>
        <v>20</v>
      </c>
      <c r="BV367" s="192">
        <f t="shared" ca="1" si="318"/>
        <v>0</v>
      </c>
      <c r="BW367" s="192"/>
      <c r="BX367" s="192"/>
      <c r="BY367" s="192" t="str">
        <f t="shared" ca="1" si="313"/>
        <v>Dustin Sverige AB</v>
      </c>
      <c r="BZ367" s="192" t="str">
        <f t="shared" ca="1" si="313"/>
        <v>Samsung</v>
      </c>
      <c r="CE367" s="101"/>
    </row>
    <row r="368" spans="2:92" ht="30" customHeight="1" outlineLevel="1" x14ac:dyDescent="0.35">
      <c r="B368" s="69" t="s">
        <v>53</v>
      </c>
      <c r="C368" s="115" t="s">
        <v>372</v>
      </c>
      <c r="D368" s="70"/>
      <c r="F368" s="161" t="str">
        <f t="shared" ref="F368:F382" si="319">IF(F$355="Inget antal angivet","",IFERROR(INDEX($AN$356:$BZ$382,MATCH(F$352,$AL$356:$AL$382,0),MATCH($B368,$AN$356:$BZ$356,0)),""))</f>
        <v/>
      </c>
      <c r="G368" s="162">
        <f t="shared" ref="G368:I382" ca="1" si="320">IFERROR(INDEX($AN$356:$BZ$382,MATCH(G$352,$AL$356:$AL$382,0),MATCH($B368,$AN$356:$BZ$356,0)),"")</f>
        <v>325</v>
      </c>
      <c r="H368" s="162">
        <f t="shared" ca="1" si="320"/>
        <v>251</v>
      </c>
      <c r="I368" s="162">
        <f t="shared" ca="1" si="320"/>
        <v>460</v>
      </c>
      <c r="J368" s="62"/>
      <c r="Q368" s="185">
        <f t="shared" si="294"/>
        <v>0</v>
      </c>
      <c r="R368" s="185">
        <f t="shared" si="295"/>
        <v>0</v>
      </c>
      <c r="S368" s="185">
        <f t="shared" si="296"/>
        <v>0</v>
      </c>
      <c r="T368" s="185">
        <f t="shared" si="297"/>
        <v>0</v>
      </c>
      <c r="U368" s="185">
        <f t="shared" si="298"/>
        <v>0</v>
      </c>
      <c r="V368" s="185">
        <f t="shared" si="299"/>
        <v>0</v>
      </c>
      <c r="W368" s="185">
        <f t="shared" si="300"/>
        <v>0</v>
      </c>
      <c r="X368" s="185">
        <f t="shared" si="301"/>
        <v>0</v>
      </c>
      <c r="Y368" s="185">
        <f t="shared" si="302"/>
        <v>0</v>
      </c>
      <c r="Z368" s="196">
        <f t="shared" ca="1" si="303"/>
        <v>10190</v>
      </c>
      <c r="AA368" s="185" t="str">
        <f t="shared" si="304"/>
        <v>Offererad produktnr. 10Dustin Sverige AB</v>
      </c>
      <c r="AB368" s="185" t="b">
        <f>IF(D358="",TRUE,IF(COUNTIF(Processor!$M$2:$M$3,D358)=0,IF(AN368=D358,TRUE,FALSE),IF(COUNTIF(AN368,INDEX(Processor!$N$2:$N$3,MATCH(Surfplattor!D358,Processor!$M$2:$M$3,0)))&gt;0,TRUE,FALSE)))</f>
        <v>1</v>
      </c>
      <c r="AC368" s="185" t="b">
        <f>IF($D$359="",TRUE,IF(COUNTIF(Processor!$I$2:$I$9,$D$359)&gt;0,AND(AO368&gt;INDEX(Processor!$J$2:$J$9,MATCH($D$359,Processor!$I$2:$I$9,0)),AO368&lt;INDEX(Processor!$K$2:$K$9,MATCH($D$359,Processor!$I$2:$I$9,0))),IF(AO368=$D$359,TRUE,FALSE)))</f>
        <v>1</v>
      </c>
      <c r="AD368" s="185" t="b">
        <f t="shared" si="305"/>
        <v>1</v>
      </c>
      <c r="AE368" s="185" t="b">
        <f t="shared" si="306"/>
        <v>1</v>
      </c>
      <c r="AF368" s="185" t="b">
        <f t="shared" si="307"/>
        <v>1</v>
      </c>
      <c r="AG368" s="185" t="b">
        <f t="shared" si="308"/>
        <v>1</v>
      </c>
      <c r="AH368" s="185" t="b">
        <f>IF($D$364="",TRUE,IF(INDEX(Processor!$C$14:$C$20,MATCH(LEFT(AT368,10)&amp;"",Processor!$A$14:$A$20,0))&gt;=INDEX(Processor!$C$14:$C$20,MATCH(LEFT($D$364,10)&amp;"",Processor!$A$14:$A$20,0)),TRUE,FALSE))</f>
        <v>1</v>
      </c>
      <c r="AI368" s="185" t="b">
        <f t="shared" si="309"/>
        <v>1</v>
      </c>
      <c r="AJ368" s="185"/>
      <c r="AK368" s="185"/>
      <c r="AL368" s="185" t="s">
        <v>183</v>
      </c>
      <c r="AM368" s="185">
        <v>1</v>
      </c>
      <c r="AN368" s="185" t="str">
        <f t="shared" ca="1" si="316"/>
        <v>Android 13</v>
      </c>
      <c r="AO368" s="185">
        <f t="shared" ca="1" si="316"/>
        <v>12.4</v>
      </c>
      <c r="AP368" s="185" t="str">
        <f t="shared" ca="1" si="316"/>
        <v>2800x1752</v>
      </c>
      <c r="AQ368" s="185">
        <f t="shared" ca="1" si="316"/>
        <v>256</v>
      </c>
      <c r="AR368" s="185">
        <f t="shared" ca="1" si="316"/>
        <v>5.3</v>
      </c>
      <c r="AS368" s="185" t="str">
        <f t="shared" ca="1" si="316"/>
        <v>802.11a/b/g/n/ac/ax</v>
      </c>
      <c r="AT368" s="185">
        <f t="shared" ca="1" si="316"/>
        <v>13</v>
      </c>
      <c r="AU368" s="185" t="str">
        <f t="shared" ca="1" si="316"/>
        <v>EPEAT Bronze (Canada)</v>
      </c>
      <c r="AV368" s="185" t="str">
        <f t="shared" ca="1" si="316"/>
        <v>802.11a/b/g/n/ac/ax</v>
      </c>
      <c r="AW368" s="185">
        <f t="shared" ca="1" si="316"/>
        <v>5.3</v>
      </c>
      <c r="AX368" s="185">
        <f t="shared" ca="1" si="317"/>
        <v>13</v>
      </c>
      <c r="AY368" s="185" t="str">
        <f t="shared" ca="1" si="317"/>
        <v>Galaxy Tab S9+</v>
      </c>
      <c r="AZ368" s="185">
        <f t="shared" ca="1" si="317"/>
        <v>0</v>
      </c>
      <c r="BA368" s="185" t="str">
        <f t="shared" ca="1" si="317"/>
        <v>Android 13</v>
      </c>
      <c r="BB368" s="185">
        <f t="shared" ca="1" si="317"/>
        <v>10190</v>
      </c>
      <c r="BC368" s="185">
        <f t="shared" ca="1" si="317"/>
        <v>10190</v>
      </c>
      <c r="BD368" s="192" t="str">
        <f t="shared" ca="1" si="317"/>
        <v>Targus</v>
      </c>
      <c r="BE368" s="192" t="str">
        <f t="shared" ca="1" si="317"/>
        <v>Panzerglass</v>
      </c>
      <c r="BF368" s="192" t="str">
        <f t="shared" ca="1" si="317"/>
        <v>Samsung</v>
      </c>
      <c r="BG368" s="192" t="str">
        <f t="shared" ca="1" si="317"/>
        <v>Voxicon</v>
      </c>
      <c r="BH368" s="192" t="str">
        <f t="shared" ca="1" si="318"/>
        <v>INGÅR</v>
      </c>
      <c r="BI368" s="192" t="str">
        <f t="shared" ca="1" si="318"/>
        <v>THZ904GL </v>
      </c>
      <c r="BJ368" s="192">
        <f t="shared" ca="1" si="318"/>
        <v>7242</v>
      </c>
      <c r="BK368" s="192" t="str">
        <f t="shared" ca="1" si="318"/>
        <v>EP-T1510NBEGEU / EP-TA20EWECGWW</v>
      </c>
      <c r="BL368" s="192" t="str">
        <f t="shared" ca="1" si="318"/>
        <v>DK-199B-G</v>
      </c>
      <c r="BM368" s="192">
        <f t="shared" ca="1" si="318"/>
        <v>0</v>
      </c>
      <c r="BN368" s="192">
        <f t="shared" ca="1" si="318"/>
        <v>279</v>
      </c>
      <c r="BO368" s="192">
        <f t="shared" ca="1" si="318"/>
        <v>206</v>
      </c>
      <c r="BP368" s="192">
        <f t="shared" ca="1" si="318"/>
        <v>111</v>
      </c>
      <c r="BQ368" s="192">
        <f t="shared" ca="1" si="318"/>
        <v>979</v>
      </c>
      <c r="BR368" s="192">
        <f t="shared" ca="1" si="318"/>
        <v>0</v>
      </c>
      <c r="BS368" s="192">
        <f t="shared" ca="1" si="318"/>
        <v>532</v>
      </c>
      <c r="BT368" s="192">
        <f t="shared" ca="1" si="318"/>
        <v>20</v>
      </c>
      <c r="BU368" s="192">
        <f t="shared" ca="1" si="318"/>
        <v>20</v>
      </c>
      <c r="BV368" s="192">
        <f t="shared" ca="1" si="318"/>
        <v>0</v>
      </c>
      <c r="BW368" s="192"/>
      <c r="BX368" s="192"/>
      <c r="BY368" s="192" t="str">
        <f t="shared" ca="1" si="313"/>
        <v>Dustin Sverige AB</v>
      </c>
      <c r="BZ368" s="192" t="str">
        <f t="shared" ca="1" si="313"/>
        <v>Samsung</v>
      </c>
      <c r="CE368" s="101"/>
    </row>
    <row r="369" spans="2:94" ht="30" customHeight="1" outlineLevel="1" x14ac:dyDescent="0.35">
      <c r="B369" s="69" t="s">
        <v>340</v>
      </c>
      <c r="C369" s="96" t="s">
        <v>51</v>
      </c>
      <c r="D369" s="131" t="str">
        <f>IF("Ska Ingå"=D368,"Ska Ingå","")</f>
        <v/>
      </c>
      <c r="F369" s="84" t="str">
        <f t="shared" si="319"/>
        <v/>
      </c>
      <c r="G369" s="85" t="str">
        <f t="shared" ca="1" si="320"/>
        <v>Phonelife</v>
      </c>
      <c r="H369" s="85" t="str">
        <f t="shared" ca="1" si="320"/>
        <v>eSTUFF</v>
      </c>
      <c r="I369" s="85" t="str">
        <f t="shared" ca="1" si="320"/>
        <v>Otterbox Defender Series</v>
      </c>
      <c r="J369" s="62"/>
      <c r="Q369" s="185">
        <f t="shared" si="294"/>
        <v>0</v>
      </c>
      <c r="R369" s="185">
        <f t="shared" si="295"/>
        <v>0</v>
      </c>
      <c r="S369" s="185">
        <f t="shared" si="296"/>
        <v>0</v>
      </c>
      <c r="T369" s="185">
        <f t="shared" si="297"/>
        <v>0</v>
      </c>
      <c r="U369" s="185">
        <f t="shared" si="298"/>
        <v>0</v>
      </c>
      <c r="V369" s="185">
        <f t="shared" si="299"/>
        <v>0</v>
      </c>
      <c r="W369" s="185">
        <f t="shared" si="300"/>
        <v>0</v>
      </c>
      <c r="X369" s="185">
        <f t="shared" si="301"/>
        <v>0</v>
      </c>
      <c r="Y369" s="185">
        <f t="shared" si="302"/>
        <v>0</v>
      </c>
      <c r="Z369" s="196">
        <f t="shared" ca="1" si="303"/>
        <v>4068</v>
      </c>
      <c r="AA369" s="185" t="str">
        <f t="shared" si="304"/>
        <v>Offererad produktnr. 07Foxway Education AB</v>
      </c>
      <c r="AB369" s="185" t="b">
        <f>IF(D358="",TRUE,IF(COUNTIF(Processor!$M$2:$M$3,D358)=0,IF(AN369=D358,TRUE,FALSE),IF(COUNTIF(AN369,INDEX(Processor!$N$2:$N$3,MATCH(Surfplattor!D358,Processor!$M$2:$M$3,0)))&gt;0,TRUE,FALSE)))</f>
        <v>1</v>
      </c>
      <c r="AC369" s="185" t="b">
        <f>IF($D$359="",TRUE,IF(COUNTIF(Processor!$I$2:$I$9,$D$359)&gt;0,AND(AO369&gt;INDEX(Processor!$J$2:$J$9,MATCH($D$359,Processor!$I$2:$I$9,0)),AO369&lt;INDEX(Processor!$K$2:$K$9,MATCH($D$359,Processor!$I$2:$I$9,0))),IF(AO369=$D$359,TRUE,FALSE)))</f>
        <v>1</v>
      </c>
      <c r="AD369" s="185" t="b">
        <f t="shared" si="305"/>
        <v>1</v>
      </c>
      <c r="AE369" s="185" t="b">
        <f t="shared" si="306"/>
        <v>1</v>
      </c>
      <c r="AF369" s="185" t="b">
        <f t="shared" si="307"/>
        <v>1</v>
      </c>
      <c r="AG369" s="185" t="b">
        <f t="shared" si="308"/>
        <v>1</v>
      </c>
      <c r="AH369" s="185" t="b">
        <f>IF($D$364="",TRUE,IF(INDEX(Processor!$C$14:$C$20,MATCH(LEFT(AT369,10)&amp;"",Processor!$A$14:$A$20,0))&gt;=INDEX(Processor!$C$14:$C$20,MATCH(LEFT($D$364,10)&amp;"",Processor!$A$14:$A$20,0)),TRUE,FALSE))</f>
        <v>1</v>
      </c>
      <c r="AI369" s="185" t="b">
        <f t="shared" si="309"/>
        <v>1</v>
      </c>
      <c r="AJ369" s="185"/>
      <c r="AK369" s="185"/>
      <c r="AL369" s="185" t="s">
        <v>216</v>
      </c>
      <c r="AM369" s="185">
        <v>1</v>
      </c>
      <c r="AN369" s="185" t="str">
        <f t="shared" ca="1" si="316"/>
        <v>iPadOS 15</v>
      </c>
      <c r="AO369" s="185">
        <f t="shared" ca="1" si="316"/>
        <v>10.199999999999999</v>
      </c>
      <c r="AP369" s="185" t="str">
        <f t="shared" ca="1" si="316"/>
        <v>2160x1620</v>
      </c>
      <c r="AQ369" s="185">
        <f t="shared" ca="1" si="316"/>
        <v>64</v>
      </c>
      <c r="AR369" s="185">
        <f t="shared" ca="1" si="316"/>
        <v>4.2</v>
      </c>
      <c r="AS369" s="185" t="str">
        <f t="shared" ca="1" si="316"/>
        <v>802.11a/b/g/n/ac</v>
      </c>
      <c r="AT369" s="185">
        <f t="shared" ca="1" si="316"/>
        <v>10</v>
      </c>
      <c r="AU369" s="185" t="str">
        <f t="shared" ca="1" si="316"/>
        <v>EPEAT Gold</v>
      </c>
      <c r="AV369" s="185" t="str">
        <f t="shared" ca="1" si="316"/>
        <v>802.11a/b/g/n/ac</v>
      </c>
      <c r="AW369" s="185">
        <f t="shared" ca="1" si="316"/>
        <v>4.2</v>
      </c>
      <c r="AX369" s="185">
        <f t="shared" ca="1" si="317"/>
        <v>10</v>
      </c>
      <c r="AY369" s="185" t="str">
        <f t="shared" ca="1" si="317"/>
        <v>10.2-inch (9th-gen) iPad Wi-Fi 64GB</v>
      </c>
      <c r="AZ369" s="185">
        <f t="shared" ca="1" si="317"/>
        <v>0</v>
      </c>
      <c r="BA369" s="185" t="str">
        <f t="shared" ca="1" si="317"/>
        <v>iPadOS 15</v>
      </c>
      <c r="BB369" s="185">
        <f t="shared" ca="1" si="317"/>
        <v>4068</v>
      </c>
      <c r="BC369" s="185">
        <f t="shared" ca="1" si="317"/>
        <v>4068</v>
      </c>
      <c r="BD369" s="192" t="str">
        <f t="shared" ca="1" si="317"/>
        <v>Targus</v>
      </c>
      <c r="BE369" s="192" t="str">
        <f t="shared" ca="1" si="317"/>
        <v>Screenor</v>
      </c>
      <c r="BF369" s="192" t="str">
        <f t="shared" ca="1" si="317"/>
        <v>Apple</v>
      </c>
      <c r="BG369" s="192" t="str">
        <f t="shared" ca="1" si="317"/>
        <v>Deltaco</v>
      </c>
      <c r="BH369" s="192" t="str">
        <f t="shared" ca="1" si="318"/>
        <v>Apple</v>
      </c>
      <c r="BI369" s="192" t="str">
        <f t="shared" ca="1" si="318"/>
        <v>Targus SafePORT Rugged</v>
      </c>
      <c r="BJ369" s="192" t="str">
        <f t="shared" ca="1" si="318"/>
        <v>SCREENOR TEMPERED IPAD 10.2</v>
      </c>
      <c r="BK369" s="192" t="str">
        <f t="shared" ca="1" si="318"/>
        <v>Laddkit iPad</v>
      </c>
      <c r="BL369" s="192" t="str">
        <f t="shared" ca="1" si="318"/>
        <v>DELTACO trådlöst minitangentbord, 78 tangenter, Bluetooth, nordisk layout, dämpade tangenter, svart</v>
      </c>
      <c r="BM369" s="192" t="str">
        <f t="shared" ca="1" si="318"/>
        <v>Apple Pencil</v>
      </c>
      <c r="BN369" s="192">
        <f t="shared" ca="1" si="318"/>
        <v>210</v>
      </c>
      <c r="BO369" s="192">
        <f t="shared" ca="1" si="318"/>
        <v>240</v>
      </c>
      <c r="BP369" s="192">
        <f t="shared" ca="1" si="318"/>
        <v>372</v>
      </c>
      <c r="BQ369" s="192">
        <f t="shared" ca="1" si="318"/>
        <v>156</v>
      </c>
      <c r="BR369" s="192">
        <f t="shared" ca="1" si="318"/>
        <v>1080</v>
      </c>
      <c r="BS369" s="192">
        <f t="shared" ca="1" si="318"/>
        <v>480</v>
      </c>
      <c r="BT369" s="192">
        <f t="shared" ca="1" si="318"/>
        <v>60</v>
      </c>
      <c r="BU369" s="192">
        <f t="shared" ca="1" si="318"/>
        <v>50</v>
      </c>
      <c r="BV369" s="192">
        <f t="shared" ca="1" si="318"/>
        <v>0</v>
      </c>
      <c r="BW369" s="192"/>
      <c r="BX369" s="192"/>
      <c r="BY369" s="192" t="str">
        <f t="shared" ca="1" si="313"/>
        <v>Foxway Education AB</v>
      </c>
      <c r="BZ369" s="192" t="str">
        <f t="shared" ca="1" si="313"/>
        <v>Apple</v>
      </c>
      <c r="CB369" s="63"/>
      <c r="CC369" s="63"/>
      <c r="CD369" s="63"/>
      <c r="CE369" s="102"/>
      <c r="CF369" s="63"/>
      <c r="CG369" s="63"/>
      <c r="CH369" s="63"/>
      <c r="CI369" s="63"/>
      <c r="CJ369" s="63"/>
      <c r="CK369" s="63"/>
      <c r="CL369" s="63"/>
      <c r="CM369" s="63"/>
      <c r="CN369" s="63"/>
      <c r="CO369" s="63"/>
      <c r="CP369" s="63"/>
    </row>
    <row r="370" spans="2:94" ht="67.5" customHeight="1" outlineLevel="1" x14ac:dyDescent="0.35">
      <c r="B370" s="69" t="s">
        <v>345</v>
      </c>
      <c r="C370" s="97" t="s">
        <v>52</v>
      </c>
      <c r="D370" s="132" t="str">
        <f>IF("Ska Ingå"=D368,"Ska Ingå","")</f>
        <v/>
      </c>
      <c r="F370" s="86" t="str">
        <f t="shared" si="319"/>
        <v/>
      </c>
      <c r="G370" s="87" t="str">
        <f t="shared" ca="1" si="320"/>
        <v>GBXRUGGEDLENTAB-V1</v>
      </c>
      <c r="H370" s="87" t="str">
        <f t="shared" ca="1" si="320"/>
        <v>ES685307-BULK - Vikbart fodral för surfplatta - polyuretan, polykarbonat, konstläder, mikrofiber - svart - för Lenovo Tab M10 (3rd Gen)</v>
      </c>
      <c r="I370" s="87" t="str">
        <f t="shared" ca="1" si="320"/>
        <v>GBX77-62032</v>
      </c>
      <c r="J370" s="62"/>
      <c r="Q370" s="185">
        <f t="shared" si="294"/>
        <v>0</v>
      </c>
      <c r="R370" s="185">
        <f t="shared" si="295"/>
        <v>0</v>
      </c>
      <c r="S370" s="185">
        <f t="shared" si="296"/>
        <v>0</v>
      </c>
      <c r="T370" s="185">
        <f t="shared" si="297"/>
        <v>0</v>
      </c>
      <c r="U370" s="185">
        <f t="shared" si="298"/>
        <v>0</v>
      </c>
      <c r="V370" s="185">
        <f t="shared" si="299"/>
        <v>0</v>
      </c>
      <c r="W370" s="185">
        <f t="shared" si="300"/>
        <v>0</v>
      </c>
      <c r="X370" s="185">
        <f t="shared" si="301"/>
        <v>0</v>
      </c>
      <c r="Y370" s="185">
        <f t="shared" si="302"/>
        <v>0</v>
      </c>
      <c r="Z370" s="196">
        <f t="shared" ca="1" si="303"/>
        <v>3894</v>
      </c>
      <c r="AA370" s="185" t="str">
        <f t="shared" si="304"/>
        <v>Offererad produktnr. 08Foxway Education AB</v>
      </c>
      <c r="AB370" s="185" t="b">
        <f>IF(D358="",TRUE,IF(COUNTIF(Processor!$M$2:$M$3,D358)=0,IF(AN370=D358,TRUE,FALSE),IF(COUNTIF(AN370,INDEX(Processor!$N$2:$N$3,MATCH(Surfplattor!D358,Processor!$M$2:$M$3,0)))&gt;0,TRUE,FALSE)))</f>
        <v>1</v>
      </c>
      <c r="AC370" s="185" t="b">
        <f>IF($D$359="",TRUE,IF(COUNTIF(Processor!$I$2:$I$9,$D$359)&gt;0,AND(AO370&gt;INDEX(Processor!$J$2:$J$9,MATCH($D$359,Processor!$I$2:$I$9,0)),AO370&lt;INDEX(Processor!$K$2:$K$9,MATCH($D$359,Processor!$I$2:$I$9,0))),IF(AO370=$D$359,TRUE,FALSE)))</f>
        <v>1</v>
      </c>
      <c r="AD370" s="185" t="b">
        <f t="shared" si="305"/>
        <v>1</v>
      </c>
      <c r="AE370" s="185" t="b">
        <f t="shared" si="306"/>
        <v>1</v>
      </c>
      <c r="AF370" s="185" t="b">
        <f t="shared" si="307"/>
        <v>1</v>
      </c>
      <c r="AG370" s="185" t="b">
        <f t="shared" si="308"/>
        <v>1</v>
      </c>
      <c r="AH370" s="185" t="b">
        <f>IF($D$364="",TRUE,IF(INDEX(Processor!$C$14:$C$20,MATCH(LEFT(AT370,10)&amp;"",Processor!$A$14:$A$20,0))&gt;=INDEX(Processor!$C$14:$C$20,MATCH(LEFT($D$364,10)&amp;"",Processor!$A$14:$A$20,0)),TRUE,FALSE))</f>
        <v>1</v>
      </c>
      <c r="AI370" s="185" t="b">
        <f t="shared" si="309"/>
        <v>1</v>
      </c>
      <c r="AJ370" s="185"/>
      <c r="AK370" s="185"/>
      <c r="AL370" s="185" t="s">
        <v>217</v>
      </c>
      <c r="AM370" s="185">
        <v>1</v>
      </c>
      <c r="AN370" s="185" t="str">
        <f t="shared" ca="1" si="316"/>
        <v>Android 11</v>
      </c>
      <c r="AO370" s="185">
        <f t="shared" ca="1" si="316"/>
        <v>10.4</v>
      </c>
      <c r="AP370" s="185" t="str">
        <f t="shared" ca="1" si="316"/>
        <v>2000x1200</v>
      </c>
      <c r="AQ370" s="185">
        <f t="shared" ca="1" si="316"/>
        <v>64</v>
      </c>
      <c r="AR370" s="185">
        <f t="shared" ca="1" si="316"/>
        <v>5</v>
      </c>
      <c r="AS370" s="185" t="str">
        <f t="shared" ca="1" si="316"/>
        <v>802.11a/b/g/n/ac</v>
      </c>
      <c r="AT370" s="185">
        <f t="shared" ca="1" si="316"/>
        <v>12</v>
      </c>
      <c r="AU370" s="185" t="str">
        <f t="shared" ca="1" si="316"/>
        <v>Epeat Bronze</v>
      </c>
      <c r="AV370" s="185" t="str">
        <f t="shared" ca="1" si="316"/>
        <v>802.11a/b/g/n/ac</v>
      </c>
      <c r="AW370" s="185">
        <f t="shared" ca="1" si="316"/>
        <v>5</v>
      </c>
      <c r="AX370" s="185">
        <f t="shared" ca="1" si="317"/>
        <v>12</v>
      </c>
      <c r="AY370" s="185" t="str">
        <f t="shared" ca="1" si="317"/>
        <v>Galaxy Tab S6 Lite WiFi (64GB)</v>
      </c>
      <c r="AZ370" s="185">
        <f t="shared" ca="1" si="317"/>
        <v>0</v>
      </c>
      <c r="BA370" s="185" t="str">
        <f t="shared" ca="1" si="317"/>
        <v>Android 11</v>
      </c>
      <c r="BB370" s="185">
        <f t="shared" ca="1" si="317"/>
        <v>3894</v>
      </c>
      <c r="BC370" s="185">
        <f t="shared" ca="1" si="317"/>
        <v>3894</v>
      </c>
      <c r="BD370" s="192" t="str">
        <f t="shared" ca="1" si="317"/>
        <v>Tolerate</v>
      </c>
      <c r="BE370" s="192" t="str">
        <f t="shared" ca="1" si="317"/>
        <v xml:space="preserve">Insmat </v>
      </c>
      <c r="BF370" s="192" t="str">
        <f t="shared" ca="1" si="317"/>
        <v>Samsung</v>
      </c>
      <c r="BG370" s="192" t="str">
        <f t="shared" ca="1" si="317"/>
        <v>Deltaco</v>
      </c>
      <c r="BH370" s="192" t="str">
        <f t="shared" ca="1" si="318"/>
        <v>Samsung</v>
      </c>
      <c r="BI370" s="192" t="str">
        <f t="shared" ca="1" si="318"/>
        <v xml:space="preserve">TOLERATE ARMOR FOLIO SAMSUNG TAB S6 LITE BLACK </v>
      </c>
      <c r="BJ370" s="192" t="str">
        <f t="shared" ca="1" si="318"/>
        <v>Insmat Brilliant</v>
      </c>
      <c r="BK370" s="192" t="str">
        <f t="shared" ca="1" si="318"/>
        <v>SAMSUNG FAST TRAVEL CHARGER USB-C BLACK</v>
      </c>
      <c r="BL370" s="192" t="str">
        <f t="shared" ca="1" si="318"/>
        <v>DELTACO trådlöst minitangentbord, 78 tangenter, Bluetooth, nordisk layout, dämpade tangenter, svart</v>
      </c>
      <c r="BM370" s="192" t="str">
        <f t="shared" ca="1" si="318"/>
        <v xml:space="preserve">SAMSUNG S-PEN GALAXY TAB S6 LITE GREY </v>
      </c>
      <c r="BN370" s="192">
        <f t="shared" ca="1" si="318"/>
        <v>350</v>
      </c>
      <c r="BO370" s="192">
        <f t="shared" ca="1" si="318"/>
        <v>165</v>
      </c>
      <c r="BP370" s="192">
        <f t="shared" ca="1" si="318"/>
        <v>114</v>
      </c>
      <c r="BQ370" s="192">
        <f t="shared" ca="1" si="318"/>
        <v>156</v>
      </c>
      <c r="BR370" s="192">
        <f t="shared" ca="1" si="318"/>
        <v>306</v>
      </c>
      <c r="BS370" s="192">
        <f t="shared" ca="1" si="318"/>
        <v>1</v>
      </c>
      <c r="BT370" s="192">
        <f t="shared" ca="1" si="318"/>
        <v>60</v>
      </c>
      <c r="BU370" s="192">
        <f t="shared" ca="1" si="318"/>
        <v>50</v>
      </c>
      <c r="BV370" s="192">
        <f t="shared" ca="1" si="318"/>
        <v>0</v>
      </c>
      <c r="BW370" s="192"/>
      <c r="BX370" s="192"/>
      <c r="BY370" s="192" t="str">
        <f t="shared" ca="1" si="313"/>
        <v>Foxway Education AB</v>
      </c>
      <c r="BZ370" s="192" t="str">
        <f t="shared" ca="1" si="313"/>
        <v>Samsung</v>
      </c>
      <c r="CA370" s="63"/>
      <c r="CB370" s="63"/>
      <c r="CC370" s="63"/>
      <c r="CD370" s="63"/>
      <c r="CE370" s="63"/>
      <c r="CF370" s="63"/>
      <c r="CG370" s="63"/>
      <c r="CH370" s="63"/>
      <c r="CI370" s="63"/>
      <c r="CJ370" s="63"/>
      <c r="CK370" s="63"/>
      <c r="CL370" s="63"/>
      <c r="CM370" s="63"/>
      <c r="CN370" s="63"/>
    </row>
    <row r="371" spans="2:94" ht="30" customHeight="1" outlineLevel="1" x14ac:dyDescent="0.35">
      <c r="B371" s="69" t="s">
        <v>54</v>
      </c>
      <c r="C371" s="98" t="s">
        <v>373</v>
      </c>
      <c r="D371" s="70"/>
      <c r="F371" s="157" t="str">
        <f t="shared" si="319"/>
        <v/>
      </c>
      <c r="G371" s="158">
        <f t="shared" ca="1" si="320"/>
        <v>180</v>
      </c>
      <c r="H371" s="158">
        <f t="shared" ca="1" si="320"/>
        <v>251</v>
      </c>
      <c r="I371" s="158">
        <f t="shared" ca="1" si="320"/>
        <v>189</v>
      </c>
      <c r="J371" s="62"/>
      <c r="Q371" s="185">
        <f t="shared" si="294"/>
        <v>0</v>
      </c>
      <c r="R371" s="185">
        <f t="shared" si="295"/>
        <v>0</v>
      </c>
      <c r="S371" s="185">
        <f t="shared" si="296"/>
        <v>0</v>
      </c>
      <c r="T371" s="185">
        <f t="shared" si="297"/>
        <v>0</v>
      </c>
      <c r="U371" s="185">
        <f t="shared" si="298"/>
        <v>0</v>
      </c>
      <c r="V371" s="185">
        <f t="shared" si="299"/>
        <v>0</v>
      </c>
      <c r="W371" s="185">
        <f t="shared" si="300"/>
        <v>0</v>
      </c>
      <c r="X371" s="185">
        <f t="shared" si="301"/>
        <v>0</v>
      </c>
      <c r="Y371" s="185">
        <f t="shared" si="302"/>
        <v>0</v>
      </c>
      <c r="Z371" s="196">
        <f t="shared" ca="1" si="303"/>
        <v>7350</v>
      </c>
      <c r="AA371" s="185" t="str">
        <f t="shared" si="304"/>
        <v>Offererad produktnr. 09Foxway Education AB</v>
      </c>
      <c r="AB371" s="185" t="b">
        <f>IF(D358="",TRUE,IF(COUNTIF(Processor!$M$2:$M$3,D358)=0,IF(AN371=D358,TRUE,FALSE),IF(COUNTIF(AN371,INDEX(Processor!$N$2:$N$3,MATCH(Surfplattor!D358,Processor!$M$2:$M$3,0)))&gt;0,TRUE,FALSE)))</f>
        <v>1</v>
      </c>
      <c r="AC371" s="185" t="b">
        <f>IF($D$359="",TRUE,IF(COUNTIF(Processor!$I$2:$I$9,$D$359)&gt;0,AND(AO371&gt;INDEX(Processor!$J$2:$J$9,MATCH($D$359,Processor!$I$2:$I$9,0)),AO371&lt;INDEX(Processor!$K$2:$K$9,MATCH($D$359,Processor!$I$2:$I$9,0))),IF(AO371=$D$359,TRUE,FALSE)))</f>
        <v>1</v>
      </c>
      <c r="AD371" s="185" t="b">
        <f t="shared" si="305"/>
        <v>1</v>
      </c>
      <c r="AE371" s="185" t="b">
        <f t="shared" si="306"/>
        <v>1</v>
      </c>
      <c r="AF371" s="185" t="b">
        <f t="shared" si="307"/>
        <v>1</v>
      </c>
      <c r="AG371" s="185" t="b">
        <f t="shared" si="308"/>
        <v>1</v>
      </c>
      <c r="AH371" s="185" t="b">
        <f>IF($D$364="",TRUE,IF(INDEX(Processor!$C$14:$C$20,MATCH(LEFT(AT371,10)&amp;"",Processor!$A$14:$A$20,0))&gt;=INDEX(Processor!$C$14:$C$20,MATCH(LEFT($D$364,10)&amp;"",Processor!$A$14:$A$20,0)),TRUE,FALSE))</f>
        <v>1</v>
      </c>
      <c r="AI371" s="185" t="b">
        <f t="shared" si="309"/>
        <v>1</v>
      </c>
      <c r="AJ371" s="185"/>
      <c r="AK371" s="185"/>
      <c r="AL371" s="185" t="s">
        <v>218</v>
      </c>
      <c r="AM371" s="185">
        <v>1</v>
      </c>
      <c r="AN371" s="185" t="str">
        <f t="shared" ca="1" si="316"/>
        <v>Android 11</v>
      </c>
      <c r="AO371" s="185">
        <f t="shared" ca="1" si="316"/>
        <v>11</v>
      </c>
      <c r="AP371" s="185" t="str">
        <f t="shared" ca="1" si="316"/>
        <v>2560x1600</v>
      </c>
      <c r="AQ371" s="185">
        <f t="shared" ca="1" si="316"/>
        <v>128</v>
      </c>
      <c r="AR371" s="185">
        <f t="shared" ca="1" si="316"/>
        <v>5</v>
      </c>
      <c r="AS371" s="185" t="str">
        <f t="shared" ca="1" si="316"/>
        <v>802.11a/b/g/n/ac/ax</v>
      </c>
      <c r="AT371" s="185">
        <f t="shared" ca="1" si="316"/>
        <v>13</v>
      </c>
      <c r="AU371" s="185" t="str">
        <f t="shared" ca="1" si="316"/>
        <v>Epeat Bronze</v>
      </c>
      <c r="AV371" s="185" t="str">
        <f t="shared" ca="1" si="316"/>
        <v>802.11a/b/g/n/ac/ax</v>
      </c>
      <c r="AW371" s="185">
        <f t="shared" ca="1" si="316"/>
        <v>5</v>
      </c>
      <c r="AX371" s="185">
        <f t="shared" ca="1" si="317"/>
        <v>13</v>
      </c>
      <c r="AY371" s="185" t="str">
        <f t="shared" ca="1" si="317"/>
        <v>Galaxy Tab S8 Wifi (128GB)</v>
      </c>
      <c r="AZ371" s="185">
        <f t="shared" ca="1" si="317"/>
        <v>0</v>
      </c>
      <c r="BA371" s="185" t="str">
        <f t="shared" ca="1" si="317"/>
        <v>Android 11</v>
      </c>
      <c r="BB371" s="185">
        <f t="shared" ca="1" si="317"/>
        <v>7350</v>
      </c>
      <c r="BC371" s="185">
        <f t="shared" ca="1" si="317"/>
        <v>7350</v>
      </c>
      <c r="BD371" s="192" t="str">
        <f t="shared" ca="1" si="317"/>
        <v>Insmat</v>
      </c>
      <c r="BE371" s="192" t="str">
        <f t="shared" ca="1" si="317"/>
        <v>Tolerate</v>
      </c>
      <c r="BF371" s="192" t="str">
        <f t="shared" ca="1" si="317"/>
        <v>Samsung</v>
      </c>
      <c r="BG371" s="192" t="str">
        <f t="shared" ca="1" si="317"/>
        <v>Deltaco</v>
      </c>
      <c r="BH371" s="192" t="str">
        <f t="shared" ca="1" si="318"/>
        <v>Samsung</v>
      </c>
      <c r="BI371" s="192" t="str">
        <f t="shared" ca="1" si="318"/>
        <v>Insmat Rugged Armor S8</v>
      </c>
      <c r="BJ371" s="192" t="str">
        <f t="shared" ca="1" si="318"/>
        <v>TOLERATE GLASS SCREEN PROTECTOR SAMSUNG TAB S8</v>
      </c>
      <c r="BK371" s="192" t="str">
        <f t="shared" ca="1" si="318"/>
        <v>SAMSUNG FAST TRAVEL CHARGER USB-C BLACK</v>
      </c>
      <c r="BL371" s="192" t="str">
        <f t="shared" ca="1" si="318"/>
        <v>DELTACO trådlöst minitangentbord, 78 tangenter, Bluetooth, nordisk layout, dämpade tangenter, svart</v>
      </c>
      <c r="BM371" s="192" t="str">
        <f t="shared" ca="1" si="318"/>
        <v>SAMSUNG S-PEN GALAXY TAB S7</v>
      </c>
      <c r="BN371" s="192">
        <f t="shared" ca="1" si="318"/>
        <v>340</v>
      </c>
      <c r="BO371" s="185">
        <f t="shared" ca="1" si="318"/>
        <v>205</v>
      </c>
      <c r="BP371" s="192">
        <f t="shared" ca="1" si="318"/>
        <v>114</v>
      </c>
      <c r="BQ371" s="192">
        <f t="shared" ca="1" si="318"/>
        <v>156</v>
      </c>
      <c r="BR371" s="192">
        <f t="shared" ca="1" si="318"/>
        <v>360</v>
      </c>
      <c r="BS371" s="185">
        <f t="shared" ca="1" si="318"/>
        <v>1</v>
      </c>
      <c r="BT371" s="185">
        <f t="shared" ca="1" si="318"/>
        <v>60</v>
      </c>
      <c r="BU371" s="185">
        <f t="shared" ca="1" si="318"/>
        <v>50</v>
      </c>
      <c r="BV371" s="185">
        <f t="shared" ca="1" si="318"/>
        <v>0</v>
      </c>
      <c r="BW371" s="185"/>
      <c r="BX371" s="185"/>
      <c r="BY371" s="185" t="str">
        <f t="shared" ca="1" si="313"/>
        <v>Foxway Education AB</v>
      </c>
      <c r="BZ371" s="185" t="str">
        <f t="shared" ca="1" si="313"/>
        <v>Samsung</v>
      </c>
      <c r="CA371" s="63"/>
      <c r="CB371" s="63"/>
      <c r="CC371" s="63"/>
      <c r="CD371" s="63"/>
      <c r="CE371" s="63"/>
      <c r="CF371" s="63"/>
      <c r="CG371" s="63"/>
      <c r="CH371" s="63"/>
      <c r="CI371" s="63"/>
      <c r="CJ371" s="63"/>
      <c r="CK371" s="63"/>
      <c r="CL371" s="63"/>
      <c r="CM371" s="63"/>
      <c r="CN371" s="63"/>
    </row>
    <row r="372" spans="2:94" ht="30" customHeight="1" outlineLevel="1" x14ac:dyDescent="0.35">
      <c r="B372" s="69" t="s">
        <v>341</v>
      </c>
      <c r="C372" s="61" t="s">
        <v>51</v>
      </c>
      <c r="D372" s="131" t="str">
        <f>IF("Ska Ingå"=D371,"Ska Ingå","")</f>
        <v/>
      </c>
      <c r="F372" s="88" t="str">
        <f t="shared" si="319"/>
        <v/>
      </c>
      <c r="G372" s="89" t="str">
        <f t="shared" ca="1" si="320"/>
        <v>Lenovo</v>
      </c>
      <c r="H372" s="89" t="str">
        <f t="shared" ca="1" si="320"/>
        <v>eSTUFF</v>
      </c>
      <c r="I372" s="89" t="str">
        <f t="shared" ca="1" si="320"/>
        <v>ZAGG</v>
      </c>
      <c r="J372" s="62"/>
      <c r="Q372" s="185">
        <f t="shared" si="294"/>
        <v>0</v>
      </c>
      <c r="R372" s="185">
        <f t="shared" si="295"/>
        <v>0</v>
      </c>
      <c r="S372" s="185">
        <f t="shared" si="296"/>
        <v>0</v>
      </c>
      <c r="T372" s="185">
        <f t="shared" si="297"/>
        <v>0</v>
      </c>
      <c r="U372" s="185">
        <f t="shared" si="298"/>
        <v>0</v>
      </c>
      <c r="V372" s="185">
        <f t="shared" si="299"/>
        <v>0</v>
      </c>
      <c r="W372" s="185">
        <f t="shared" si="300"/>
        <v>0</v>
      </c>
      <c r="X372" s="185">
        <f t="shared" si="301"/>
        <v>0</v>
      </c>
      <c r="Y372" s="185">
        <f t="shared" si="302"/>
        <v>0</v>
      </c>
      <c r="Z372" s="196">
        <f t="shared" ca="1" si="303"/>
        <v>5256</v>
      </c>
      <c r="AA372" s="185" t="str">
        <f t="shared" si="304"/>
        <v>Offererad produktnr. 10Foxway Education AB</v>
      </c>
      <c r="AB372" s="185" t="b">
        <f>IF(D358="",TRUE,IF(COUNTIF(Processor!$M$2:$M$3,D358)=0,IF(AN372=D358,TRUE,FALSE),IF(COUNTIF(AN372,INDEX(Processor!$N$2:$N$3,MATCH(Surfplattor!D358,Processor!$M$2:$M$3,0)))&gt;0,TRUE,FALSE)))</f>
        <v>1</v>
      </c>
      <c r="AC372" s="185" t="b">
        <f>IF($D$359="",TRUE,IF(COUNTIF(Processor!$I$2:$I$9,$D$359)&gt;0,AND(AO372&gt;INDEX(Processor!$J$2:$J$9,MATCH($D$359,Processor!$I$2:$I$9,0)),AO372&lt;INDEX(Processor!$K$2:$K$9,MATCH($D$359,Processor!$I$2:$I$9,0))),IF(AO372=$D$359,TRUE,FALSE)))</f>
        <v>1</v>
      </c>
      <c r="AD372" s="185" t="b">
        <f t="shared" si="305"/>
        <v>1</v>
      </c>
      <c r="AE372" s="185" t="b">
        <f t="shared" si="306"/>
        <v>1</v>
      </c>
      <c r="AF372" s="185" t="b">
        <f t="shared" si="307"/>
        <v>1</v>
      </c>
      <c r="AG372" s="185" t="b">
        <f t="shared" si="308"/>
        <v>1</v>
      </c>
      <c r="AH372" s="185" t="b">
        <f>IF($D$364="",TRUE,IF(INDEX(Processor!$C$14:$C$20,MATCH(LEFT(AT372,10)&amp;"",Processor!$A$14:$A$20,0))&gt;=INDEX(Processor!$C$14:$C$20,MATCH(LEFT($D$364,10)&amp;"",Processor!$A$14:$A$20,0)),TRUE,FALSE))</f>
        <v>1</v>
      </c>
      <c r="AI372" s="185" t="b">
        <f t="shared" si="309"/>
        <v>1</v>
      </c>
      <c r="AJ372" s="185"/>
      <c r="AK372" s="185"/>
      <c r="AL372" s="185" t="s">
        <v>219</v>
      </c>
      <c r="AM372" s="185">
        <v>1</v>
      </c>
      <c r="AN372" s="185" t="str">
        <f t="shared" ca="1" si="316"/>
        <v>Android 10</v>
      </c>
      <c r="AO372" s="185">
        <f t="shared" ca="1" si="316"/>
        <v>11.5</v>
      </c>
      <c r="AP372" s="185" t="str">
        <f t="shared" ca="1" si="316"/>
        <v>2560x1600</v>
      </c>
      <c r="AQ372" s="185">
        <f t="shared" ca="1" si="316"/>
        <v>128</v>
      </c>
      <c r="AR372" s="185">
        <f t="shared" ca="1" si="316"/>
        <v>5</v>
      </c>
      <c r="AS372" s="185" t="str">
        <f t="shared" ca="1" si="316"/>
        <v>802.11a/b/g/n/ac</v>
      </c>
      <c r="AT372" s="185">
        <f t="shared" ca="1" si="316"/>
        <v>8</v>
      </c>
      <c r="AU372" s="185" t="str">
        <f t="shared" ca="1" si="316"/>
        <v>Ej miljömärkt</v>
      </c>
      <c r="AV372" s="185" t="str">
        <f t="shared" ca="1" si="316"/>
        <v>802.11a/b/g/n/ac</v>
      </c>
      <c r="AW372" s="185">
        <f t="shared" ca="1" si="316"/>
        <v>5</v>
      </c>
      <c r="AX372" s="185">
        <f t="shared" ca="1" si="317"/>
        <v>8</v>
      </c>
      <c r="AY372" s="185" t="str">
        <f t="shared" ca="1" si="317"/>
        <v>Tab P11 Pro</v>
      </c>
      <c r="AZ372" s="185">
        <f t="shared" ca="1" si="317"/>
        <v>0</v>
      </c>
      <c r="BA372" s="185" t="str">
        <f t="shared" ca="1" si="317"/>
        <v>Android 10</v>
      </c>
      <c r="BB372" s="185">
        <f t="shared" ca="1" si="317"/>
        <v>5256</v>
      </c>
      <c r="BC372" s="185">
        <f t="shared" ca="1" si="317"/>
        <v>5256</v>
      </c>
      <c r="BD372" s="192" t="str">
        <f t="shared" ca="1" si="317"/>
        <v>Lenovo</v>
      </c>
      <c r="BE372" s="192" t="str">
        <f t="shared" ca="1" si="317"/>
        <v>Lenovo</v>
      </c>
      <c r="BF372" s="192" t="str">
        <f t="shared" ca="1" si="317"/>
        <v>Lenovo</v>
      </c>
      <c r="BG372" s="192" t="str">
        <f t="shared" ca="1" si="317"/>
        <v>Deltaco</v>
      </c>
      <c r="BH372" s="192" t="str">
        <f t="shared" ca="1" si="318"/>
        <v>Lenovo</v>
      </c>
      <c r="BI372" s="192" t="str">
        <f t="shared" ca="1" si="318"/>
        <v>P11 Pro Folio Case &amp; Film Grey</v>
      </c>
      <c r="BJ372" s="192" t="str">
        <f t="shared" ca="1" si="318"/>
        <v>Skyddsfilm</v>
      </c>
      <c r="BK372" s="192" t="str">
        <f t="shared" ca="1" si="318"/>
        <v xml:space="preserve">Lenovo Smart Charge station </v>
      </c>
      <c r="BL372" s="192" t="str">
        <f t="shared" ca="1" si="318"/>
        <v>DELTACO trådlöst minitangentbord, 78 tangenter, Bluetooth, nordisk layout, dämpade tangenter, svart</v>
      </c>
      <c r="BM372" s="192" t="str">
        <f t="shared" ca="1" si="318"/>
        <v>Lenovo Precision Pen 2</v>
      </c>
      <c r="BN372" s="192">
        <f t="shared" ca="1" si="318"/>
        <v>210</v>
      </c>
      <c r="BO372" s="185">
        <f t="shared" ca="1" si="318"/>
        <v>276</v>
      </c>
      <c r="BP372" s="192">
        <f t="shared" ca="1" si="318"/>
        <v>240</v>
      </c>
      <c r="BQ372" s="192">
        <f t="shared" ca="1" si="318"/>
        <v>156</v>
      </c>
      <c r="BR372" s="192">
        <f t="shared" ca="1" si="318"/>
        <v>564</v>
      </c>
      <c r="BS372" s="185">
        <f t="shared" ca="1" si="318"/>
        <v>550</v>
      </c>
      <c r="BT372" s="185">
        <f t="shared" ca="1" si="318"/>
        <v>60</v>
      </c>
      <c r="BU372" s="185">
        <f t="shared" ca="1" si="318"/>
        <v>50</v>
      </c>
      <c r="BV372" s="185">
        <f t="shared" ca="1" si="318"/>
        <v>0</v>
      </c>
      <c r="BW372" s="185"/>
      <c r="BX372" s="185"/>
      <c r="BY372" s="185" t="str">
        <f t="shared" ca="1" si="313"/>
        <v>Foxway Education AB</v>
      </c>
      <c r="BZ372" s="185" t="str">
        <f t="shared" ca="1" si="313"/>
        <v>Lenovo</v>
      </c>
      <c r="CA372" s="63"/>
      <c r="CB372" s="63"/>
      <c r="CC372" s="63"/>
      <c r="CD372" s="63"/>
      <c r="CE372" s="63"/>
      <c r="CF372" s="63"/>
      <c r="CG372" s="63"/>
      <c r="CH372" s="63"/>
      <c r="CI372" s="63"/>
      <c r="CJ372" s="63"/>
      <c r="CK372" s="63"/>
      <c r="CL372" s="63"/>
      <c r="CM372" s="63"/>
      <c r="CN372" s="63"/>
    </row>
    <row r="373" spans="2:94" ht="68.25" customHeight="1" outlineLevel="1" x14ac:dyDescent="0.35">
      <c r="B373" s="69" t="s">
        <v>346</v>
      </c>
      <c r="C373" s="99" t="s">
        <v>52</v>
      </c>
      <c r="D373" s="132" t="str">
        <f>IF("Ska Ingå"=D371,"Ska Ingå","")</f>
        <v/>
      </c>
      <c r="F373" s="90" t="str">
        <f t="shared" si="319"/>
        <v/>
      </c>
      <c r="G373" s="91" t="str">
        <f t="shared" ca="1" si="320"/>
        <v>GBXLENFILM</v>
      </c>
      <c r="H373" s="91" t="str">
        <f t="shared" ca="1" si="320"/>
        <v>ES517003 - Skärmskydd för surfplatta - glas - klar - för Lenovo Tab M10 (3rd Gen)</v>
      </c>
      <c r="I373" s="91" t="str">
        <f t="shared" ca="1" si="320"/>
        <v>gbx200106077</v>
      </c>
      <c r="J373" s="73"/>
      <c r="Q373" s="185">
        <f t="shared" si="294"/>
        <v>0</v>
      </c>
      <c r="R373" s="185">
        <f t="shared" si="295"/>
        <v>0</v>
      </c>
      <c r="S373" s="185">
        <f t="shared" si="296"/>
        <v>0</v>
      </c>
      <c r="T373" s="185">
        <f t="shared" si="297"/>
        <v>0</v>
      </c>
      <c r="U373" s="185">
        <f t="shared" si="298"/>
        <v>0</v>
      </c>
      <c r="V373" s="185">
        <f t="shared" si="299"/>
        <v>0</v>
      </c>
      <c r="W373" s="185">
        <f t="shared" si="300"/>
        <v>0</v>
      </c>
      <c r="X373" s="185">
        <f t="shared" si="301"/>
        <v>0</v>
      </c>
      <c r="Y373" s="185">
        <f t="shared" si="302"/>
        <v>0</v>
      </c>
      <c r="Z373" s="196">
        <f t="shared" ca="1" si="303"/>
        <v>1700</v>
      </c>
      <c r="AA373" s="185" t="str">
        <f t="shared" si="304"/>
        <v>Offererad produktnr. 07Qlosr Göteborg AB</v>
      </c>
      <c r="AB373" s="185" t="b">
        <f>IF(D358="",TRUE,IF(COUNTIF(Processor!$M$2:$M$3,D358)=0,IF(AN373=D358,TRUE,FALSE),IF(COUNTIF(AN373,INDEX(Processor!$N$2:$N$3,MATCH(Surfplattor!D358,Processor!$M$2:$M$3,0)))&gt;0,TRUE,FALSE)))</f>
        <v>1</v>
      </c>
      <c r="AC373" s="185" t="b">
        <f>IF($D$359="",TRUE,IF(COUNTIF(Processor!$I$2:$I$9,$D$359)&gt;0,AND(AO373&gt;INDEX(Processor!$J$2:$J$9,MATCH($D$359,Processor!$I$2:$I$9,0)),AO373&lt;INDEX(Processor!$K$2:$K$9,MATCH($D$359,Processor!$I$2:$I$9,0))),IF(AO373=$D$359,TRUE,FALSE)))</f>
        <v>1</v>
      </c>
      <c r="AD373" s="185" t="b">
        <f t="shared" si="305"/>
        <v>1</v>
      </c>
      <c r="AE373" s="185" t="b">
        <f t="shared" si="306"/>
        <v>1</v>
      </c>
      <c r="AF373" s="185" t="b">
        <f t="shared" si="307"/>
        <v>1</v>
      </c>
      <c r="AG373" s="185" t="b">
        <f t="shared" si="308"/>
        <v>1</v>
      </c>
      <c r="AH373" s="185" t="b">
        <f>IF($D$364="",TRUE,IF(INDEX(Processor!$C$14:$C$20,MATCH(LEFT(AT373,10)&amp;"",Processor!$A$14:$A$20,0))&gt;=INDEX(Processor!$C$14:$C$20,MATCH(LEFT($D$364,10)&amp;"",Processor!$A$14:$A$20,0)),TRUE,FALSE))</f>
        <v>1</v>
      </c>
      <c r="AI373" s="185" t="b">
        <f t="shared" si="309"/>
        <v>1</v>
      </c>
      <c r="AJ373" s="185"/>
      <c r="AK373" s="185"/>
      <c r="AL373" s="185" t="s">
        <v>558</v>
      </c>
      <c r="AM373" s="185">
        <v>1</v>
      </c>
      <c r="AN373" s="185" t="str">
        <f t="shared" ca="1" si="316"/>
        <v>Android 9</v>
      </c>
      <c r="AO373" s="185">
        <f t="shared" ca="1" si="316"/>
        <v>10.3</v>
      </c>
      <c r="AP373" s="185" t="str">
        <f t="shared" ca="1" si="316"/>
        <v>1920x1200</v>
      </c>
      <c r="AQ373" s="185">
        <f t="shared" ca="1" si="316"/>
        <v>64</v>
      </c>
      <c r="AR373" s="185">
        <f t="shared" ca="1" si="316"/>
        <v>5</v>
      </c>
      <c r="AS373" s="185" t="str">
        <f t="shared" ca="1" si="316"/>
        <v>802.11a/b/g/n/ac</v>
      </c>
      <c r="AT373" s="185">
        <f t="shared" ca="1" si="316"/>
        <v>9</v>
      </c>
      <c r="AU373" s="185" t="str">
        <f t="shared" ca="1" si="316"/>
        <v>Ej miljömärkt</v>
      </c>
      <c r="AV373" s="185" t="str">
        <f t="shared" ca="1" si="316"/>
        <v>802.11a/b/g/n/ac</v>
      </c>
      <c r="AW373" s="185">
        <f t="shared" ca="1" si="316"/>
        <v>5</v>
      </c>
      <c r="AX373" s="185">
        <f t="shared" ca="1" si="317"/>
        <v>9</v>
      </c>
      <c r="AY373" s="185" t="str">
        <f t="shared" ca="1" si="317"/>
        <v>M10 FHD G2</v>
      </c>
      <c r="AZ373" s="185">
        <f t="shared" ca="1" si="317"/>
        <v>0</v>
      </c>
      <c r="BA373" s="185" t="str">
        <f t="shared" ca="1" si="317"/>
        <v>Android 9</v>
      </c>
      <c r="BB373" s="185">
        <f t="shared" ca="1" si="317"/>
        <v>1700</v>
      </c>
      <c r="BC373" s="185">
        <f t="shared" ca="1" si="317"/>
        <v>1700</v>
      </c>
      <c r="BD373" s="192" t="str">
        <f t="shared" ca="1" si="317"/>
        <v>Phonelife</v>
      </c>
      <c r="BE373" s="192" t="str">
        <f t="shared" ca="1" si="317"/>
        <v>Lenovo</v>
      </c>
      <c r="BF373" s="192" t="str">
        <f t="shared" ca="1" si="317"/>
        <v>Lenovo</v>
      </c>
      <c r="BG373" s="192" t="str">
        <f t="shared" ca="1" si="317"/>
        <v>DELTACO</v>
      </c>
      <c r="BH373" s="192" t="str">
        <f t="shared" ca="1" si="318"/>
        <v>Kecow</v>
      </c>
      <c r="BI373" s="192" t="str">
        <f t="shared" ca="1" si="318"/>
        <v>GBXRUGGEDLENTAB-V1</v>
      </c>
      <c r="BJ373" s="192" t="str">
        <f t="shared" ca="1" si="318"/>
        <v>GBXLENFILM</v>
      </c>
      <c r="BK373" s="192" t="str">
        <f t="shared" ca="1" si="318"/>
        <v>GBXLENCHARGE</v>
      </c>
      <c r="BL373" s="192" t="str">
        <f t="shared" ca="1" si="318"/>
        <v>GBX TB-631</v>
      </c>
      <c r="BM373" s="192" t="str">
        <f t="shared" ca="1" si="318"/>
        <v>GBXPP2PENMAGNETIC</v>
      </c>
      <c r="BN373" s="192">
        <f t="shared" ca="1" si="318"/>
        <v>325</v>
      </c>
      <c r="BO373" s="185">
        <f t="shared" ca="1" si="318"/>
        <v>180</v>
      </c>
      <c r="BP373" s="192">
        <f t="shared" ca="1" si="318"/>
        <v>220</v>
      </c>
      <c r="BQ373" s="192">
        <f t="shared" ca="1" si="318"/>
        <v>150</v>
      </c>
      <c r="BR373" s="192">
        <f t="shared" ca="1" si="318"/>
        <v>399</v>
      </c>
      <c r="BS373" s="185">
        <f t="shared" ca="1" si="318"/>
        <v>570</v>
      </c>
      <c r="BT373" s="185">
        <f t="shared" ca="1" si="318"/>
        <v>25</v>
      </c>
      <c r="BU373" s="185">
        <f t="shared" ca="1" si="318"/>
        <v>25</v>
      </c>
      <c r="BV373" s="185">
        <f t="shared" ca="1" si="318"/>
        <v>0</v>
      </c>
      <c r="BW373" s="185"/>
      <c r="BX373" s="185"/>
      <c r="BY373" s="185" t="str">
        <f t="shared" ca="1" si="313"/>
        <v>Qlosr Göteborg AB</v>
      </c>
      <c r="BZ373" s="185" t="str">
        <f t="shared" ca="1" si="313"/>
        <v>Lenovo</v>
      </c>
      <c r="CA373" s="63"/>
      <c r="CB373" s="63"/>
      <c r="CC373" s="63"/>
      <c r="CD373" s="63"/>
      <c r="CE373" s="63"/>
      <c r="CF373" s="63"/>
      <c r="CG373" s="63"/>
      <c r="CH373" s="63"/>
      <c r="CI373" s="63"/>
      <c r="CJ373" s="63"/>
      <c r="CK373" s="63"/>
      <c r="CL373" s="63"/>
      <c r="CM373" s="63"/>
      <c r="CN373" s="63"/>
    </row>
    <row r="374" spans="2:94" ht="30" customHeight="1" outlineLevel="1" x14ac:dyDescent="0.35">
      <c r="B374" s="69" t="s">
        <v>55</v>
      </c>
      <c r="C374" s="95" t="s">
        <v>371</v>
      </c>
      <c r="D374" s="70"/>
      <c r="F374" s="159" t="str">
        <f t="shared" si="319"/>
        <v/>
      </c>
      <c r="G374" s="160">
        <f t="shared" ca="1" si="320"/>
        <v>220</v>
      </c>
      <c r="H374" s="160">
        <f t="shared" ca="1" si="320"/>
        <v>108</v>
      </c>
      <c r="I374" s="160">
        <f t="shared" ca="1" si="320"/>
        <v>279</v>
      </c>
      <c r="J374" s="54"/>
      <c r="Q374" s="185">
        <f t="shared" si="294"/>
        <v>0</v>
      </c>
      <c r="R374" s="185">
        <f t="shared" si="295"/>
        <v>0</v>
      </c>
      <c r="S374" s="185">
        <f t="shared" si="296"/>
        <v>0</v>
      </c>
      <c r="T374" s="185">
        <f t="shared" si="297"/>
        <v>0</v>
      </c>
      <c r="U374" s="185">
        <f t="shared" si="298"/>
        <v>0</v>
      </c>
      <c r="V374" s="185">
        <f t="shared" si="299"/>
        <v>0</v>
      </c>
      <c r="W374" s="185">
        <f t="shared" si="300"/>
        <v>0</v>
      </c>
      <c r="X374" s="185">
        <f t="shared" si="301"/>
        <v>0</v>
      </c>
      <c r="Y374" s="185">
        <f t="shared" si="302"/>
        <v>0</v>
      </c>
      <c r="Z374" s="196">
        <f t="shared" ca="1" si="303"/>
        <v>3205</v>
      </c>
      <c r="AA374" s="185" t="str">
        <f t="shared" si="304"/>
        <v>Offererad produktnr. 08Qlosr Göteborg AB</v>
      </c>
      <c r="AB374" s="185" t="b">
        <f>IF(D358="",TRUE,IF(COUNTIF(Processor!$M$2:$M$3,D358)=0,IF(AN374=D358,TRUE,FALSE),IF(COUNTIF(AN374,INDEX(Processor!$N$2:$N$3,MATCH(Surfplattor!D358,Processor!$M$2:$M$3,0)))&gt;0,TRUE,FALSE)))</f>
        <v>1</v>
      </c>
      <c r="AC374" s="185" t="b">
        <f>IF($D$359="",TRUE,IF(COUNTIF(Processor!$I$2:$I$9,$D$359)&gt;0,AND(AO374&gt;INDEX(Processor!$J$2:$J$9,MATCH($D$359,Processor!$I$2:$I$9,0)),AO374&lt;INDEX(Processor!$K$2:$K$9,MATCH($D$359,Processor!$I$2:$I$9,0))),IF(AO374=$D$359,TRUE,FALSE)))</f>
        <v>1</v>
      </c>
      <c r="AD374" s="185" t="b">
        <f t="shared" si="305"/>
        <v>1</v>
      </c>
      <c r="AE374" s="185" t="b">
        <f t="shared" si="306"/>
        <v>1</v>
      </c>
      <c r="AF374" s="185" t="b">
        <f t="shared" si="307"/>
        <v>1</v>
      </c>
      <c r="AG374" s="185" t="b">
        <f t="shared" si="308"/>
        <v>1</v>
      </c>
      <c r="AH374" s="185" t="b">
        <f>IF($D$364="",TRUE,IF(INDEX(Processor!$C$14:$C$20,MATCH(LEFT(AT374,10)&amp;"",Processor!$A$14:$A$20,0))&gt;=INDEX(Processor!$C$14:$C$20,MATCH(LEFT($D$364,10)&amp;"",Processor!$A$14:$A$20,0)),TRUE,FALSE))</f>
        <v>1</v>
      </c>
      <c r="AI374" s="185" t="b">
        <f t="shared" si="309"/>
        <v>1</v>
      </c>
      <c r="AJ374" s="185"/>
      <c r="AK374" s="185"/>
      <c r="AL374" s="185" t="s">
        <v>559</v>
      </c>
      <c r="AM374" s="185">
        <v>1</v>
      </c>
      <c r="AN374" s="185" t="str">
        <f t="shared" ca="1" si="316"/>
        <v>iPadOS 15</v>
      </c>
      <c r="AO374" s="185">
        <f t="shared" ca="1" si="316"/>
        <v>10.199999999999999</v>
      </c>
      <c r="AP374" s="185" t="str">
        <f t="shared" ca="1" si="316"/>
        <v>2160x1620</v>
      </c>
      <c r="AQ374" s="185">
        <f t="shared" ca="1" si="316"/>
        <v>64</v>
      </c>
      <c r="AR374" s="185">
        <f t="shared" ca="1" si="316"/>
        <v>4.2</v>
      </c>
      <c r="AS374" s="185" t="str">
        <f t="shared" ca="1" si="316"/>
        <v>802.11a/b/g/n/ac</v>
      </c>
      <c r="AT374" s="185">
        <f t="shared" ca="1" si="316"/>
        <v>10</v>
      </c>
      <c r="AU374" s="185" t="str">
        <f t="shared" ca="1" si="316"/>
        <v>Ej miljömärkt</v>
      </c>
      <c r="AV374" s="185" t="str">
        <f t="shared" ca="1" si="316"/>
        <v>802.11a/b/g/n/ac</v>
      </c>
      <c r="AW374" s="185">
        <f t="shared" ca="1" si="316"/>
        <v>4.2</v>
      </c>
      <c r="AX374" s="185">
        <f t="shared" ca="1" si="317"/>
        <v>10</v>
      </c>
      <c r="AY374" s="185" t="str">
        <f t="shared" ca="1" si="317"/>
        <v>iPad 9th gen (2021)</v>
      </c>
      <c r="AZ374" s="185">
        <f t="shared" ca="1" si="317"/>
        <v>0</v>
      </c>
      <c r="BA374" s="185" t="str">
        <f t="shared" ca="1" si="317"/>
        <v>iPadOS 15</v>
      </c>
      <c r="BB374" s="185">
        <f t="shared" ca="1" si="317"/>
        <v>3205</v>
      </c>
      <c r="BC374" s="185">
        <f t="shared" ca="1" si="317"/>
        <v>3205</v>
      </c>
      <c r="BD374" s="192" t="str">
        <f t="shared" ca="1" si="317"/>
        <v>Otterbox Defender Series</v>
      </c>
      <c r="BE374" s="192" t="str">
        <f t="shared" ca="1" si="317"/>
        <v>ZAGG</v>
      </c>
      <c r="BF374" s="192" t="str">
        <f t="shared" ca="1" si="317"/>
        <v>Belkin</v>
      </c>
      <c r="BG374" s="192" t="str">
        <f t="shared" ca="1" si="317"/>
        <v>DELTACO</v>
      </c>
      <c r="BH374" s="192" t="str">
        <f t="shared" ca="1" si="318"/>
        <v>Apple</v>
      </c>
      <c r="BI374" s="192" t="str">
        <f t="shared" ca="1" si="318"/>
        <v>GBX77-62032</v>
      </c>
      <c r="BJ374" s="192" t="str">
        <f t="shared" ca="1" si="318"/>
        <v>gbx200106077</v>
      </c>
      <c r="BK374" s="192" t="str">
        <f t="shared" ca="1" si="318"/>
        <v>GBXWCA003VF04WH</v>
      </c>
      <c r="BL374" s="192" t="str">
        <f t="shared" ca="1" si="318"/>
        <v>GBX TB-631</v>
      </c>
      <c r="BM374" s="192" t="str">
        <f t="shared" ca="1" si="318"/>
        <v>MK0C2ZM/A</v>
      </c>
      <c r="BN374" s="192">
        <f t="shared" ca="1" si="318"/>
        <v>460</v>
      </c>
      <c r="BO374" s="185">
        <f t="shared" ca="1" si="318"/>
        <v>189</v>
      </c>
      <c r="BP374" s="192">
        <f t="shared" ca="1" si="318"/>
        <v>279</v>
      </c>
      <c r="BQ374" s="192">
        <f t="shared" ca="1" si="318"/>
        <v>150</v>
      </c>
      <c r="BR374" s="192">
        <f t="shared" ca="1" si="318"/>
        <v>839</v>
      </c>
      <c r="BS374" s="185">
        <f t="shared" ca="1" si="318"/>
        <v>514</v>
      </c>
      <c r="BT374" s="185">
        <f t="shared" ca="1" si="318"/>
        <v>25</v>
      </c>
      <c r="BU374" s="185">
        <f t="shared" ca="1" si="318"/>
        <v>25</v>
      </c>
      <c r="BV374" s="185">
        <f t="shared" ca="1" si="318"/>
        <v>0</v>
      </c>
      <c r="BW374" s="185"/>
      <c r="BX374" s="185"/>
      <c r="BY374" s="185" t="str">
        <f t="shared" ca="1" si="313"/>
        <v>Qlosr Göteborg AB</v>
      </c>
      <c r="BZ374" s="185" t="str">
        <f t="shared" ca="1" si="313"/>
        <v>Apple</v>
      </c>
      <c r="CA374" s="63"/>
      <c r="CB374" s="63"/>
      <c r="CC374" s="63"/>
      <c r="CD374" s="63"/>
      <c r="CE374" s="63"/>
      <c r="CF374" s="63"/>
      <c r="CG374" s="63"/>
      <c r="CH374" s="63"/>
      <c r="CI374" s="63"/>
      <c r="CJ374" s="63"/>
      <c r="CK374" s="63"/>
      <c r="CL374" s="63"/>
      <c r="CM374" s="63"/>
      <c r="CN374" s="63"/>
    </row>
    <row r="375" spans="2:94" ht="30" customHeight="1" outlineLevel="1" x14ac:dyDescent="0.35">
      <c r="B375" s="69" t="s">
        <v>342</v>
      </c>
      <c r="C375" s="96" t="s">
        <v>51</v>
      </c>
      <c r="D375" s="131" t="str">
        <f>IF("Ska Ingå"=D374,"Ska Ingå","")</f>
        <v/>
      </c>
      <c r="F375" s="84" t="str">
        <f t="shared" si="319"/>
        <v/>
      </c>
      <c r="G375" s="85" t="str">
        <f t="shared" ca="1" si="320"/>
        <v>Lenovo</v>
      </c>
      <c r="H375" s="85" t="str">
        <f t="shared" ca="1" si="320"/>
        <v>CoreParts</v>
      </c>
      <c r="I375" s="85" t="str">
        <f t="shared" ca="1" si="320"/>
        <v>Belkin</v>
      </c>
      <c r="J375" s="73"/>
      <c r="Q375" s="185">
        <f t="shared" si="294"/>
        <v>0</v>
      </c>
      <c r="R375" s="185">
        <f t="shared" si="295"/>
        <v>0</v>
      </c>
      <c r="S375" s="185">
        <f t="shared" si="296"/>
        <v>0</v>
      </c>
      <c r="T375" s="185">
        <f t="shared" si="297"/>
        <v>0</v>
      </c>
      <c r="U375" s="185">
        <f t="shared" si="298"/>
        <v>0</v>
      </c>
      <c r="V375" s="185">
        <f t="shared" si="299"/>
        <v>0</v>
      </c>
      <c r="W375" s="185">
        <f t="shared" si="300"/>
        <v>0</v>
      </c>
      <c r="X375" s="185">
        <f t="shared" si="301"/>
        <v>0</v>
      </c>
      <c r="Y375" s="185">
        <f t="shared" si="302"/>
        <v>0</v>
      </c>
      <c r="Z375" s="196">
        <f t="shared" ca="1" si="303"/>
        <v>7256</v>
      </c>
      <c r="AA375" s="185" t="str">
        <f t="shared" si="304"/>
        <v>Offererad produktnr. 09Qlosr Göteborg AB</v>
      </c>
      <c r="AB375" s="185" t="b">
        <f>IF(D358="",TRUE,IF(COUNTIF(Processor!$M$2:$M$3,D358)=0,IF(AN375=D358,TRUE,FALSE),IF(COUNTIF(AN375,INDEX(Processor!$N$2:$N$3,MATCH(Surfplattor!D358,Processor!$M$2:$M$3,0)))&gt;0,TRUE,FALSE)))</f>
        <v>1</v>
      </c>
      <c r="AC375" s="185" t="b">
        <f>IF($D$359="",TRUE,IF(COUNTIF(Processor!$I$2:$I$9,$D$359)&gt;0,AND(AO375&gt;INDEX(Processor!$J$2:$J$9,MATCH($D$359,Processor!$I$2:$I$9,0)),AO375&lt;INDEX(Processor!$K$2:$K$9,MATCH($D$359,Processor!$I$2:$I$9,0))),IF(AO375=$D$359,TRUE,FALSE)))</f>
        <v>1</v>
      </c>
      <c r="AD375" s="185" t="b">
        <f t="shared" si="305"/>
        <v>1</v>
      </c>
      <c r="AE375" s="185" t="b">
        <f t="shared" si="306"/>
        <v>1</v>
      </c>
      <c r="AF375" s="185" t="b">
        <f t="shared" si="307"/>
        <v>1</v>
      </c>
      <c r="AG375" s="185" t="b">
        <f t="shared" si="308"/>
        <v>1</v>
      </c>
      <c r="AH375" s="185" t="b">
        <f>IF($D$364="",TRUE,IF(INDEX(Processor!$C$14:$C$20,MATCH(LEFT(AT375,10)&amp;"",Processor!$A$14:$A$20,0))&gt;=INDEX(Processor!$C$14:$C$20,MATCH(LEFT($D$364,10)&amp;"",Processor!$A$14:$A$20,0)),TRUE,FALSE))</f>
        <v>1</v>
      </c>
      <c r="AI375" s="185" t="b">
        <f t="shared" si="309"/>
        <v>1</v>
      </c>
      <c r="AJ375" s="185"/>
      <c r="AK375" s="185"/>
      <c r="AL375" s="185" t="s">
        <v>560</v>
      </c>
      <c r="AM375" s="185">
        <v>1</v>
      </c>
      <c r="AN375" s="185" t="str">
        <f t="shared" ca="1" si="316"/>
        <v>iPadOS 14</v>
      </c>
      <c r="AO375" s="185">
        <f t="shared" ca="1" si="316"/>
        <v>11</v>
      </c>
      <c r="AP375" s="185" t="str">
        <f t="shared" ca="1" si="316"/>
        <v>2388x1668</v>
      </c>
      <c r="AQ375" s="185">
        <f t="shared" ca="1" si="316"/>
        <v>128</v>
      </c>
      <c r="AR375" s="185">
        <f t="shared" ca="1" si="316"/>
        <v>5</v>
      </c>
      <c r="AS375" s="185" t="str">
        <f t="shared" ca="1" si="316"/>
        <v>802.11a/b/g/n/ac/ax</v>
      </c>
      <c r="AT375" s="185">
        <f t="shared" ca="1" si="316"/>
        <v>10</v>
      </c>
      <c r="AU375" s="185" t="str">
        <f t="shared" ca="1" si="316"/>
        <v>Ej miljömärkt</v>
      </c>
      <c r="AV375" s="185" t="str">
        <f t="shared" ca="1" si="316"/>
        <v>802.11a/b/g/n/ac/ax</v>
      </c>
      <c r="AW375" s="185">
        <f t="shared" ca="1" si="316"/>
        <v>5</v>
      </c>
      <c r="AX375" s="185">
        <f t="shared" ca="1" si="317"/>
        <v>10</v>
      </c>
      <c r="AY375" s="185" t="str">
        <f t="shared" ca="1" si="317"/>
        <v>Ipad Pro 11 tum</v>
      </c>
      <c r="AZ375" s="185">
        <f t="shared" ca="1" si="317"/>
        <v>0</v>
      </c>
      <c r="BA375" s="185" t="str">
        <f t="shared" ca="1" si="317"/>
        <v>iPadOS 14</v>
      </c>
      <c r="BB375" s="185">
        <f t="shared" ca="1" si="317"/>
        <v>7256</v>
      </c>
      <c r="BC375" s="185">
        <f t="shared" ca="1" si="317"/>
        <v>7256</v>
      </c>
      <c r="BD375" s="192" t="str">
        <f t="shared" ca="1" si="317"/>
        <v>Otterbox Defender Series</v>
      </c>
      <c r="BE375" s="192" t="str">
        <f t="shared" ca="1" si="317"/>
        <v>ZAGG</v>
      </c>
      <c r="BF375" s="192" t="str">
        <f t="shared" ca="1" si="317"/>
        <v>Belkin</v>
      </c>
      <c r="BG375" s="192" t="str">
        <f t="shared" ca="1" si="317"/>
        <v>DELTACO</v>
      </c>
      <c r="BH375" s="192" t="str">
        <f t="shared" ca="1" si="318"/>
        <v>Apple</v>
      </c>
      <c r="BI375" s="192" t="str">
        <f t="shared" ca="1" si="318"/>
        <v>GBX77-82261</v>
      </c>
      <c r="BJ375" s="192" t="str">
        <f t="shared" ca="1" si="318"/>
        <v>GBX200108138</v>
      </c>
      <c r="BK375" s="192" t="str">
        <f t="shared" ca="1" si="318"/>
        <v>GBXF7U074vf04-SLV</v>
      </c>
      <c r="BL375" s="192" t="str">
        <f t="shared" ca="1" si="318"/>
        <v>GBX TB-631</v>
      </c>
      <c r="BM375" s="192" t="str">
        <f t="shared" ca="1" si="318"/>
        <v>MU8F2ZM/A</v>
      </c>
      <c r="BN375" s="192">
        <f t="shared" ca="1" si="318"/>
        <v>435</v>
      </c>
      <c r="BO375" s="185">
        <f t="shared" ca="1" si="318"/>
        <v>179</v>
      </c>
      <c r="BP375" s="192">
        <f t="shared" ca="1" si="318"/>
        <v>355</v>
      </c>
      <c r="BQ375" s="192">
        <f t="shared" ca="1" si="318"/>
        <v>150</v>
      </c>
      <c r="BR375" s="192">
        <f t="shared" ca="1" si="318"/>
        <v>1145</v>
      </c>
      <c r="BS375" s="185">
        <f t="shared" ca="1" si="318"/>
        <v>724</v>
      </c>
      <c r="BT375" s="185">
        <f t="shared" ca="1" si="318"/>
        <v>25</v>
      </c>
      <c r="BU375" s="185">
        <f t="shared" ca="1" si="318"/>
        <v>25</v>
      </c>
      <c r="BV375" s="185">
        <f t="shared" ca="1" si="318"/>
        <v>0</v>
      </c>
      <c r="BW375" s="185"/>
      <c r="BX375" s="185"/>
      <c r="BY375" s="185" t="str">
        <f t="shared" ca="1" si="313"/>
        <v>Qlosr Göteborg AB</v>
      </c>
      <c r="BZ375" s="185" t="str">
        <f t="shared" ca="1" si="313"/>
        <v>Apple</v>
      </c>
      <c r="CA375" s="63"/>
      <c r="CB375" s="63"/>
      <c r="CC375" s="63"/>
      <c r="CD375" s="63"/>
      <c r="CE375" s="63"/>
      <c r="CF375" s="63"/>
      <c r="CG375" s="63"/>
      <c r="CH375" s="63"/>
      <c r="CI375" s="63"/>
      <c r="CJ375" s="63"/>
      <c r="CK375" s="63"/>
      <c r="CL375" s="63"/>
      <c r="CM375" s="63"/>
      <c r="CN375" s="63"/>
    </row>
    <row r="376" spans="2:94" ht="67.5" customHeight="1" outlineLevel="1" x14ac:dyDescent="0.35">
      <c r="B376" s="69" t="s">
        <v>347</v>
      </c>
      <c r="C376" s="97" t="s">
        <v>52</v>
      </c>
      <c r="D376" s="132" t="str">
        <f>IF("Ska Ingå"=D374,"Ska Ingå","")</f>
        <v/>
      </c>
      <c r="F376" s="86" t="str">
        <f t="shared" si="319"/>
        <v/>
      </c>
      <c r="G376" s="87" t="str">
        <f t="shared" ca="1" si="320"/>
        <v>GBXLENCHARGE</v>
      </c>
      <c r="H376" s="87" t="str">
        <f t="shared" ca="1" si="320"/>
        <v>MBXUSB-AC0011 - Strömadapter - 12 Watt - 2.4 A (USB) - på kabel: USB-C - vit - med USB-C cable (2m)</v>
      </c>
      <c r="I376" s="87" t="str">
        <f t="shared" ca="1" si="320"/>
        <v>GBXWCA003VF04WH</v>
      </c>
      <c r="J376" s="54"/>
      <c r="Q376" s="185">
        <f t="shared" si="294"/>
        <v>0</v>
      </c>
      <c r="R376" s="185">
        <f t="shared" si="295"/>
        <v>0</v>
      </c>
      <c r="S376" s="185">
        <f t="shared" si="296"/>
        <v>0</v>
      </c>
      <c r="T376" s="185">
        <f t="shared" si="297"/>
        <v>0</v>
      </c>
      <c r="U376" s="185">
        <f t="shared" si="298"/>
        <v>0</v>
      </c>
      <c r="V376" s="185">
        <f t="shared" si="299"/>
        <v>0</v>
      </c>
      <c r="W376" s="185">
        <f t="shared" si="300"/>
        <v>0</v>
      </c>
      <c r="X376" s="185">
        <f t="shared" si="301"/>
        <v>0</v>
      </c>
      <c r="Y376" s="185">
        <f t="shared" si="302"/>
        <v>0</v>
      </c>
      <c r="Z376" s="196">
        <f t="shared" ca="1" si="303"/>
        <v>4710</v>
      </c>
      <c r="AA376" s="185" t="str">
        <f t="shared" si="304"/>
        <v>Offererad produktnr. 10Qlosr Göteborg AB</v>
      </c>
      <c r="AB376" s="185" t="b">
        <f>IF(D358="",TRUE,IF(COUNTIF(Processor!$M$2:$M$3,D358)=0,IF(AN376=D358,TRUE,FALSE),IF(COUNTIF(AN376,INDEX(Processor!$N$2:$N$3,MATCH(Surfplattor!D358,Processor!$M$2:$M$3,0)))&gt;0,TRUE,FALSE)))</f>
        <v>1</v>
      </c>
      <c r="AC376" s="185" t="b">
        <f>IF($D$359="",TRUE,IF(COUNTIF(Processor!$I$2:$I$9,$D$359)&gt;0,AND(AO376&gt;INDEX(Processor!$J$2:$J$9,MATCH($D$359,Processor!$I$2:$I$9,0)),AO376&lt;INDEX(Processor!$K$2:$K$9,MATCH($D$359,Processor!$I$2:$I$9,0))),IF(AO376=$D$359,TRUE,FALSE)))</f>
        <v>1</v>
      </c>
      <c r="AD376" s="185" t="b">
        <f t="shared" si="305"/>
        <v>1</v>
      </c>
      <c r="AE376" s="185" t="b">
        <f t="shared" si="306"/>
        <v>1</v>
      </c>
      <c r="AF376" s="185" t="b">
        <f t="shared" si="307"/>
        <v>1</v>
      </c>
      <c r="AG376" s="185" t="b">
        <f t="shared" si="308"/>
        <v>1</v>
      </c>
      <c r="AH376" s="185" t="b">
        <f>IF($D$364="",TRUE,IF(INDEX(Processor!$C$14:$C$20,MATCH(LEFT(AT376,10)&amp;"",Processor!$A$14:$A$20,0))&gt;=INDEX(Processor!$C$14:$C$20,MATCH(LEFT($D$364,10)&amp;"",Processor!$A$14:$A$20,0)),TRUE,FALSE))</f>
        <v>1</v>
      </c>
      <c r="AI376" s="185" t="b">
        <f t="shared" si="309"/>
        <v>1</v>
      </c>
      <c r="AJ376" s="185"/>
      <c r="AK376" s="185"/>
      <c r="AL376" s="185" t="s">
        <v>561</v>
      </c>
      <c r="AM376" s="185">
        <v>1</v>
      </c>
      <c r="AN376" s="185" t="str">
        <f t="shared" ca="1" si="316"/>
        <v>Android 10</v>
      </c>
      <c r="AO376" s="185">
        <f t="shared" ca="1" si="316"/>
        <v>11.5</v>
      </c>
      <c r="AP376" s="185" t="str">
        <f t="shared" ca="1" si="316"/>
        <v>2560x1600</v>
      </c>
      <c r="AQ376" s="185">
        <f t="shared" ca="1" si="316"/>
        <v>128</v>
      </c>
      <c r="AR376" s="185">
        <f t="shared" ca="1" si="316"/>
        <v>5</v>
      </c>
      <c r="AS376" s="185" t="str">
        <f t="shared" ca="1" si="316"/>
        <v>802.11a/b/g/n/ac</v>
      </c>
      <c r="AT376" s="185">
        <f t="shared" ca="1" si="316"/>
        <v>8</v>
      </c>
      <c r="AU376" s="185" t="str">
        <f t="shared" ca="1" si="316"/>
        <v>Ej miljömärkt</v>
      </c>
      <c r="AV376" s="185" t="str">
        <f t="shared" ca="1" si="316"/>
        <v>802.11a/b/g/n/ac</v>
      </c>
      <c r="AW376" s="185">
        <f t="shared" ca="1" si="316"/>
        <v>5</v>
      </c>
      <c r="AX376" s="185">
        <f t="shared" ca="1" si="317"/>
        <v>8</v>
      </c>
      <c r="AY376" s="185" t="str">
        <f t="shared" ca="1" si="317"/>
        <v>Lenovo Tab P11 Pro ZA7C 128GB</v>
      </c>
      <c r="AZ376" s="185">
        <f t="shared" ca="1" si="317"/>
        <v>0</v>
      </c>
      <c r="BA376" s="185" t="str">
        <f t="shared" ca="1" si="317"/>
        <v>Android 10</v>
      </c>
      <c r="BB376" s="185">
        <f t="shared" ca="1" si="317"/>
        <v>4710</v>
      </c>
      <c r="BC376" s="185">
        <f t="shared" ca="1" si="317"/>
        <v>4710</v>
      </c>
      <c r="BD376" s="192" t="str">
        <f t="shared" ca="1" si="317"/>
        <v>Phonelife</v>
      </c>
      <c r="BE376" s="192" t="str">
        <f t="shared" ca="1" si="317"/>
        <v>Lenovo</v>
      </c>
      <c r="BF376" s="192" t="str">
        <f t="shared" ca="1" si="317"/>
        <v>Lenovo</v>
      </c>
      <c r="BG376" s="192" t="str">
        <f t="shared" ca="1" si="317"/>
        <v>DELTACO</v>
      </c>
      <c r="BH376" s="192" t="str">
        <f t="shared" ca="1" si="318"/>
        <v>Kecow</v>
      </c>
      <c r="BI376" s="192" t="str">
        <f t="shared" ca="1" si="318"/>
        <v>GBXRUGGEDLENTAB-V2</v>
      </c>
      <c r="BJ376" s="192" t="str">
        <f t="shared" ca="1" si="318"/>
        <v>GBXLENFILM</v>
      </c>
      <c r="BK376" s="192" t="str">
        <f t="shared" ca="1" si="318"/>
        <v>GBXLENCHARGE</v>
      </c>
      <c r="BL376" s="192" t="str">
        <f t="shared" ca="1" si="318"/>
        <v>GBX TB-631</v>
      </c>
      <c r="BM376" s="192" t="str">
        <f t="shared" ca="1" si="318"/>
        <v>GBXPP2PENMAGNETIC</v>
      </c>
      <c r="BN376" s="192">
        <f t="shared" ca="1" si="318"/>
        <v>330</v>
      </c>
      <c r="BO376" s="185">
        <f t="shared" ca="1" si="318"/>
        <v>180</v>
      </c>
      <c r="BP376" s="192">
        <f t="shared" ca="1" si="318"/>
        <v>220</v>
      </c>
      <c r="BQ376" s="192">
        <f t="shared" ca="1" si="318"/>
        <v>150</v>
      </c>
      <c r="BR376" s="192">
        <f t="shared" ca="1" si="318"/>
        <v>399</v>
      </c>
      <c r="BS376" s="185">
        <f t="shared" ca="1" si="318"/>
        <v>560</v>
      </c>
      <c r="BT376" s="185">
        <f t="shared" ca="1" si="318"/>
        <v>25</v>
      </c>
      <c r="BU376" s="185">
        <f t="shared" ca="1" si="318"/>
        <v>25</v>
      </c>
      <c r="BV376" s="185">
        <f t="shared" ca="1" si="318"/>
        <v>0</v>
      </c>
      <c r="BW376" s="185"/>
      <c r="BX376" s="185"/>
      <c r="BY376" s="185" t="str">
        <f t="shared" ca="1" si="313"/>
        <v>Qlosr Göteborg AB</v>
      </c>
      <c r="BZ376" s="185" t="str">
        <f t="shared" ca="1" si="313"/>
        <v>Lenovo</v>
      </c>
      <c r="CA376" s="63"/>
      <c r="CB376" s="63"/>
      <c r="CC376" s="63"/>
      <c r="CD376" s="63"/>
      <c r="CE376" s="63"/>
      <c r="CF376" s="63"/>
      <c r="CG376" s="63"/>
      <c r="CH376" s="63"/>
      <c r="CI376" s="63"/>
      <c r="CJ376" s="63"/>
      <c r="CK376" s="63"/>
      <c r="CL376" s="63"/>
      <c r="CM376" s="63"/>
      <c r="CN376" s="63"/>
    </row>
    <row r="377" spans="2:94" ht="30" customHeight="1" outlineLevel="1" x14ac:dyDescent="0.35">
      <c r="B377" s="69" t="s">
        <v>59</v>
      </c>
      <c r="C377" s="98" t="s">
        <v>374</v>
      </c>
      <c r="D377" s="70"/>
      <c r="F377" s="157" t="str">
        <f t="shared" si="319"/>
        <v/>
      </c>
      <c r="G377" s="158">
        <f t="shared" ca="1" si="320"/>
        <v>150</v>
      </c>
      <c r="H377" s="158">
        <f t="shared" ca="1" si="320"/>
        <v>169</v>
      </c>
      <c r="I377" s="158">
        <f t="shared" ca="1" si="320"/>
        <v>150</v>
      </c>
      <c r="J377" s="73"/>
      <c r="BD377" s="63"/>
      <c r="BE377" s="63"/>
      <c r="BF377" s="63"/>
      <c r="BG377" s="63"/>
      <c r="BH377" s="63"/>
      <c r="BI377" s="63"/>
      <c r="BJ377" s="63"/>
      <c r="BK377" s="63"/>
      <c r="BL377" s="63"/>
      <c r="BM377" s="63"/>
      <c r="BN377" s="63"/>
      <c r="BP377" s="63"/>
      <c r="BQ377" s="63"/>
      <c r="BR377" s="63"/>
    </row>
    <row r="378" spans="2:94" ht="30" customHeight="1" outlineLevel="1" x14ac:dyDescent="0.35">
      <c r="B378" s="69" t="s">
        <v>343</v>
      </c>
      <c r="C378" s="61" t="s">
        <v>51</v>
      </c>
      <c r="D378" s="131" t="str">
        <f>IF("Ska Ingå"=D377,"Ska Ingå","")</f>
        <v/>
      </c>
      <c r="F378" s="88" t="str">
        <f t="shared" si="319"/>
        <v/>
      </c>
      <c r="G378" s="89" t="str">
        <f t="shared" ca="1" si="320"/>
        <v>DELTACO</v>
      </c>
      <c r="H378" s="89" t="str">
        <f t="shared" ca="1" si="320"/>
        <v>DELTACO</v>
      </c>
      <c r="I378" s="89" t="str">
        <f t="shared" ca="1" si="320"/>
        <v>DELTACO</v>
      </c>
      <c r="J378" s="54"/>
      <c r="BD378" s="63"/>
      <c r="BE378" s="63"/>
      <c r="BF378" s="63"/>
      <c r="BG378" s="63"/>
      <c r="BH378" s="63"/>
      <c r="BI378" s="63"/>
      <c r="BJ378" s="63"/>
      <c r="BK378" s="63"/>
      <c r="BL378" s="63"/>
      <c r="BM378" s="63"/>
      <c r="BN378" s="63"/>
      <c r="BP378" s="63"/>
      <c r="BQ378" s="63"/>
      <c r="BR378" s="63"/>
    </row>
    <row r="379" spans="2:94" ht="45" customHeight="1" outlineLevel="1" x14ac:dyDescent="0.35">
      <c r="B379" s="69" t="s">
        <v>348</v>
      </c>
      <c r="C379" s="99" t="s">
        <v>52</v>
      </c>
      <c r="D379" s="132" t="str">
        <f>IF("Ska Ingå"=D377,"Ska Ingå","")</f>
        <v/>
      </c>
      <c r="F379" s="90" t="str">
        <f t="shared" si="319"/>
        <v/>
      </c>
      <c r="G379" s="91" t="str">
        <f t="shared" ca="1" si="320"/>
        <v>GBX TB-631</v>
      </c>
      <c r="H379" s="91" t="str">
        <f t="shared" ca="1" si="320"/>
        <v>TB-631</v>
      </c>
      <c r="I379" s="91" t="str">
        <f t="shared" ca="1" si="320"/>
        <v>GBX TB-631</v>
      </c>
      <c r="BD379" s="63"/>
      <c r="BE379" s="63"/>
      <c r="BF379" s="63"/>
      <c r="BG379" s="63"/>
      <c r="BH379" s="63"/>
      <c r="BI379" s="63"/>
      <c r="BJ379" s="63"/>
      <c r="BK379" s="63"/>
      <c r="BL379" s="63"/>
      <c r="BM379" s="63"/>
      <c r="BN379" s="63"/>
      <c r="BP379" s="63"/>
      <c r="BQ379" s="63"/>
      <c r="BR379" s="63"/>
    </row>
    <row r="380" spans="2:94" ht="30" customHeight="1" outlineLevel="1" x14ac:dyDescent="0.35">
      <c r="B380" s="69" t="s">
        <v>227</v>
      </c>
      <c r="C380" s="95" t="s">
        <v>375</v>
      </c>
      <c r="D380" s="70"/>
      <c r="F380" s="159" t="str">
        <f t="shared" si="319"/>
        <v/>
      </c>
      <c r="G380" s="160">
        <f t="shared" ca="1" si="320"/>
        <v>399</v>
      </c>
      <c r="H380" s="160">
        <f t="shared" ca="1" si="320"/>
        <v>595</v>
      </c>
      <c r="I380" s="160">
        <f t="shared" ca="1" si="320"/>
        <v>839</v>
      </c>
      <c r="BD380" s="63"/>
      <c r="BE380" s="63"/>
      <c r="BF380" s="63"/>
      <c r="BG380" s="63"/>
      <c r="BH380" s="63"/>
      <c r="BI380" s="63"/>
      <c r="BJ380" s="63"/>
      <c r="BK380" s="63"/>
      <c r="BL380" s="63"/>
      <c r="BM380" s="63"/>
      <c r="BN380" s="63"/>
      <c r="BP380" s="63"/>
      <c r="BQ380" s="63"/>
      <c r="BR380" s="63"/>
    </row>
    <row r="381" spans="2:94" ht="30" customHeight="1" outlineLevel="1" x14ac:dyDescent="0.35">
      <c r="B381" s="69" t="s">
        <v>344</v>
      </c>
      <c r="C381" s="96" t="s">
        <v>51</v>
      </c>
      <c r="D381" s="131" t="str">
        <f>IF("Ska Ingå"=D380,"Ska Ingå","")</f>
        <v/>
      </c>
      <c r="F381" s="84" t="str">
        <f t="shared" si="319"/>
        <v/>
      </c>
      <c r="G381" s="85" t="str">
        <f t="shared" ca="1" si="320"/>
        <v>Kecow</v>
      </c>
      <c r="H381" s="85" t="str">
        <f t="shared" ca="1" si="320"/>
        <v xml:space="preserve">ZAGG </v>
      </c>
      <c r="I381" s="85" t="str">
        <f t="shared" ca="1" si="320"/>
        <v>Apple</v>
      </c>
      <c r="BD381" s="63"/>
      <c r="BE381" s="63"/>
      <c r="BF381" s="63"/>
      <c r="BG381" s="63"/>
      <c r="BH381" s="63"/>
      <c r="BI381" s="63"/>
      <c r="BJ381" s="63"/>
      <c r="BK381" s="63"/>
      <c r="BL381" s="63"/>
      <c r="BM381" s="63"/>
      <c r="BN381" s="63"/>
      <c r="BP381" s="63"/>
      <c r="BQ381" s="63"/>
      <c r="BR381" s="63"/>
    </row>
    <row r="382" spans="2:94" ht="67.5" customHeight="1" outlineLevel="1" x14ac:dyDescent="0.35">
      <c r="B382" s="69" t="s">
        <v>349</v>
      </c>
      <c r="C382" s="116" t="s">
        <v>52</v>
      </c>
      <c r="D382" s="132" t="str">
        <f>IF("Ska Ingå"=D380,"Ska Ingå","")</f>
        <v/>
      </c>
      <c r="F382" s="117" t="str">
        <f t="shared" si="319"/>
        <v/>
      </c>
      <c r="G382" s="118" t="str">
        <f t="shared" ca="1" si="320"/>
        <v>GBXPP2PENMAGNETIC</v>
      </c>
      <c r="H382" s="118" t="str">
        <f t="shared" ca="1" si="320"/>
        <v>109912139 - Pro Stylus 2 - Aktiv penna - grå</v>
      </c>
      <c r="I382" s="118" t="str">
        <f t="shared" ca="1" si="320"/>
        <v>MK0C2ZM/A</v>
      </c>
      <c r="BD382" s="63"/>
      <c r="BE382" s="63"/>
      <c r="BF382" s="63"/>
      <c r="BG382" s="63"/>
      <c r="BH382" s="63"/>
      <c r="BI382" s="63"/>
      <c r="BJ382" s="63"/>
      <c r="BK382" s="63"/>
      <c r="BL382" s="63"/>
      <c r="BM382" s="63"/>
      <c r="BN382" s="63"/>
      <c r="BP382" s="63"/>
      <c r="BQ382" s="63"/>
      <c r="BR382" s="63"/>
    </row>
    <row r="383" spans="2:94" ht="22.5" customHeight="1" outlineLevel="1" x14ac:dyDescent="0.35">
      <c r="B383" s="69"/>
      <c r="C383" s="212" t="s">
        <v>365</v>
      </c>
      <c r="D383" s="215"/>
      <c r="E383" s="213"/>
      <c r="F383" s="213"/>
      <c r="G383" s="213"/>
      <c r="H383" s="213"/>
      <c r="I383" s="214"/>
    </row>
    <row r="384" spans="2:94" ht="22.5" customHeight="1" outlineLevel="1" x14ac:dyDescent="0.35">
      <c r="B384" s="71" t="s">
        <v>228</v>
      </c>
      <c r="C384" s="115" t="s">
        <v>367</v>
      </c>
      <c r="D384" s="70"/>
      <c r="F384" s="161" t="str">
        <f>IF(F$355="Inget antal angivet","",IFERROR(INDEX($AN$356:$BZ$382,MATCH(F$352,$AL$356:$AL$382,0),MATCH($B384,$AN$356:$BZ$356,0)),""))</f>
        <v/>
      </c>
      <c r="G384" s="162">
        <f t="shared" ref="G384:I386" ca="1" si="321">IFERROR(INDEX($AN$356:$BZ$382,MATCH(G$352,$AL$356:$AL$382,0),MATCH($B384,$AN$356:$BZ$356,0)),"")</f>
        <v>570</v>
      </c>
      <c r="H384" s="162">
        <f t="shared" ca="1" si="321"/>
        <v>781</v>
      </c>
      <c r="I384" s="162">
        <f t="shared" ca="1" si="321"/>
        <v>514</v>
      </c>
    </row>
    <row r="385" spans="2:92" ht="22.5" customHeight="1" outlineLevel="1" x14ac:dyDescent="0.35">
      <c r="B385" s="71" t="s">
        <v>229</v>
      </c>
      <c r="C385" s="61" t="s">
        <v>369</v>
      </c>
      <c r="D385" s="70"/>
      <c r="F385" s="165" t="str">
        <f>IF(F$355="Inget antal angivet","",IFERROR(INDEX($AN$356:$BZ$382,MATCH(F$352,$AL$356:$AL$382,0),MATCH($B385,$AN$356:$BZ$356,0)),""))</f>
        <v/>
      </c>
      <c r="G385" s="166">
        <f t="shared" ca="1" si="321"/>
        <v>25</v>
      </c>
      <c r="H385" s="166">
        <f t="shared" ca="1" si="321"/>
        <v>50</v>
      </c>
      <c r="I385" s="166">
        <f t="shared" ca="1" si="321"/>
        <v>25</v>
      </c>
    </row>
    <row r="386" spans="2:92" ht="22.5" customHeight="1" outlineLevel="1" x14ac:dyDescent="0.35">
      <c r="B386" s="71" t="s">
        <v>230</v>
      </c>
      <c r="C386" s="96" t="s">
        <v>370</v>
      </c>
      <c r="D386" s="70"/>
      <c r="F386" s="163" t="str">
        <f>IF(F$355="Inget antal angivet","",IFERROR(INDEX($AN$356:$BZ$382,MATCH(F$352,$AL$356:$AL$382,0),MATCH($B386,$AN$356:$BZ$356,0)),""))</f>
        <v/>
      </c>
      <c r="G386" s="164">
        <f t="shared" ca="1" si="321"/>
        <v>25</v>
      </c>
      <c r="H386" s="164">
        <f t="shared" ca="1" si="321"/>
        <v>50</v>
      </c>
      <c r="I386" s="164">
        <f t="shared" ca="1" si="321"/>
        <v>25</v>
      </c>
    </row>
    <row r="387" spans="2:92" ht="22.5" customHeight="1" outlineLevel="1" x14ac:dyDescent="0.35"/>
    <row r="388" spans="2:92" ht="22.5" customHeight="1" x14ac:dyDescent="0.35"/>
    <row r="389" spans="2:92" ht="22.5" customHeight="1" x14ac:dyDescent="0.35">
      <c r="D389" s="72" t="s">
        <v>233</v>
      </c>
      <c r="F389" s="221" t="s">
        <v>252</v>
      </c>
      <c r="G389" s="221"/>
      <c r="H389" s="221"/>
      <c r="I389" s="222"/>
    </row>
    <row r="390" spans="2:92" ht="22.5" customHeight="1" x14ac:dyDescent="0.35">
      <c r="D390" s="74"/>
      <c r="F390" s="202" t="str">
        <f ca="1">IFERROR(INDEX($Z$357:$Z$380,MATCH(F352,$AA$357:$AA$380,0))*D390,"")</f>
        <v/>
      </c>
      <c r="G390" s="202">
        <f ca="1">IFERROR(P357 *D390,"")</f>
        <v>0</v>
      </c>
      <c r="H390" s="202">
        <f ca="1">IFERROR(P358 *D390,"")</f>
        <v>0</v>
      </c>
      <c r="I390" s="202">
        <f ca="1">IFERROR(P359 * D390,"")</f>
        <v>0</v>
      </c>
    </row>
    <row r="392" spans="2:92" ht="15" thickBot="1" x14ac:dyDescent="0.4">
      <c r="C392" s="174"/>
      <c r="D392" s="174"/>
      <c r="E392" s="174"/>
      <c r="F392" s="174"/>
      <c r="G392" s="174"/>
      <c r="H392" s="174"/>
      <c r="I392" s="174"/>
    </row>
    <row r="393" spans="2:92" ht="15" thickTop="1" x14ac:dyDescent="0.35"/>
    <row r="396" spans="2:92" ht="71.25" customHeight="1" collapsed="1" x14ac:dyDescent="0.35">
      <c r="C396" s="53"/>
      <c r="D396" s="53"/>
      <c r="F396" s="50" t="e">
        <f ca="1">N400</f>
        <v>#N/A</v>
      </c>
      <c r="G396" s="50" t="str">
        <f ca="1">INDEX(AA401:AA426,MATCH(P401,Z401:Z426,0))</f>
        <v>Offererad produktnr. 07Qlosr Göteborg AB</v>
      </c>
      <c r="H396" s="50" t="str">
        <f ca="1">INDEX(AA400:AA425,MATCH(P402,Z400:Z425,0))</f>
        <v>Offererad produktnr. 07Advania Sverige AB</v>
      </c>
      <c r="I396" s="50" t="str">
        <f ca="1">INDEX(AA400:AA425,MATCH(P403,Z400:Z425,0))</f>
        <v>Offererad produktnr. 08Qlosr Göteborg AB</v>
      </c>
      <c r="AN396" s="12" t="s">
        <v>124</v>
      </c>
      <c r="AO396" s="12" t="s">
        <v>124</v>
      </c>
      <c r="AP396" s="12" t="s">
        <v>124</v>
      </c>
      <c r="AQ396" s="12" t="s">
        <v>124</v>
      </c>
      <c r="AR396" s="12" t="s">
        <v>124</v>
      </c>
      <c r="AS396" s="12" t="s">
        <v>124</v>
      </c>
      <c r="AT396" s="12" t="s">
        <v>124</v>
      </c>
      <c r="AU396" s="12" t="s">
        <v>124</v>
      </c>
      <c r="AV396" s="12" t="s">
        <v>124</v>
      </c>
      <c r="AW396" s="12" t="s">
        <v>124</v>
      </c>
      <c r="AX396" s="12" t="s">
        <v>124</v>
      </c>
      <c r="AY396" s="12" t="s">
        <v>124</v>
      </c>
      <c r="AZ396" s="12" t="s">
        <v>124</v>
      </c>
      <c r="BA396" s="12" t="s">
        <v>124</v>
      </c>
      <c r="BB396" s="12" t="s">
        <v>124</v>
      </c>
      <c r="BC396" s="12" t="s">
        <v>124</v>
      </c>
      <c r="BD396" s="12" t="s">
        <v>124</v>
      </c>
      <c r="BE396" s="12" t="s">
        <v>124</v>
      </c>
      <c r="BF396" s="12" t="s">
        <v>124</v>
      </c>
      <c r="BG396" s="12" t="s">
        <v>124</v>
      </c>
      <c r="BH396" s="12" t="s">
        <v>124</v>
      </c>
      <c r="BI396" s="12" t="s">
        <v>124</v>
      </c>
      <c r="BJ396" s="12" t="s">
        <v>124</v>
      </c>
      <c r="BK396" s="12" t="s">
        <v>124</v>
      </c>
      <c r="BL396" s="12" t="s">
        <v>124</v>
      </c>
      <c r="BM396" s="12" t="s">
        <v>124</v>
      </c>
      <c r="BN396" s="12" t="s">
        <v>124</v>
      </c>
      <c r="BO396" s="12" t="s">
        <v>124</v>
      </c>
      <c r="BP396" s="12" t="s">
        <v>124</v>
      </c>
      <c r="BQ396" s="12" t="s">
        <v>124</v>
      </c>
      <c r="BR396" s="12" t="s">
        <v>124</v>
      </c>
      <c r="BS396" s="12" t="s">
        <v>124</v>
      </c>
      <c r="BT396" s="12" t="s">
        <v>124</v>
      </c>
      <c r="BU396" s="12" t="s">
        <v>124</v>
      </c>
      <c r="BV396" s="12" t="s">
        <v>124</v>
      </c>
      <c r="BW396" s="12"/>
      <c r="BX396" s="12"/>
      <c r="BY396" s="12" t="s">
        <v>124</v>
      </c>
      <c r="BZ396" s="12" t="s">
        <v>124</v>
      </c>
      <c r="CA396" s="12"/>
      <c r="CB396" s="12"/>
      <c r="CC396" s="12"/>
      <c r="CD396" s="12"/>
      <c r="CE396" s="12"/>
      <c r="CF396" s="12"/>
      <c r="CG396" s="12"/>
      <c r="CH396" s="12"/>
      <c r="CI396" s="12"/>
      <c r="CJ396" s="12"/>
      <c r="CK396" s="12"/>
      <c r="CL396" s="12"/>
      <c r="CM396" s="12"/>
      <c r="CN396" s="12"/>
    </row>
    <row r="397" spans="2:92" ht="25.5" customHeight="1" thickBot="1" x14ac:dyDescent="0.4">
      <c r="C397" s="53"/>
      <c r="D397" s="53"/>
      <c r="F397" s="140" t="s">
        <v>446</v>
      </c>
      <c r="G397" s="205" t="s">
        <v>447</v>
      </c>
      <c r="H397" s="205"/>
      <c r="I397" s="205"/>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row>
    <row r="398" spans="2:92" ht="22.5" customHeight="1" thickBot="1" x14ac:dyDescent="0.4">
      <c r="B398" t="str">
        <f ca="1" xml:space="preserve"> "Produkt "  &amp; B399</f>
        <v>Produkt 10</v>
      </c>
      <c r="C398" s="206" t="str">
        <f>IF(F399="Ingen produkt motsvarar","Felmeddelande",IF(COUNTIF($P$1:$P$6,TRUE)&gt;0,"","Felmeddelande"))</f>
        <v/>
      </c>
      <c r="D398" s="207"/>
      <c r="F398" s="218" t="s">
        <v>271</v>
      </c>
      <c r="G398" s="218"/>
      <c r="H398" s="218"/>
      <c r="I398" s="219"/>
      <c r="O398">
        <v>1</v>
      </c>
      <c r="AN398" s="13" t="str">
        <f t="shared" ref="AN398:AX398" si="322">AN400</f>
        <v>Operativsystem</v>
      </c>
      <c r="AO398" s="13" t="str">
        <f t="shared" si="322"/>
        <v>Skärmstorlek (tum)</v>
      </c>
      <c r="AP398" s="13" t="str">
        <f t="shared" si="322"/>
        <v>Upplösning</v>
      </c>
      <c r="AQ398" s="13" t="str">
        <f t="shared" si="322"/>
        <v>Lagringsutrymme</v>
      </c>
      <c r="AR398" s="13" t="str">
        <f t="shared" si="322"/>
        <v>Kommunikation Bluetooth</v>
      </c>
      <c r="AS398" s="13" t="str">
        <f t="shared" si="322"/>
        <v>Kommunikation WLAN</v>
      </c>
      <c r="AT398" s="13" t="str">
        <f t="shared" si="322"/>
        <v>Batteritid (tim)</v>
      </c>
      <c r="AU398" s="13" t="str">
        <f t="shared" si="322"/>
        <v>Miljömärkning</v>
      </c>
      <c r="AV398" s="13" t="str">
        <f t="shared" si="322"/>
        <v>Kommunikation WLAN</v>
      </c>
      <c r="AW398" s="13" t="str">
        <f t="shared" si="322"/>
        <v>Kommunikation Bluetooth</v>
      </c>
      <c r="AX398" s="13" t="str">
        <f t="shared" si="322"/>
        <v>Batteritid (tim)</v>
      </c>
      <c r="AY398" s="13" t="s">
        <v>52</v>
      </c>
      <c r="AZ398" s="13" t="str">
        <f>AZ400</f>
        <v>Låsskydd</v>
      </c>
      <c r="BA398" s="13" t="str">
        <f>BA400</f>
        <v>Operativsystem</v>
      </c>
      <c r="BB398" s="13" t="str">
        <f>BB400</f>
        <v>Pris</v>
      </c>
      <c r="BC398" t="s">
        <v>224</v>
      </c>
      <c r="BD398" s="100" t="s">
        <v>340</v>
      </c>
      <c r="BE398" s="100" t="s">
        <v>341</v>
      </c>
      <c r="BF398" s="100" t="s">
        <v>342</v>
      </c>
      <c r="BG398" s="100" t="s">
        <v>343</v>
      </c>
      <c r="BH398" s="100" t="s">
        <v>344</v>
      </c>
      <c r="BI398" s="100" t="s">
        <v>345</v>
      </c>
      <c r="BJ398" s="100" t="s">
        <v>346</v>
      </c>
      <c r="BK398" s="100" t="s">
        <v>347</v>
      </c>
      <c r="BL398" s="100" t="s">
        <v>348</v>
      </c>
      <c r="BM398" s="100" t="s">
        <v>349</v>
      </c>
      <c r="BN398" s="56" t="s">
        <v>53</v>
      </c>
      <c r="BO398" s="56" t="s">
        <v>54</v>
      </c>
      <c r="BP398" s="56" t="s">
        <v>55</v>
      </c>
      <c r="BQ398" s="56" t="s">
        <v>59</v>
      </c>
      <c r="BR398" s="56" t="s">
        <v>227</v>
      </c>
      <c r="BS398" s="57" t="s">
        <v>228</v>
      </c>
      <c r="BT398" s="57" t="s">
        <v>229</v>
      </c>
      <c r="BU398" s="57" t="s">
        <v>230</v>
      </c>
      <c r="BV398" s="57" t="s">
        <v>231</v>
      </c>
      <c r="BW398" s="57"/>
      <c r="BX398" s="57"/>
      <c r="BY398" s="57" t="s">
        <v>6</v>
      </c>
      <c r="BZ398" s="4" t="s">
        <v>51</v>
      </c>
      <c r="CA398" s="13"/>
      <c r="CB398" s="13"/>
      <c r="CC398" s="13"/>
      <c r="CD398" s="13"/>
      <c r="CE398" s="13"/>
      <c r="CF398" s="13"/>
      <c r="CG398" s="13"/>
      <c r="CH398" s="13"/>
      <c r="CI398" s="13"/>
      <c r="CJ398" s="13"/>
      <c r="CK398" s="13"/>
      <c r="CL398" s="13"/>
      <c r="CM398" s="13"/>
      <c r="CN398" s="13"/>
    </row>
    <row r="399" spans="2:92" ht="22.5" customHeight="1" x14ac:dyDescent="0.35">
      <c r="B399">
        <f ca="1">COUNTIF($F$7:F402,"Produkt I varukorg*")</f>
        <v>10</v>
      </c>
      <c r="F399" s="51" t="str">
        <f>IF(D434&lt;1,"Inget antal angivet",IFERROR(INDEX($Z$401:$Z$424,MATCH(F396,$AA$401:$AA$424,0)),"Ingen produkt motsvarar"))</f>
        <v>Inget antal angivet</v>
      </c>
      <c r="G399" s="52">
        <f ca="1">IFERROR(P401,"Ingen produkt motsvarar")</f>
        <v>1700</v>
      </c>
      <c r="H399" s="52">
        <f ca="1">IFERROR(P402,"")</f>
        <v>2084</v>
      </c>
      <c r="I399" s="52">
        <f ca="1">IFERROR(P403,"")</f>
        <v>3205</v>
      </c>
      <c r="AA399" t="str">
        <f>IF(COUNTIF(AB399:AI399,FALSE)&gt;0,AL399,"")</f>
        <v/>
      </c>
      <c r="AB399" t="b">
        <f>IF($D$404="",TRUE,IF(AN399=$D$404,TRUE,FALSE))</f>
        <v>1</v>
      </c>
      <c r="AC399" t="b">
        <f>IF(D401="",TRUE,IF(AO399=$D$405,TRUE,FALSE))</f>
        <v>1</v>
      </c>
      <c r="AD399" t="b">
        <f>IF(D404="",TRUE,IF(AP399=D404,TRUE,FALSE))</f>
        <v>1</v>
      </c>
      <c r="AE399" t="b">
        <f>IF(D405="",TRUE,IF(AQ399=D405,TRUE,FALSE))</f>
        <v>1</v>
      </c>
      <c r="AF399" t="b">
        <f>IF(D406="",TRUE,IF(AR399=D406,TRUE,FALSE))</f>
        <v>1</v>
      </c>
      <c r="AG399" t="b">
        <f>IF(D407="",TRUE,IF(AS399=D407,TRUE,FALSE))</f>
        <v>1</v>
      </c>
      <c r="AH399" t="b">
        <f>IF(D403="",TRUE,IF(AT399=D403,TRUE,FALSE))</f>
        <v>1</v>
      </c>
      <c r="AI399" t="b">
        <f>IF(D402="",TRUE,IF(AV399=D402,TRUE,FALSE))</f>
        <v>1</v>
      </c>
      <c r="AL399" t="s">
        <v>126</v>
      </c>
      <c r="AN399" s="58" t="str">
        <f t="shared" ref="AN399:BL399" ca="1" si="323">IFERROR(INDEX(INDIRECT(AN$396&amp;"!$A$10:CC100000"),MATCH($AL399,INDIRECT(AN$396&amp;"!BH$10:BH100000"),0),MATCH(AN$398,INDIRECT(AN$396&amp;"!a10:CC10"),0)),"False")</f>
        <v>False</v>
      </c>
      <c r="AO399" s="58" t="str">
        <f t="shared" ca="1" si="323"/>
        <v>False</v>
      </c>
      <c r="AP399" s="58" t="str">
        <f t="shared" ca="1" si="323"/>
        <v>False</v>
      </c>
      <c r="AQ399" s="58" t="str">
        <f t="shared" ca="1" si="323"/>
        <v>False</v>
      </c>
      <c r="AR399" s="58" t="str">
        <f t="shared" ca="1" si="323"/>
        <v>False</v>
      </c>
      <c r="AS399" s="58" t="str">
        <f t="shared" ca="1" si="323"/>
        <v>False</v>
      </c>
      <c r="AT399" s="58" t="str">
        <f t="shared" ca="1" si="323"/>
        <v>False</v>
      </c>
      <c r="AU399" s="58" t="str">
        <f t="shared" ca="1" si="323"/>
        <v>False</v>
      </c>
      <c r="AV399" s="58" t="str">
        <f t="shared" ca="1" si="323"/>
        <v>False</v>
      </c>
      <c r="AW399" s="58" t="str">
        <f t="shared" ca="1" si="323"/>
        <v>False</v>
      </c>
      <c r="AX399" s="58" t="str">
        <f t="shared" ca="1" si="323"/>
        <v>False</v>
      </c>
      <c r="AY399" s="58" t="str">
        <f t="shared" ca="1" si="323"/>
        <v>False</v>
      </c>
      <c r="AZ399" s="58" t="str">
        <f t="shared" ca="1" si="323"/>
        <v>False</v>
      </c>
      <c r="BA399" s="58" t="str">
        <f t="shared" ca="1" si="323"/>
        <v>False</v>
      </c>
      <c r="BB399" s="58" t="str">
        <f t="shared" ca="1" si="323"/>
        <v>False</v>
      </c>
      <c r="BC399" s="58" t="str">
        <f t="shared" ca="1" si="323"/>
        <v>False</v>
      </c>
      <c r="BD399" s="58" t="str">
        <f t="shared" ca="1" si="323"/>
        <v>False</v>
      </c>
      <c r="BE399" s="58" t="str">
        <f t="shared" ca="1" si="323"/>
        <v>False</v>
      </c>
      <c r="BF399" s="58" t="str">
        <f t="shared" ca="1" si="323"/>
        <v>False</v>
      </c>
      <c r="BG399" s="58" t="str">
        <f t="shared" ca="1" si="323"/>
        <v>False</v>
      </c>
      <c r="BH399" s="58" t="str">
        <f t="shared" ca="1" si="323"/>
        <v>False</v>
      </c>
      <c r="BI399" s="58" t="str">
        <f t="shared" ca="1" si="323"/>
        <v>False</v>
      </c>
      <c r="BJ399" s="58" t="str">
        <f t="shared" ca="1" si="323"/>
        <v>False</v>
      </c>
      <c r="BK399" s="58" t="str">
        <f t="shared" ca="1" si="323"/>
        <v>False</v>
      </c>
      <c r="BL399" s="58" t="str">
        <f t="shared" ca="1" si="323"/>
        <v>False</v>
      </c>
      <c r="BM399" s="58"/>
      <c r="BN399" s="58" t="str">
        <f t="shared" ref="BN399:BV399" ca="1" si="324">IFERROR(INDEX(INDIRECT(BN$396&amp;"!$A$10:CC100000"),MATCH($AL399,INDIRECT(BN$396&amp;"!BH$10:BH100000"),0),MATCH(BN$398,INDIRECT(BN$396&amp;"!a10:CC10"),0)),"False")</f>
        <v>False</v>
      </c>
      <c r="BO399" s="58" t="str">
        <f t="shared" ca="1" si="324"/>
        <v>False</v>
      </c>
      <c r="BP399" s="58" t="str">
        <f t="shared" ca="1" si="324"/>
        <v>False</v>
      </c>
      <c r="BQ399" s="58" t="str">
        <f t="shared" ca="1" si="324"/>
        <v>False</v>
      </c>
      <c r="BR399" s="58" t="str">
        <f t="shared" ca="1" si="324"/>
        <v>False</v>
      </c>
      <c r="BS399" s="58" t="str">
        <f t="shared" ca="1" si="324"/>
        <v>False</v>
      </c>
      <c r="BT399" s="58" t="str">
        <f t="shared" ca="1" si="324"/>
        <v>False</v>
      </c>
      <c r="BU399" s="58" t="str">
        <f t="shared" ca="1" si="324"/>
        <v>False</v>
      </c>
      <c r="BV399" s="58" t="str">
        <f t="shared" ca="1" si="324"/>
        <v>False</v>
      </c>
      <c r="BW399" s="58"/>
      <c r="BX399" s="58"/>
      <c r="BY399" s="58" t="str">
        <f ca="1">IFERROR(INDEX(INDIRECT(BY$396&amp;"!$A$10:CC100000"),MATCH($AL399,INDIRECT(BY$396&amp;"!BH$10:BH100000"),0),MATCH(BY$398,INDIRECT(BY$396&amp;"!a10:CC10"),0)),"False")</f>
        <v>False</v>
      </c>
      <c r="BZ399" s="58" t="str">
        <f ca="1">IFERROR(INDEX(INDIRECT(BZ$396&amp;"!$A$10:CC100000"),MATCH($AL399,INDIRECT(BZ$396&amp;"!BH$10:BH100000"),0),MATCH(BZ$398,INDIRECT(BZ$396&amp;"!a10:CC10"),0)),"False")</f>
        <v>False</v>
      </c>
      <c r="CA399" s="58"/>
      <c r="CB399" s="58"/>
      <c r="CC399" s="58"/>
      <c r="CD399" s="58"/>
      <c r="CE399" s="58"/>
      <c r="CF399" s="58"/>
      <c r="CG399" s="58"/>
      <c r="CH399" s="58"/>
      <c r="CI399" s="58"/>
      <c r="CJ399" s="58"/>
      <c r="CK399" s="58"/>
      <c r="CL399" s="58"/>
      <c r="CM399" s="58"/>
      <c r="CN399" s="58"/>
    </row>
    <row r="400" spans="2:92" ht="22.5" customHeight="1" x14ac:dyDescent="0.35">
      <c r="C400" s="210" t="str">
        <f ca="1" xml:space="preserve"> "Surfplatta "  &amp; RIGHT("00" &amp; B399,2)</f>
        <v>Surfplatta 10</v>
      </c>
      <c r="D400" s="211"/>
      <c r="F400" s="92" t="str">
        <f>IF(F399="Inget antal angivet","",IFERROR(INDEX($AN$400:$BZ$426,MATCH(F$396,$AL$400:$AL$426,0),MATCH("Modellbenämning",$AN$400:$BZ$400,0)),""))</f>
        <v/>
      </c>
      <c r="G400" s="92" t="str">
        <f ca="1">IFERROR(INDEX($AN$400:$BZ$426,MATCH(G$396,$AL$400:$AL$426,0),MATCH("Modellbenämning",$AN$400:$BZ$400,0)),"")</f>
        <v>M10 FHD G2</v>
      </c>
      <c r="H400" s="92" t="str">
        <f ca="1">IFERROR(INDEX($AN$400:$BZ$426,MATCH(H$396,$AL$400:$AL$426,0),MATCH("Modellbenämning",$AN$400:$BZ$400,0)),"")</f>
        <v>Tab M10 (3rd Gen)</v>
      </c>
      <c r="I400" s="92" t="str">
        <f ca="1">IFERROR(INDEX($AN$400:$BZ$426,MATCH(I$396,$AL$400:$AL$426,0),MATCH("Modellbenämning",$AN$400:$BZ$400,0)),"")</f>
        <v>iPad 9th gen (2021)</v>
      </c>
      <c r="J400" s="93"/>
      <c r="K400" s="92"/>
      <c r="L400" s="92"/>
      <c r="M400" s="92"/>
      <c r="N400" s="92" t="e">
        <f ca="1">INDEX($N$401:$N$406,MATCH(Överblick!$L$2,$M$401:$M$406,0))</f>
        <v>#N/A</v>
      </c>
      <c r="O400" s="92"/>
      <c r="P400" s="92"/>
      <c r="Q400" s="92"/>
      <c r="R400" s="92">
        <v>1</v>
      </c>
      <c r="S400" s="92">
        <v>2</v>
      </c>
      <c r="T400" s="92">
        <v>3</v>
      </c>
      <c r="U400" s="92">
        <v>5</v>
      </c>
      <c r="V400" s="92">
        <v>6</v>
      </c>
      <c r="W400" s="92">
        <v>7</v>
      </c>
      <c r="X400" s="92">
        <v>8</v>
      </c>
      <c r="Y400" s="92">
        <v>9</v>
      </c>
      <c r="Z400" s="92"/>
      <c r="AA400" s="92" t="s">
        <v>122</v>
      </c>
      <c r="AB400" s="92" t="s">
        <v>3</v>
      </c>
      <c r="AC400" s="92" t="s">
        <v>7</v>
      </c>
      <c r="AD400" s="92" t="s">
        <v>2</v>
      </c>
      <c r="AE400" s="92" t="s">
        <v>17</v>
      </c>
      <c r="AF400" s="92" t="s">
        <v>75</v>
      </c>
      <c r="AG400" s="92" t="s">
        <v>103</v>
      </c>
      <c r="AH400" s="92" t="s">
        <v>120</v>
      </c>
      <c r="AI400" s="92" t="s">
        <v>39</v>
      </c>
      <c r="AJ400" s="92"/>
      <c r="AK400" s="92"/>
      <c r="AL400" s="92" t="s">
        <v>222</v>
      </c>
      <c r="AM400" s="92">
        <v>1</v>
      </c>
      <c r="AN400" s="92" t="s">
        <v>3</v>
      </c>
      <c r="AO400" s="92" t="s">
        <v>7</v>
      </c>
      <c r="AP400" s="92" t="s">
        <v>2</v>
      </c>
      <c r="AQ400" s="92" t="s">
        <v>17</v>
      </c>
      <c r="AR400" s="92" t="s">
        <v>75</v>
      </c>
      <c r="AS400" s="92" t="s">
        <v>103</v>
      </c>
      <c r="AT400" s="92" t="s">
        <v>120</v>
      </c>
      <c r="AU400" s="92" t="s">
        <v>39</v>
      </c>
      <c r="AV400" s="92" t="s">
        <v>103</v>
      </c>
      <c r="AW400" s="92" t="s">
        <v>75</v>
      </c>
      <c r="AX400" s="92" t="s">
        <v>120</v>
      </c>
      <c r="AY400" s="92" t="s">
        <v>52</v>
      </c>
      <c r="AZ400" s="92" t="s">
        <v>37</v>
      </c>
      <c r="BA400" s="92" t="s">
        <v>3</v>
      </c>
      <c r="BB400" s="92" t="s">
        <v>25</v>
      </c>
      <c r="BC400" s="92" t="s">
        <v>25</v>
      </c>
      <c r="BD400" s="92" t="s">
        <v>340</v>
      </c>
      <c r="BE400" s="92" t="s">
        <v>341</v>
      </c>
      <c r="BF400" s="92" t="s">
        <v>342</v>
      </c>
      <c r="BG400" s="92" t="s">
        <v>343</v>
      </c>
      <c r="BH400" s="92" t="s">
        <v>344</v>
      </c>
      <c r="BI400" s="92" t="s">
        <v>345</v>
      </c>
      <c r="BJ400" s="92" t="s">
        <v>346</v>
      </c>
      <c r="BK400" s="92" t="s">
        <v>347</v>
      </c>
      <c r="BL400" s="92" t="s">
        <v>348</v>
      </c>
      <c r="BM400" s="92" t="s">
        <v>349</v>
      </c>
      <c r="BN400" s="92" t="s">
        <v>53</v>
      </c>
      <c r="BO400" s="92" t="s">
        <v>54</v>
      </c>
      <c r="BP400" s="92" t="s">
        <v>55</v>
      </c>
      <c r="BQ400" s="92" t="s">
        <v>59</v>
      </c>
      <c r="BR400" s="92" t="s">
        <v>227</v>
      </c>
      <c r="BS400" s="92" t="s">
        <v>228</v>
      </c>
      <c r="BT400" s="92" t="s">
        <v>229</v>
      </c>
      <c r="BU400" s="92" t="s">
        <v>230</v>
      </c>
      <c r="BV400" s="92" t="s">
        <v>231</v>
      </c>
      <c r="BW400" s="92"/>
      <c r="BX400" s="92"/>
      <c r="BY400" s="92" t="s">
        <v>6</v>
      </c>
      <c r="BZ400" s="92" t="s">
        <v>51</v>
      </c>
      <c r="CA400" s="92" t="s">
        <v>2</v>
      </c>
      <c r="CB400" s="92" t="s">
        <v>17</v>
      </c>
      <c r="CC400" s="92" t="s">
        <v>75</v>
      </c>
      <c r="CD400" s="92" t="s">
        <v>103</v>
      </c>
      <c r="CE400" s="92" t="s">
        <v>7</v>
      </c>
      <c r="CF400" s="92" t="s">
        <v>120</v>
      </c>
      <c r="CG400" s="92" t="s">
        <v>3</v>
      </c>
      <c r="CH400" s="92" t="s">
        <v>39</v>
      </c>
      <c r="CI400" s="92" t="s">
        <v>103</v>
      </c>
      <c r="CJ400" s="92" t="s">
        <v>75</v>
      </c>
      <c r="CK400" s="92" t="s">
        <v>120</v>
      </c>
      <c r="CL400" s="92" t="s">
        <v>38</v>
      </c>
      <c r="CM400" s="92" t="s">
        <v>37</v>
      </c>
      <c r="CN400" s="92" t="s">
        <v>3</v>
      </c>
    </row>
    <row r="401" spans="2:94" ht="22.5" customHeight="1" outlineLevel="1" x14ac:dyDescent="0.35">
      <c r="C401" s="210" t="s">
        <v>261</v>
      </c>
      <c r="D401" s="211"/>
      <c r="F401" s="76" t="str">
        <f>IF(F399="Inget antal angivet","",IFERROR(INDEX($AN$400:$BZ$426,MATCH(F$396,$AL$400:$AL$426,0),MATCH("Varumärke",$AN$400:$BZ$400,0)),""))</f>
        <v/>
      </c>
      <c r="G401" s="77" t="str">
        <f ca="1">IFERROR(INDEX($AN$400:$BZ$426,MATCH(G$396,$AL$400:$AL$426,0),MATCH("Varumärke",$AN$400:$BZ$400,0)),"")</f>
        <v>Lenovo</v>
      </c>
      <c r="H401" s="77" t="str">
        <f ca="1">IFERROR(INDEX($AN$400:$BZ$426,MATCH(H$396,$AL$400:$AL$426,0),MATCH("Varumärke",$AN$400:$BZ$400,0)),"")</f>
        <v>Lenovo</v>
      </c>
      <c r="I401" s="119" t="str">
        <f ca="1">IFERROR(INDEX($AN$400:$BZ$426,MATCH(I$396,$AL$400:$AL$426,0),MATCH("Varumärke",$AN$400:$BZ$400,0)),"")</f>
        <v>Apple</v>
      </c>
      <c r="K401" s="185">
        <f t="shared" ref="K401:K406" ca="1" si="325">O401*$D$434</f>
        <v>0</v>
      </c>
      <c r="L401" s="185" t="b">
        <f t="shared" ref="L401:L406" si="326">IF($D$434=0,TRUE,IF(K401=0,FALSE,TRUE))</f>
        <v>1</v>
      </c>
      <c r="M401" s="185" t="s">
        <v>162</v>
      </c>
      <c r="N401" s="185" t="str">
        <f t="shared" ref="N401:N406" ca="1" si="327">IFERROR(INDEX($AA$401:$AA$426,MATCH(O401,$Z$401:$Z$426,0)),"")</f>
        <v>Offererad produktnr. 07Advania Sverige AB</v>
      </c>
      <c r="O401" s="185" cm="1">
        <f t="array" aca="1" ref="O401" ca="1">MIN(IF(($BY$401:$BY$424=M401)*($AM$401:$AM$424=$O$398),$Z$401:$Z$424))</f>
        <v>2084</v>
      </c>
      <c r="P401" s="197">
        <f ca="1">SMALL($Z$401:$Z$426,1)</f>
        <v>1700</v>
      </c>
      <c r="Q401" s="185">
        <f t="shared" ref="Q401:Q420" si="328">SUM(R401:Y401)</f>
        <v>0</v>
      </c>
      <c r="R401" s="185">
        <f t="shared" ref="R401:R420" si="329">IF($D$412="",0,BN401)</f>
        <v>0</v>
      </c>
      <c r="S401" s="185">
        <f t="shared" ref="S401:S420" si="330">IF($D$415="",0,BO401)</f>
        <v>0</v>
      </c>
      <c r="T401" s="185">
        <f t="shared" ref="T401:T420" si="331">IF($D$418="",0,BP401)</f>
        <v>0</v>
      </c>
      <c r="U401" s="185">
        <f t="shared" ref="U401:U420" si="332">IF($D$421="",0,BQ401)</f>
        <v>0</v>
      </c>
      <c r="V401" s="185">
        <f t="shared" ref="V401:V420" si="333">IF($D$424="",0,BR401)</f>
        <v>0</v>
      </c>
      <c r="W401" s="185">
        <f t="shared" ref="W401:W420" si="334">IF($D$428="",0,BS401)</f>
        <v>0</v>
      </c>
      <c r="X401" s="185">
        <f t="shared" ref="X401:X420" si="335">IF($D$429="",0,BT401)</f>
        <v>0</v>
      </c>
      <c r="Y401" s="185">
        <f t="shared" ref="Y401:Y420" si="336">IF($D$430="",0,BU401)</f>
        <v>0</v>
      </c>
      <c r="Z401" s="196">
        <f t="shared" ref="Z401:Z420" ca="1" si="337">IF(AA401="","",SUM(BC401,R401:Y401))</f>
        <v>2084</v>
      </c>
      <c r="AA401" s="185" t="str">
        <f t="shared" ref="AA401:AA420" si="338">IF(COUNTIF(AB401:AK401,FALSE)&gt;0,"",AL401)</f>
        <v>Offererad produktnr. 07Advania Sverige AB</v>
      </c>
      <c r="AB401" s="185" t="b">
        <f>IF(D402="",TRUE,IF(COUNTIF(Processor!$M$2:$M$3,D402)=0,IF(AN401=D402,TRUE,FALSE),IF(COUNTIF(AN401,INDEX(Processor!$N$2:$N$3,MATCH(Surfplattor!D402,Processor!$M$2:$M$3,0)))&gt;0,TRUE,FALSE)))</f>
        <v>1</v>
      </c>
      <c r="AC401" s="185" t="b">
        <f>IF($D$403="",TRUE,IF(COUNTIF(Processor!$I$2:$I$9,$D$403)&gt;0,AND(AO401&gt;INDEX(Processor!$J$2:$J$9,MATCH($D$403,Processor!$I$2:$I$9,0)),AO401&lt;INDEX(Processor!$K$2:$K$9,MATCH($D$403,Processor!$I$2:$I$9,0))),IF(AO401=$D$403,TRUE,FALSE)))</f>
        <v>1</v>
      </c>
      <c r="AD401" s="185" t="b">
        <f t="shared" ref="AD401:AD420" si="339">IFERROR(IF($D$404="",TRUE,IF(AND(IF(LEFT($D$404,4)*1&lt;=1*LEFT(AP401,4),TRUE,FALSE),IF(RIGHT(AP401,4)*1&gt;=1*RIGHT($D$404,4),TRUE,FALSE)),TRUE,FALSE)),0)</f>
        <v>1</v>
      </c>
      <c r="AE401" s="185" t="b">
        <f t="shared" ref="AE401:AE420" si="340">IF($D$405="",TRUE,IF(AQ401&gt;=$D$405,TRUE,FALSE))</f>
        <v>1</v>
      </c>
      <c r="AF401" s="185" t="b">
        <f t="shared" ref="AF401:AF420" si="341">IF($D$406="",TRUE,IF(AR401&gt;=$D$406,TRUE,FALSE))</f>
        <v>1</v>
      </c>
      <c r="AG401" s="185" t="b">
        <f t="shared" ref="AG401:AG420" si="342">IF($D$407="",TRUE,IF($D$407="802.11a/b/g/n/ac",TRUE,IF(AS401&gt;=$D$407,TRUE,FALSE)))</f>
        <v>1</v>
      </c>
      <c r="AH401" s="185" t="b">
        <f>IF($D$408="",TRUE,IF(INDEX(Processor!$C$14:$C$20,MATCH(LEFT(AT401,10)&amp;"",Processor!$A$14:$A$20,0))&gt;=INDEX(Processor!$C$14:$C$20,MATCH(LEFT($D$408,10)&amp;"",Processor!$A$14:$A$20,0)),TRUE,FALSE))</f>
        <v>1</v>
      </c>
      <c r="AI401" s="185" t="b">
        <f t="shared" ref="AI401:AI420" si="343">IF($D$409="",TRUE,IF($D$409="Miljömärkt",IF(AU401="Ej miljömärkt",FALSE,TRUE),IF(AU401=$D$409,TRUE,FALSE)))</f>
        <v>1</v>
      </c>
      <c r="AJ401" s="185"/>
      <c r="AK401" s="185"/>
      <c r="AL401" s="185" t="s">
        <v>204</v>
      </c>
      <c r="AM401" s="185">
        <v>1</v>
      </c>
      <c r="AN401" s="185" t="str">
        <f t="shared" ref="AN401:AW410" ca="1" si="344">IFERROR(INDEX(INDIRECT(AN$396&amp;"!$A$10:CC100000"),MATCH($AL401,INDIRECT(AN$396&amp;"!BH$10:BH100000"),0),MATCH(AN$398,INDIRECT(AN$396&amp;"!a10:CC10"),0)),"False")</f>
        <v>Android 11</v>
      </c>
      <c r="AO401" s="185">
        <f t="shared" ca="1" si="344"/>
        <v>10.1</v>
      </c>
      <c r="AP401" s="185" t="str">
        <f t="shared" ca="1" si="344"/>
        <v>1920x1200</v>
      </c>
      <c r="AQ401" s="185">
        <f t="shared" ca="1" si="344"/>
        <v>64</v>
      </c>
      <c r="AR401" s="185">
        <f t="shared" ca="1" si="344"/>
        <v>5</v>
      </c>
      <c r="AS401" s="185" t="str">
        <f t="shared" ca="1" si="344"/>
        <v>802.11a/b/g/n/ac</v>
      </c>
      <c r="AT401" s="185">
        <f t="shared" ca="1" si="344"/>
        <v>9</v>
      </c>
      <c r="AU401" s="185" t="str">
        <f t="shared" ca="1" si="344"/>
        <v>Ej miljömärkt</v>
      </c>
      <c r="AV401" s="185" t="str">
        <f t="shared" ca="1" si="344"/>
        <v>802.11a/b/g/n/ac</v>
      </c>
      <c r="AW401" s="185">
        <f t="shared" ca="1" si="344"/>
        <v>5</v>
      </c>
      <c r="AX401" s="185">
        <f t="shared" ref="AX401:BG410" ca="1" si="345">IFERROR(INDEX(INDIRECT(AX$396&amp;"!$A$10:CC100000"),MATCH($AL401,INDIRECT(AX$396&amp;"!BH$10:BH100000"),0),MATCH(AX$398,INDIRECT(AX$396&amp;"!a10:CC10"),0)),"False")</f>
        <v>9</v>
      </c>
      <c r="AY401" s="185" t="str">
        <f t="shared" ca="1" si="345"/>
        <v>Tab M10 (3rd Gen)</v>
      </c>
      <c r="AZ401" s="185">
        <f t="shared" ca="1" si="345"/>
        <v>0</v>
      </c>
      <c r="BA401" s="185" t="str">
        <f t="shared" ca="1" si="345"/>
        <v>Android 11</v>
      </c>
      <c r="BB401" s="185">
        <f t="shared" ca="1" si="345"/>
        <v>2084</v>
      </c>
      <c r="BC401" s="185">
        <f t="shared" ca="1" si="345"/>
        <v>2084</v>
      </c>
      <c r="BD401" s="192" t="str">
        <f t="shared" ca="1" si="345"/>
        <v>eSTUFF</v>
      </c>
      <c r="BE401" s="192" t="str">
        <f t="shared" ca="1" si="345"/>
        <v>eSTUFF</v>
      </c>
      <c r="BF401" s="192" t="str">
        <f t="shared" ca="1" si="345"/>
        <v>CoreParts</v>
      </c>
      <c r="BG401" s="192" t="str">
        <f t="shared" ca="1" si="345"/>
        <v>DELTACO</v>
      </c>
      <c r="BH401" s="192" t="str">
        <f t="shared" ref="BH401:BV410" ca="1" si="346">IFERROR(INDEX(INDIRECT(BH$396&amp;"!$A$10:CC100000"),MATCH($AL401,INDIRECT(BH$396&amp;"!BH$10:BH100000"),0),MATCH(BH$398,INDIRECT(BH$396&amp;"!a10:CC10"),0)),"False")</f>
        <v xml:space="preserve">ZAGG </v>
      </c>
      <c r="BI401" s="192" t="str">
        <f t="shared" ca="1" si="346"/>
        <v>ES685307-BULK - Vikbart fodral för surfplatta - polyuretan, polykarbonat, konstläder, mikrofiber - svart - för Lenovo Tab M10 (3rd Gen)</v>
      </c>
      <c r="BJ401" s="192" t="str">
        <f t="shared" ca="1" si="346"/>
        <v>ES517003 - Skärmskydd för surfplatta - glas - klar - för Lenovo Tab M10 (3rd Gen)</v>
      </c>
      <c r="BK401" s="192" t="str">
        <f t="shared" ca="1" si="346"/>
        <v>MBXUSB-AC0011 - Strömadapter - 12 Watt - 2.4 A (USB) - på kabel: USB-C - vit - med USB-C cable (2m)</v>
      </c>
      <c r="BL401" s="192" t="str">
        <f t="shared" ca="1" si="346"/>
        <v>TB-631</v>
      </c>
      <c r="BM401" s="192" t="str">
        <f t="shared" ca="1" si="346"/>
        <v>109912139 - Pro Stylus 2 - Aktiv penna - grå</v>
      </c>
      <c r="BN401" s="192">
        <f t="shared" ca="1" si="346"/>
        <v>251</v>
      </c>
      <c r="BO401" s="192">
        <f t="shared" ca="1" si="346"/>
        <v>251</v>
      </c>
      <c r="BP401" s="192">
        <f t="shared" ca="1" si="346"/>
        <v>108</v>
      </c>
      <c r="BQ401" s="192">
        <f t="shared" ca="1" si="346"/>
        <v>169</v>
      </c>
      <c r="BR401" s="192">
        <f t="shared" ca="1" si="346"/>
        <v>595</v>
      </c>
      <c r="BS401" s="192">
        <f t="shared" ca="1" si="346"/>
        <v>781</v>
      </c>
      <c r="BT401" s="192">
        <f t="shared" ca="1" si="346"/>
        <v>50</v>
      </c>
      <c r="BU401" s="192">
        <f t="shared" ca="1" si="346"/>
        <v>50</v>
      </c>
      <c r="BV401" s="192">
        <f t="shared" ca="1" si="346"/>
        <v>0</v>
      </c>
      <c r="BW401" s="192"/>
      <c r="BX401" s="192"/>
      <c r="BY401" s="192" t="str">
        <f t="shared" ref="BY401:BZ420" ca="1" si="347">IFERROR(INDEX(INDIRECT(BY$396&amp;"!$A$10:CC100000"),MATCH($AL401,INDIRECT(BY$396&amp;"!BH$10:BH100000"),0),MATCH(BY$398,INDIRECT(BY$396&amp;"!a10:CC10"),0)),"False")</f>
        <v>Advania Sverige AB</v>
      </c>
      <c r="BZ401" s="192" t="str">
        <f t="shared" ca="1" si="347"/>
        <v>Lenovo</v>
      </c>
      <c r="CA401" s="199" t="s">
        <v>163</v>
      </c>
      <c r="CB401" s="192">
        <v>64</v>
      </c>
      <c r="CC401" s="185">
        <v>4</v>
      </c>
      <c r="CD401" s="192" t="s">
        <v>79</v>
      </c>
      <c r="CE401" s="185" t="s">
        <v>356</v>
      </c>
      <c r="CF401" s="185" t="s">
        <v>148</v>
      </c>
      <c r="CG401" s="185" t="s">
        <v>469</v>
      </c>
      <c r="CH401" s="192" t="s">
        <v>273</v>
      </c>
      <c r="CI401" s="192" t="s">
        <v>79</v>
      </c>
      <c r="CJ401" s="185">
        <v>4</v>
      </c>
      <c r="CK401" s="185" t="s">
        <v>148</v>
      </c>
      <c r="CL401" s="192">
        <v>0</v>
      </c>
      <c r="CM401" s="192">
        <v>0</v>
      </c>
      <c r="CN401" s="185" t="s">
        <v>165</v>
      </c>
    </row>
    <row r="402" spans="2:94" ht="22.5" customHeight="1" outlineLevel="1" x14ac:dyDescent="0.35">
      <c r="C402" s="61" t="s">
        <v>3</v>
      </c>
      <c r="D402" s="64"/>
      <c r="F402" s="78" t="str">
        <f t="shared" ref="F402:F409" si="348">IF(F$399="Inget antal angivet","",IFERROR(INDEX($AN$400:$BZ$426,MATCH(F$396,$AL$400:$AL$426,0),MATCH($C402,$AN$400:$BZ$400,0)),""))</f>
        <v/>
      </c>
      <c r="G402" s="79" t="str">
        <f t="shared" ref="G402:I409" ca="1" si="349">IFERROR(INDEX($AN$400:$BZ$426,MATCH(G$396,$AL$400:$AL$426,0),MATCH($C402,$AN$400:$BZ$400,0)),"")</f>
        <v>Android 9</v>
      </c>
      <c r="H402" s="79" t="str">
        <f t="shared" ca="1" si="349"/>
        <v>Android 11</v>
      </c>
      <c r="I402" s="120" t="str">
        <f t="shared" ca="1" si="349"/>
        <v>iPadOS 15</v>
      </c>
      <c r="J402" s="62"/>
      <c r="K402" s="185">
        <f t="shared" ca="1" si="325"/>
        <v>0</v>
      </c>
      <c r="L402" s="185" t="b">
        <f t="shared" si="326"/>
        <v>1</v>
      </c>
      <c r="M402" s="185" t="s">
        <v>150</v>
      </c>
      <c r="N402" s="185" t="str">
        <f t="shared" ca="1" si="327"/>
        <v>Offererad produktnr. 08Atea Sverige AB</v>
      </c>
      <c r="O402" s="185" cm="1">
        <f t="array" aca="1" ref="O402" ca="1">MIN(IF(($BY$401:$BY$424=M402)*($AM$401:$AM$424=$O$398),$Z$401:$Z$424))</f>
        <v>5254</v>
      </c>
      <c r="P402" s="197">
        <f ca="1">SMALL($Z$401:$Z$426,2)</f>
        <v>2084</v>
      </c>
      <c r="Q402" s="185">
        <f t="shared" si="328"/>
        <v>0</v>
      </c>
      <c r="R402" s="185">
        <f t="shared" si="329"/>
        <v>0</v>
      </c>
      <c r="S402" s="185">
        <f t="shared" si="330"/>
        <v>0</v>
      </c>
      <c r="T402" s="185">
        <f t="shared" si="331"/>
        <v>0</v>
      </c>
      <c r="U402" s="185">
        <f t="shared" si="332"/>
        <v>0</v>
      </c>
      <c r="V402" s="185">
        <f t="shared" si="333"/>
        <v>0</v>
      </c>
      <c r="W402" s="185">
        <f t="shared" si="334"/>
        <v>0</v>
      </c>
      <c r="X402" s="185">
        <f t="shared" si="335"/>
        <v>0</v>
      </c>
      <c r="Y402" s="185">
        <f t="shared" si="336"/>
        <v>0</v>
      </c>
      <c r="Z402" s="196">
        <f t="shared" ca="1" si="337"/>
        <v>4238</v>
      </c>
      <c r="AA402" s="185" t="str">
        <f t="shared" si="338"/>
        <v>Offererad produktnr. 08Advania Sverige AB</v>
      </c>
      <c r="AB402" s="185" t="b">
        <f>IF(D402="",TRUE,IF(COUNTIF(Processor!$M$2:$M$3,D402)=0,IF(AN402=D402,TRUE,FALSE),IF(COUNTIF(AN402,INDEX(Processor!$N$2:$N$3,MATCH(Surfplattor!D402,Processor!$M$2:$M$3,0)))&gt;0,TRUE,FALSE)))</f>
        <v>1</v>
      </c>
      <c r="AC402" s="185" t="b">
        <f>IF($D$403="",TRUE,IF(COUNTIF(Processor!$I$2:$I$9,$D$403)&gt;0,AND(AO402&gt;INDEX(Processor!$J$2:$J$9,MATCH($D$403,Processor!$I$2:$I$9,0)),AO402&lt;INDEX(Processor!$K$2:$K$9,MATCH($D$403,Processor!$I$2:$I$9,0))),IF(AO402=$D$403,TRUE,FALSE)))</f>
        <v>1</v>
      </c>
      <c r="AD402" s="185" t="b">
        <f t="shared" si="339"/>
        <v>1</v>
      </c>
      <c r="AE402" s="185" t="b">
        <f t="shared" si="340"/>
        <v>1</v>
      </c>
      <c r="AF402" s="185" t="b">
        <f t="shared" si="341"/>
        <v>1</v>
      </c>
      <c r="AG402" s="185" t="b">
        <f t="shared" si="342"/>
        <v>1</v>
      </c>
      <c r="AH402" s="185" t="b">
        <f>IF($D$408="",TRUE,IF(INDEX(Processor!$C$14:$C$20,MATCH(LEFT(AT402,10)&amp;"",Processor!$A$14:$A$20,0))&gt;=INDEX(Processor!$C$14:$C$20,MATCH(LEFT($D$408,10)&amp;"",Processor!$A$14:$A$20,0)),TRUE,FALSE))</f>
        <v>1</v>
      </c>
      <c r="AI402" s="185" t="b">
        <f t="shared" si="343"/>
        <v>1</v>
      </c>
      <c r="AJ402" s="185"/>
      <c r="AK402" s="185"/>
      <c r="AL402" s="185" t="s">
        <v>205</v>
      </c>
      <c r="AM402" s="185">
        <v>1</v>
      </c>
      <c r="AN402" s="185" t="str">
        <f t="shared" ca="1" si="344"/>
        <v>iPadOS 14</v>
      </c>
      <c r="AO402" s="185">
        <f t="shared" ca="1" si="344"/>
        <v>10.199999999999999</v>
      </c>
      <c r="AP402" s="185" t="str">
        <f t="shared" ca="1" si="344"/>
        <v>2160x1620</v>
      </c>
      <c r="AQ402" s="185">
        <f t="shared" ca="1" si="344"/>
        <v>64</v>
      </c>
      <c r="AR402" s="185">
        <f t="shared" ca="1" si="344"/>
        <v>4.2</v>
      </c>
      <c r="AS402" s="185" t="str">
        <f t="shared" ca="1" si="344"/>
        <v>802.11a/b/g/n/ac</v>
      </c>
      <c r="AT402" s="185">
        <f t="shared" ca="1" si="344"/>
        <v>10</v>
      </c>
      <c r="AU402" s="185" t="str">
        <f t="shared" ca="1" si="344"/>
        <v>EPEAT Gold</v>
      </c>
      <c r="AV402" s="185" t="str">
        <f t="shared" ca="1" si="344"/>
        <v>802.11a/b/g/n/ac</v>
      </c>
      <c r="AW402" s="185">
        <f t="shared" ca="1" si="344"/>
        <v>4.2</v>
      </c>
      <c r="AX402" s="185">
        <f t="shared" ca="1" si="345"/>
        <v>10</v>
      </c>
      <c r="AY402" s="185" t="str">
        <f t="shared" ca="1" si="345"/>
        <v>10.2-inch iPad Wi-Fi 64GB</v>
      </c>
      <c r="AZ402" s="185">
        <f t="shared" ca="1" si="345"/>
        <v>0</v>
      </c>
      <c r="BA402" s="185" t="str">
        <f t="shared" ca="1" si="345"/>
        <v>iPadOS 14</v>
      </c>
      <c r="BB402" s="185">
        <f t="shared" ca="1" si="345"/>
        <v>4238</v>
      </c>
      <c r="BC402" s="185">
        <f t="shared" ca="1" si="345"/>
        <v>4238</v>
      </c>
      <c r="BD402" s="192" t="str">
        <f t="shared" ca="1" si="345"/>
        <v>eSTUFF</v>
      </c>
      <c r="BE402" s="192" t="str">
        <f t="shared" ca="1" si="345"/>
        <v>eSTUFF</v>
      </c>
      <c r="BF402" s="192" t="str">
        <f t="shared" ca="1" si="345"/>
        <v>DELTACO</v>
      </c>
      <c r="BG402" s="192" t="str">
        <f t="shared" ca="1" si="345"/>
        <v>DELTACO</v>
      </c>
      <c r="BH402" s="192" t="str">
        <f t="shared" ca="1" si="346"/>
        <v xml:space="preserve">ZAGG </v>
      </c>
      <c r="BI402" s="192" t="str">
        <f t="shared" ca="1" si="346"/>
        <v>ES682335-BULK - Baksidesskydd för surfplatta</v>
      </c>
      <c r="BJ402" s="192" t="str">
        <f t="shared" ca="1" si="346"/>
        <v>ES503200 - Titan Shield - skärmskydd för mobiltelefon</v>
      </c>
      <c r="BK402" s="192" t="str">
        <f t="shared" ca="1" si="346"/>
        <v xml:space="preserve">USBC-AC141 </v>
      </c>
      <c r="BL402" s="192" t="str">
        <f t="shared" ca="1" si="346"/>
        <v>TB-631</v>
      </c>
      <c r="BM402" s="192" t="str">
        <f t="shared" ca="1" si="346"/>
        <v>109912139 - Pro Stylus 2 - Aktiv penna - grå</v>
      </c>
      <c r="BN402" s="192">
        <f t="shared" ca="1" si="346"/>
        <v>181</v>
      </c>
      <c r="BO402" s="192">
        <f t="shared" ca="1" si="346"/>
        <v>219</v>
      </c>
      <c r="BP402" s="192">
        <f t="shared" ca="1" si="346"/>
        <v>144</v>
      </c>
      <c r="BQ402" s="192">
        <f t="shared" ca="1" si="346"/>
        <v>169</v>
      </c>
      <c r="BR402" s="192">
        <f t="shared" ca="1" si="346"/>
        <v>595</v>
      </c>
      <c r="BS402" s="192">
        <f t="shared" ca="1" si="346"/>
        <v>781</v>
      </c>
      <c r="BT402" s="192">
        <f t="shared" ca="1" si="346"/>
        <v>50</v>
      </c>
      <c r="BU402" s="192">
        <f t="shared" ca="1" si="346"/>
        <v>50</v>
      </c>
      <c r="BV402" s="192">
        <f t="shared" ca="1" si="346"/>
        <v>0</v>
      </c>
      <c r="BW402" s="192"/>
      <c r="BX402" s="192"/>
      <c r="BY402" s="192" t="str">
        <f t="shared" ca="1" si="347"/>
        <v>Advania Sverige AB</v>
      </c>
      <c r="BZ402" s="192" t="str">
        <f t="shared" ca="1" si="347"/>
        <v>Apple</v>
      </c>
      <c r="CA402" s="200" t="s">
        <v>141</v>
      </c>
      <c r="CB402" s="185">
        <v>128</v>
      </c>
      <c r="CC402" s="185">
        <v>4.2</v>
      </c>
      <c r="CD402" s="185" t="s">
        <v>86</v>
      </c>
      <c r="CE402" s="185" t="s">
        <v>353</v>
      </c>
      <c r="CF402" s="185" t="s">
        <v>164</v>
      </c>
      <c r="CG402" s="185" t="s">
        <v>470</v>
      </c>
      <c r="CH402" s="192" t="s">
        <v>142</v>
      </c>
      <c r="CI402" s="185" t="s">
        <v>86</v>
      </c>
      <c r="CJ402" s="185">
        <v>4.2</v>
      </c>
      <c r="CK402" s="185" t="s">
        <v>164</v>
      </c>
      <c r="CL402" s="185" t="s">
        <v>352</v>
      </c>
      <c r="CM402" s="185" t="s">
        <v>69</v>
      </c>
      <c r="CN402" s="185" t="s">
        <v>83</v>
      </c>
    </row>
    <row r="403" spans="2:94" ht="22.5" customHeight="1" outlineLevel="1" x14ac:dyDescent="0.35">
      <c r="C403" s="61" t="s">
        <v>7</v>
      </c>
      <c r="D403" s="64"/>
      <c r="F403" s="78" t="str">
        <f t="shared" si="348"/>
        <v/>
      </c>
      <c r="G403" s="79">
        <f t="shared" ca="1" si="349"/>
        <v>10.3</v>
      </c>
      <c r="H403" s="79">
        <f t="shared" ca="1" si="349"/>
        <v>10.1</v>
      </c>
      <c r="I403" s="120">
        <f t="shared" ca="1" si="349"/>
        <v>10.199999999999999</v>
      </c>
      <c r="J403" s="62"/>
      <c r="K403" s="185">
        <f t="shared" ca="1" si="325"/>
        <v>0</v>
      </c>
      <c r="L403" s="185" t="b">
        <f t="shared" si="326"/>
        <v>1</v>
      </c>
      <c r="M403" s="185" t="s">
        <v>128</v>
      </c>
      <c r="N403" s="185" t="str">
        <f t="shared" ca="1" si="327"/>
        <v>Offererad produktnr. 07Dustin Sverige AB</v>
      </c>
      <c r="O403" s="185" cm="1">
        <f t="array" aca="1" ref="O403" ca="1">MIN(IF(($BY$401:$BY$424=M403)*($AM$401:$AM$424=$O$398),$Z$401:$Z$424))</f>
        <v>3261</v>
      </c>
      <c r="P403" s="197">
        <f ca="1">SMALL($Z$401:$Z$426,3)</f>
        <v>3205</v>
      </c>
      <c r="Q403" s="185">
        <f t="shared" si="328"/>
        <v>0</v>
      </c>
      <c r="R403" s="185">
        <f t="shared" si="329"/>
        <v>0</v>
      </c>
      <c r="S403" s="185">
        <f t="shared" si="330"/>
        <v>0</v>
      </c>
      <c r="T403" s="185">
        <f t="shared" si="331"/>
        <v>0</v>
      </c>
      <c r="U403" s="185">
        <f t="shared" si="332"/>
        <v>0</v>
      </c>
      <c r="V403" s="185">
        <f t="shared" si="333"/>
        <v>0</v>
      </c>
      <c r="W403" s="185">
        <f t="shared" si="334"/>
        <v>0</v>
      </c>
      <c r="X403" s="185">
        <f t="shared" si="335"/>
        <v>0</v>
      </c>
      <c r="Y403" s="185">
        <f t="shared" si="336"/>
        <v>0</v>
      </c>
      <c r="Z403" s="196">
        <f t="shared" ca="1" si="337"/>
        <v>8671</v>
      </c>
      <c r="AA403" s="185" t="str">
        <f t="shared" si="338"/>
        <v>Offererad produktnr. 09Advania Sverige AB</v>
      </c>
      <c r="AB403" s="185" t="b">
        <f>IF(D402="",TRUE,IF(COUNTIF(Processor!$M$2:$M$3,D402)=0,IF(AN403=D402,TRUE,FALSE),IF(COUNTIF(AN403,INDEX(Processor!$N$2:$N$3,MATCH(Surfplattor!D402,Processor!$M$2:$M$3,0)))&gt;0,TRUE,FALSE)))</f>
        <v>1</v>
      </c>
      <c r="AC403" s="185" t="b">
        <f>IF($D$403="",TRUE,IF(COUNTIF(Processor!$I$2:$I$9,$D$403)&gt;0,AND(AO403&gt;INDEX(Processor!$J$2:$J$9,MATCH($D$403,Processor!$I$2:$I$9,0)),AO403&lt;INDEX(Processor!$K$2:$K$9,MATCH($D$403,Processor!$I$2:$I$9,0))),IF(AO403=$D$403,TRUE,FALSE)))</f>
        <v>1</v>
      </c>
      <c r="AD403" s="185" t="b">
        <f t="shared" si="339"/>
        <v>1</v>
      </c>
      <c r="AE403" s="185" t="b">
        <f t="shared" si="340"/>
        <v>1</v>
      </c>
      <c r="AF403" s="185" t="b">
        <f t="shared" si="341"/>
        <v>1</v>
      </c>
      <c r="AG403" s="185" t="b">
        <f t="shared" si="342"/>
        <v>1</v>
      </c>
      <c r="AH403" s="185" t="b">
        <f>IF($D$408="",TRUE,IF(INDEX(Processor!$C$14:$C$20,MATCH(LEFT(AT403,10)&amp;"",Processor!$A$14:$A$20,0))&gt;=INDEX(Processor!$C$14:$C$20,MATCH(LEFT($D$408,10)&amp;"",Processor!$A$14:$A$20,0)),TRUE,FALSE))</f>
        <v>1</v>
      </c>
      <c r="AI403" s="185" t="b">
        <f t="shared" si="343"/>
        <v>1</v>
      </c>
      <c r="AJ403" s="185"/>
      <c r="AK403" s="185"/>
      <c r="AL403" s="185" t="s">
        <v>206</v>
      </c>
      <c r="AM403" s="185">
        <v>1</v>
      </c>
      <c r="AN403" s="185" t="str">
        <f t="shared" ca="1" si="344"/>
        <v>Android 11</v>
      </c>
      <c r="AO403" s="185">
        <f t="shared" ca="1" si="344"/>
        <v>11</v>
      </c>
      <c r="AP403" s="185" t="str">
        <f t="shared" ca="1" si="344"/>
        <v>2560x1600</v>
      </c>
      <c r="AQ403" s="185">
        <f t="shared" ca="1" si="344"/>
        <v>128</v>
      </c>
      <c r="AR403" s="185">
        <f t="shared" ca="1" si="344"/>
        <v>5.3</v>
      </c>
      <c r="AS403" s="185" t="str">
        <f t="shared" ca="1" si="344"/>
        <v>802.11a/b/g/n/ac/ax</v>
      </c>
      <c r="AT403" s="185">
        <f t="shared" ca="1" si="344"/>
        <v>13</v>
      </c>
      <c r="AU403" s="185" t="str">
        <f t="shared" ca="1" si="344"/>
        <v>Ej miljömärkt</v>
      </c>
      <c r="AV403" s="185" t="str">
        <f t="shared" ca="1" si="344"/>
        <v>802.11a/b/g/n/ac/ax</v>
      </c>
      <c r="AW403" s="185">
        <f t="shared" ca="1" si="344"/>
        <v>5.3</v>
      </c>
      <c r="AX403" s="185">
        <f t="shared" ca="1" si="345"/>
        <v>13</v>
      </c>
      <c r="AY403" s="185" t="str">
        <f t="shared" ca="1" si="345"/>
        <v>Samsung Galaxy Tab S9</v>
      </c>
      <c r="AZ403" s="185">
        <f t="shared" ca="1" si="345"/>
        <v>0</v>
      </c>
      <c r="BA403" s="185" t="str">
        <f t="shared" ca="1" si="345"/>
        <v>Android 11</v>
      </c>
      <c r="BB403" s="185">
        <f t="shared" ca="1" si="345"/>
        <v>8671</v>
      </c>
      <c r="BC403" s="185">
        <f t="shared" ca="1" si="345"/>
        <v>8671</v>
      </c>
      <c r="BD403" s="192" t="str">
        <f t="shared" ca="1" si="345"/>
        <v>Insmat</v>
      </c>
      <c r="BE403" s="192" t="str">
        <f t="shared" ca="1" si="345"/>
        <v>Samsung</v>
      </c>
      <c r="BF403" s="192" t="str">
        <f t="shared" ca="1" si="345"/>
        <v>CoreParts</v>
      </c>
      <c r="BG403" s="192" t="str">
        <f t="shared" ca="1" si="345"/>
        <v>DELTACO</v>
      </c>
      <c r="BH403" s="192" t="str">
        <f t="shared" ca="1" si="346"/>
        <v>Samsung</v>
      </c>
      <c r="BI403" s="192" t="str">
        <f t="shared" ca="1" si="346"/>
        <v xml:space="preserve">652-1287 - Baksidesskydd för surfplatta - robust - rugged armor </v>
      </c>
      <c r="BJ403" s="192" t="str">
        <f t="shared" ca="1" si="346"/>
        <v>EF-UX710CTEGWW - EF-UX710 - Skärmskydd för surfplatta</v>
      </c>
      <c r="BK403" s="192" t="str">
        <f t="shared" ca="1" si="346"/>
        <v>MBXUSB-AC0011 - Strömadapter - 12 Watt - 2.4 A (USB) - på kabel: USB-C - vit - med USB-C cable (2m)</v>
      </c>
      <c r="BL403" s="192" t="str">
        <f t="shared" ca="1" si="346"/>
        <v>TB-631</v>
      </c>
      <c r="BM403" s="192" t="str">
        <f t="shared" ca="1" si="346"/>
        <v>EJ-PX710BBEGEU - S Pen - Aktiv penna - Bluetooth</v>
      </c>
      <c r="BN403" s="192">
        <f t="shared" ca="1" si="346"/>
        <v>174</v>
      </c>
      <c r="BO403" s="192">
        <f t="shared" ca="1" si="346"/>
        <v>219</v>
      </c>
      <c r="BP403" s="192">
        <f t="shared" ca="1" si="346"/>
        <v>108</v>
      </c>
      <c r="BQ403" s="192">
        <f t="shared" ca="1" si="346"/>
        <v>169</v>
      </c>
      <c r="BR403" s="192">
        <f t="shared" ca="1" si="346"/>
        <v>295</v>
      </c>
      <c r="BS403" s="192">
        <f t="shared" ca="1" si="346"/>
        <v>269</v>
      </c>
      <c r="BT403" s="192">
        <f t="shared" ca="1" si="346"/>
        <v>50</v>
      </c>
      <c r="BU403" s="192">
        <f t="shared" ca="1" si="346"/>
        <v>50</v>
      </c>
      <c r="BV403" s="192">
        <f t="shared" ca="1" si="346"/>
        <v>0</v>
      </c>
      <c r="BW403" s="192"/>
      <c r="BX403" s="192"/>
      <c r="BY403" s="192" t="str">
        <f t="shared" ca="1" si="347"/>
        <v>Advania Sverige AB</v>
      </c>
      <c r="BZ403" s="192" t="str">
        <f t="shared" ca="1" si="347"/>
        <v>Samsung</v>
      </c>
      <c r="CA403" s="199" t="s">
        <v>90</v>
      </c>
      <c r="CB403" s="185">
        <v>0</v>
      </c>
      <c r="CC403" s="186">
        <v>5</v>
      </c>
      <c r="CD403" s="185"/>
      <c r="CE403" s="185">
        <v>10.199999999999999</v>
      </c>
      <c r="CF403" s="185" t="s">
        <v>144</v>
      </c>
      <c r="CG403" s="185" t="s">
        <v>96</v>
      </c>
      <c r="CH403" s="185" t="s">
        <v>94</v>
      </c>
      <c r="CI403" s="185"/>
      <c r="CJ403" s="186">
        <v>5</v>
      </c>
      <c r="CK403" s="185" t="s">
        <v>144</v>
      </c>
      <c r="CL403" s="185"/>
      <c r="CM403" s="185"/>
      <c r="CN403" s="185" t="s">
        <v>91</v>
      </c>
    </row>
    <row r="404" spans="2:94" ht="22.5" customHeight="1" outlineLevel="1" x14ac:dyDescent="0.35">
      <c r="C404" s="61" t="s">
        <v>2</v>
      </c>
      <c r="D404" s="64"/>
      <c r="F404" s="78" t="str">
        <f t="shared" si="348"/>
        <v/>
      </c>
      <c r="G404" s="79" t="str">
        <f t="shared" ca="1" si="349"/>
        <v>1920x1200</v>
      </c>
      <c r="H404" s="79" t="str">
        <f t="shared" ca="1" si="349"/>
        <v>1920x1200</v>
      </c>
      <c r="I404" s="120" t="str">
        <f t="shared" ca="1" si="349"/>
        <v>2160x1620</v>
      </c>
      <c r="J404" s="62"/>
      <c r="K404" s="185">
        <f t="shared" ca="1" si="325"/>
        <v>0</v>
      </c>
      <c r="L404" s="185" t="b">
        <f t="shared" si="326"/>
        <v>1</v>
      </c>
      <c r="M404" s="185" t="s">
        <v>169</v>
      </c>
      <c r="N404" s="185" t="str">
        <f t="shared" ca="1" si="327"/>
        <v>Offererad produktnr. 08Foxway Education AB</v>
      </c>
      <c r="O404" s="185" cm="1">
        <f t="array" aca="1" ref="O404" ca="1">MIN(IF(($BY$401:$BY$424=M404)*($AM$401:$AM$424=$O$398),$Z$401:$Z$424))</f>
        <v>3894</v>
      </c>
      <c r="P404" s="197"/>
      <c r="Q404" s="185">
        <f t="shared" si="328"/>
        <v>0</v>
      </c>
      <c r="R404" s="185">
        <f t="shared" si="329"/>
        <v>0</v>
      </c>
      <c r="S404" s="185">
        <f t="shared" si="330"/>
        <v>0</v>
      </c>
      <c r="T404" s="185">
        <f t="shared" si="331"/>
        <v>0</v>
      </c>
      <c r="U404" s="185">
        <f t="shared" si="332"/>
        <v>0</v>
      </c>
      <c r="V404" s="185">
        <f t="shared" si="333"/>
        <v>0</v>
      </c>
      <c r="W404" s="185">
        <f t="shared" si="334"/>
        <v>0</v>
      </c>
      <c r="X404" s="185">
        <f t="shared" si="335"/>
        <v>0</v>
      </c>
      <c r="Y404" s="185">
        <f t="shared" si="336"/>
        <v>0</v>
      </c>
      <c r="Z404" s="196">
        <f t="shared" ca="1" si="337"/>
        <v>6116</v>
      </c>
      <c r="AA404" s="185" t="str">
        <f t="shared" si="338"/>
        <v>Offererad produktnr. 10Advania Sverige AB</v>
      </c>
      <c r="AB404" s="185" t="b">
        <f>IF(D402="",TRUE,IF(COUNTIF(Processor!$M$2:$M$3,D402)=0,IF(AN404=D402,TRUE,FALSE),IF(COUNTIF(AN404,INDEX(Processor!$N$2:$N$3,MATCH(Surfplattor!D402,Processor!$M$2:$M$3,0)))&gt;0,TRUE,FALSE)))</f>
        <v>1</v>
      </c>
      <c r="AC404" s="185" t="b">
        <f>IF($D$403="",TRUE,IF(COUNTIF(Processor!$I$2:$I$9,$D$403)&gt;0,AND(AO404&gt;INDEX(Processor!$J$2:$J$9,MATCH($D$403,Processor!$I$2:$I$9,0)),AO404&lt;INDEX(Processor!$K$2:$K$9,MATCH($D$403,Processor!$I$2:$I$9,0))),IF(AO404=$D$403,TRUE,FALSE)))</f>
        <v>1</v>
      </c>
      <c r="AD404" s="185" t="b">
        <f t="shared" si="339"/>
        <v>1</v>
      </c>
      <c r="AE404" s="185" t="b">
        <f t="shared" si="340"/>
        <v>1</v>
      </c>
      <c r="AF404" s="185" t="b">
        <f t="shared" si="341"/>
        <v>1</v>
      </c>
      <c r="AG404" s="185" t="b">
        <f t="shared" si="342"/>
        <v>1</v>
      </c>
      <c r="AH404" s="185" t="b">
        <f>IF($D$408="",TRUE,IF(INDEX(Processor!$C$14:$C$20,MATCH(LEFT(AT404,10)&amp;"",Processor!$A$14:$A$20,0))&gt;=INDEX(Processor!$C$14:$C$20,MATCH(LEFT($D$408,10)&amp;"",Processor!$A$14:$A$20,0)),TRUE,FALSE))</f>
        <v>1</v>
      </c>
      <c r="AI404" s="185" t="b">
        <f t="shared" si="343"/>
        <v>1</v>
      </c>
      <c r="AJ404" s="185"/>
      <c r="AK404" s="185"/>
      <c r="AL404" s="185" t="s">
        <v>207</v>
      </c>
      <c r="AM404" s="185">
        <v>1</v>
      </c>
      <c r="AN404" s="185" t="str">
        <f t="shared" ca="1" si="344"/>
        <v>Android 11</v>
      </c>
      <c r="AO404" s="185">
        <f t="shared" ca="1" si="344"/>
        <v>11</v>
      </c>
      <c r="AP404" s="185" t="str">
        <f t="shared" ca="1" si="344"/>
        <v>2560x1600</v>
      </c>
      <c r="AQ404" s="185">
        <f t="shared" ca="1" si="344"/>
        <v>128</v>
      </c>
      <c r="AR404" s="185">
        <f t="shared" ca="1" si="344"/>
        <v>5.2</v>
      </c>
      <c r="AS404" s="185" t="str">
        <f t="shared" ca="1" si="344"/>
        <v>802.11a/b/g/n/ac/ax</v>
      </c>
      <c r="AT404" s="185">
        <f t="shared" ca="1" si="344"/>
        <v>13</v>
      </c>
      <c r="AU404" s="185" t="str">
        <f t="shared" ca="1" si="344"/>
        <v>Ej miljömärkt</v>
      </c>
      <c r="AV404" s="185" t="str">
        <f t="shared" ca="1" si="344"/>
        <v>802.11a/b/g/n/ac/ax</v>
      </c>
      <c r="AW404" s="185">
        <f t="shared" ca="1" si="344"/>
        <v>5.2</v>
      </c>
      <c r="AX404" s="185">
        <f t="shared" ca="1" si="345"/>
        <v>13</v>
      </c>
      <c r="AY404" s="185" t="str">
        <f t="shared" ca="1" si="345"/>
        <v>Samsung Galaxy Tab S8</v>
      </c>
      <c r="AZ404" s="185">
        <f t="shared" ca="1" si="345"/>
        <v>0</v>
      </c>
      <c r="BA404" s="185" t="str">
        <f t="shared" ca="1" si="345"/>
        <v>Android 11</v>
      </c>
      <c r="BB404" s="185">
        <f t="shared" ca="1" si="345"/>
        <v>6116</v>
      </c>
      <c r="BC404" s="185">
        <f t="shared" ca="1" si="345"/>
        <v>6116</v>
      </c>
      <c r="BD404" s="192" t="str">
        <f t="shared" ca="1" si="345"/>
        <v>Insmat</v>
      </c>
      <c r="BE404" s="192" t="str">
        <f t="shared" ca="1" si="345"/>
        <v>Tolerate</v>
      </c>
      <c r="BF404" s="192" t="str">
        <f t="shared" ca="1" si="345"/>
        <v>CoreParts</v>
      </c>
      <c r="BG404" s="192" t="str">
        <f t="shared" ca="1" si="345"/>
        <v>DELTACO</v>
      </c>
      <c r="BH404" s="192" t="str">
        <f t="shared" ca="1" si="346"/>
        <v xml:space="preserve">ZAGG </v>
      </c>
      <c r="BI404" s="192" t="str">
        <f t="shared" ca="1" si="346"/>
        <v xml:space="preserve">652-1287 - Baksidesskydd för surfplatta - robust - rugged armor </v>
      </c>
      <c r="BJ404" s="192" t="str">
        <f t="shared" ca="1" si="346"/>
        <v>ED600189 - Skärmskydd för surfplatta</v>
      </c>
      <c r="BK404" s="192" t="str">
        <f t="shared" ca="1" si="346"/>
        <v>MBXUSB-AC0011 - Strömadapter - 12 Watt - 2.4 A (USB) - på kabel: USB-C - vit - med USB-C cable (2m)</v>
      </c>
      <c r="BL404" s="192" t="str">
        <f t="shared" ca="1" si="346"/>
        <v>TB-631</v>
      </c>
      <c r="BM404" s="192" t="str">
        <f t="shared" ca="1" si="346"/>
        <v>109912139 - Pro Stylus 2 - Aktiv penna - grå</v>
      </c>
      <c r="BN404" s="192">
        <f t="shared" ca="1" si="346"/>
        <v>181</v>
      </c>
      <c r="BO404" s="192">
        <f t="shared" ca="1" si="346"/>
        <v>228</v>
      </c>
      <c r="BP404" s="192">
        <f t="shared" ca="1" si="346"/>
        <v>108</v>
      </c>
      <c r="BQ404" s="192">
        <f t="shared" ca="1" si="346"/>
        <v>169</v>
      </c>
      <c r="BR404" s="192">
        <f t="shared" ca="1" si="346"/>
        <v>595</v>
      </c>
      <c r="BS404" s="192">
        <f t="shared" ca="1" si="346"/>
        <v>781</v>
      </c>
      <c r="BT404" s="192">
        <f t="shared" ca="1" si="346"/>
        <v>50</v>
      </c>
      <c r="BU404" s="192">
        <f t="shared" ca="1" si="346"/>
        <v>50</v>
      </c>
      <c r="BV404" s="192">
        <f t="shared" ca="1" si="346"/>
        <v>0</v>
      </c>
      <c r="BW404" s="192"/>
      <c r="BX404" s="192"/>
      <c r="BY404" s="192" t="str">
        <f t="shared" ca="1" si="347"/>
        <v>Advania Sverige AB</v>
      </c>
      <c r="BZ404" s="192" t="str">
        <f t="shared" ca="1" si="347"/>
        <v>Samsung</v>
      </c>
      <c r="CA404" s="199" t="s">
        <v>95</v>
      </c>
      <c r="CB404" s="185"/>
      <c r="CC404" s="185"/>
      <c r="CD404" s="185"/>
      <c r="CE404" s="185">
        <v>10.3</v>
      </c>
      <c r="CF404" s="185" t="s">
        <v>130</v>
      </c>
      <c r="CG404" s="185" t="s">
        <v>530</v>
      </c>
      <c r="CH404" s="185" t="s">
        <v>171</v>
      </c>
      <c r="CI404" s="185"/>
      <c r="CJ404" s="185">
        <v>5.2</v>
      </c>
      <c r="CK404" s="185" t="s">
        <v>130</v>
      </c>
      <c r="CL404" s="185"/>
      <c r="CM404" s="185"/>
      <c r="CN404" s="185" t="s">
        <v>96</v>
      </c>
    </row>
    <row r="405" spans="2:94" ht="22.5" customHeight="1" outlineLevel="1" x14ac:dyDescent="0.35">
      <c r="C405" s="61" t="s">
        <v>17</v>
      </c>
      <c r="D405" s="64"/>
      <c r="F405" s="78" t="str">
        <f t="shared" si="348"/>
        <v/>
      </c>
      <c r="G405" s="79">
        <f t="shared" ca="1" si="349"/>
        <v>64</v>
      </c>
      <c r="H405" s="79">
        <f t="shared" ca="1" si="349"/>
        <v>64</v>
      </c>
      <c r="I405" s="120">
        <f t="shared" ca="1" si="349"/>
        <v>64</v>
      </c>
      <c r="J405" s="62"/>
      <c r="K405" s="185">
        <f t="shared" ca="1" si="325"/>
        <v>0</v>
      </c>
      <c r="L405" s="185" t="b">
        <f t="shared" si="326"/>
        <v>1</v>
      </c>
      <c r="M405" s="185" t="s">
        <v>167</v>
      </c>
      <c r="N405" s="185" t="str">
        <f t="shared" ca="1" si="327"/>
        <v/>
      </c>
      <c r="O405" s="185" cm="1">
        <f t="array" aca="1" ref="O405" ca="1">MIN(IF(($BY$401:$BY$424=M405)*($AM$401:$AM$424=$O$398),$Z$401:$Z$424))</f>
        <v>0</v>
      </c>
      <c r="P405" s="197"/>
      <c r="Q405" s="185">
        <f t="shared" si="328"/>
        <v>0</v>
      </c>
      <c r="R405" s="185">
        <f t="shared" si="329"/>
        <v>0</v>
      </c>
      <c r="S405" s="185">
        <f t="shared" si="330"/>
        <v>0</v>
      </c>
      <c r="T405" s="185">
        <f t="shared" si="331"/>
        <v>0</v>
      </c>
      <c r="U405" s="185">
        <f t="shared" si="332"/>
        <v>0</v>
      </c>
      <c r="V405" s="185">
        <f t="shared" si="333"/>
        <v>0</v>
      </c>
      <c r="W405" s="185">
        <f t="shared" si="334"/>
        <v>0</v>
      </c>
      <c r="X405" s="185">
        <f t="shared" si="335"/>
        <v>0</v>
      </c>
      <c r="Y405" s="185">
        <f t="shared" si="336"/>
        <v>0</v>
      </c>
      <c r="Z405" s="196">
        <f t="shared" ca="1" si="337"/>
        <v>9140</v>
      </c>
      <c r="AA405" s="185" t="str">
        <f t="shared" si="338"/>
        <v>Offererad produktnr. 07Atea Sverige AB</v>
      </c>
      <c r="AB405" s="185" t="b">
        <f>IF(D402="",TRUE,IF(COUNTIF(Processor!$M$2:$M$3,D402)=0,IF(AN405=D402,TRUE,FALSE),IF(COUNTIF(AN405,INDEX(Processor!$N$2:$N$3,MATCH(Surfplattor!D402,Processor!$M$2:$M$3,0)))&gt;0,TRUE,FALSE)))</f>
        <v>1</v>
      </c>
      <c r="AC405" s="185" t="b">
        <f>IF($D$403="",TRUE,IF(COUNTIF(Processor!$I$2:$I$9,$D$403)&gt;0,AND(AO405&gt;INDEX(Processor!$J$2:$J$9,MATCH($D$403,Processor!$I$2:$I$9,0)),AO405&lt;INDEX(Processor!$K$2:$K$9,MATCH($D$403,Processor!$I$2:$I$9,0))),IF(AO405=$D$403,TRUE,FALSE)))</f>
        <v>1</v>
      </c>
      <c r="AD405" s="185" t="b">
        <f t="shared" si="339"/>
        <v>1</v>
      </c>
      <c r="AE405" s="185" t="b">
        <f t="shared" si="340"/>
        <v>1</v>
      </c>
      <c r="AF405" s="185" t="b">
        <f t="shared" si="341"/>
        <v>1</v>
      </c>
      <c r="AG405" s="185" t="b">
        <f t="shared" si="342"/>
        <v>1</v>
      </c>
      <c r="AH405" s="185" t="b">
        <f>IF($D$408="",TRUE,IF(INDEX(Processor!$C$14:$C$20,MATCH(LEFT(AT405,10)&amp;"",Processor!$A$14:$A$20,0))&gt;=INDEX(Processor!$C$14:$C$20,MATCH(LEFT($D$408,10)&amp;"",Processor!$A$14:$A$20,0)),TRUE,FALSE))</f>
        <v>1</v>
      </c>
      <c r="AI405" s="185" t="b">
        <f t="shared" si="343"/>
        <v>1</v>
      </c>
      <c r="AJ405" s="185"/>
      <c r="AK405" s="185"/>
      <c r="AL405" s="185" t="s">
        <v>192</v>
      </c>
      <c r="AM405" s="185">
        <v>1</v>
      </c>
      <c r="AN405" s="185" t="str">
        <f t="shared" ca="1" si="344"/>
        <v>iPadOS 15</v>
      </c>
      <c r="AO405" s="185">
        <f t="shared" ca="1" si="344"/>
        <v>10.9</v>
      </c>
      <c r="AP405" s="185" t="str">
        <f t="shared" ca="1" si="344"/>
        <v>2360x1640</v>
      </c>
      <c r="AQ405" s="185">
        <f t="shared" ca="1" si="344"/>
        <v>64</v>
      </c>
      <c r="AR405" s="185">
        <f t="shared" ca="1" si="344"/>
        <v>5</v>
      </c>
      <c r="AS405" s="185" t="str">
        <f t="shared" ca="1" si="344"/>
        <v>802.11a/b/g/n/ac/ax</v>
      </c>
      <c r="AT405" s="185">
        <f t="shared" ca="1" si="344"/>
        <v>10</v>
      </c>
      <c r="AU405" s="185" t="str">
        <f t="shared" ca="1" si="344"/>
        <v>EPEAT Gold</v>
      </c>
      <c r="AV405" s="185" t="str">
        <f t="shared" ca="1" si="344"/>
        <v>802.11a/b/g/n/ac/ax</v>
      </c>
      <c r="AW405" s="185">
        <f t="shared" ca="1" si="344"/>
        <v>5</v>
      </c>
      <c r="AX405" s="185">
        <f t="shared" ca="1" si="345"/>
        <v>10</v>
      </c>
      <c r="AY405" s="185" t="str">
        <f t="shared" ca="1" si="345"/>
        <v>10.9-inch iPad Air Wi-Fi 5th Gen</v>
      </c>
      <c r="AZ405" s="185">
        <f t="shared" ca="1" si="345"/>
        <v>0</v>
      </c>
      <c r="BA405" s="185" t="str">
        <f t="shared" ca="1" si="345"/>
        <v>iPadOS 15</v>
      </c>
      <c r="BB405" s="185">
        <f t="shared" ca="1" si="345"/>
        <v>9140</v>
      </c>
      <c r="BC405" s="185">
        <f t="shared" ca="1" si="345"/>
        <v>9140</v>
      </c>
      <c r="BD405" s="192" t="str">
        <f t="shared" ca="1" si="345"/>
        <v>ZAGG</v>
      </c>
      <c r="BE405" s="192" t="str">
        <f t="shared" ca="1" si="345"/>
        <v>ZAGG</v>
      </c>
      <c r="BF405" s="192" t="str">
        <f t="shared" ca="1" si="345"/>
        <v xml:space="preserve">Mophie </v>
      </c>
      <c r="BG405" s="192" t="str">
        <f t="shared" ca="1" si="345"/>
        <v>Tolerate</v>
      </c>
      <c r="BH405" s="192" t="str">
        <f t="shared" ca="1" si="346"/>
        <v>Apple</v>
      </c>
      <c r="BI405" s="192" t="str">
        <f t="shared" ca="1" si="346"/>
        <v>GEAR4 Case Brompton + Folio Apple iPad Air 10.9" (4th Gen)/ iPad Pro 11" (1st &amp; 2nd Gen) - smoke</v>
      </c>
      <c r="BJ405" s="192" t="str">
        <f t="shared" ca="1" si="346"/>
        <v>InvisibleShield Glass Elite+ iPad Air 4/11P (2021) Case friendly Screen</v>
      </c>
      <c r="BK405" s="192" t="str">
        <f t="shared" ca="1" si="346"/>
        <v>Mophie USB typ C-kabel/MOPHIE WALL ADAPTER USB-C 20W</v>
      </c>
      <c r="BL405" s="192" t="str">
        <f t="shared" ca="1" si="346"/>
        <v>TOLERATE KEYBOARD FOLIO IPAD AIR 10,9 BLACK</v>
      </c>
      <c r="BM405" s="192" t="str">
        <f t="shared" ca="1" si="346"/>
        <v>Apple Pencil 2nd Generation - Penna för surfplatta - för 10.9-inch iPad Air (4th generation); 11-inch iPad Pro (1st generation, 2nd generation, 3rd generation); 12.9-inch iPad Pro (3rd generation, 4th generation, 5th generation)</v>
      </c>
      <c r="BN405" s="192">
        <f t="shared" ca="1" si="346"/>
        <v>344</v>
      </c>
      <c r="BO405" s="192">
        <f t="shared" ca="1" si="346"/>
        <v>302</v>
      </c>
      <c r="BP405" s="192">
        <f t="shared" ca="1" si="346"/>
        <v>289</v>
      </c>
      <c r="BQ405" s="192">
        <f t="shared" ca="1" si="346"/>
        <v>756</v>
      </c>
      <c r="BR405" s="192">
        <f t="shared" ca="1" si="346"/>
        <v>1742</v>
      </c>
      <c r="BS405" s="192">
        <f t="shared" ca="1" si="346"/>
        <v>672</v>
      </c>
      <c r="BT405" s="192">
        <f t="shared" ca="1" si="346"/>
        <v>85</v>
      </c>
      <c r="BU405" s="192">
        <f t="shared" ca="1" si="346"/>
        <v>100</v>
      </c>
      <c r="BV405" s="192">
        <f t="shared" ca="1" si="346"/>
        <v>0</v>
      </c>
      <c r="BW405" s="192"/>
      <c r="BX405" s="192"/>
      <c r="BY405" s="192" t="str">
        <f t="shared" ca="1" si="347"/>
        <v>Atea Sverige AB</v>
      </c>
      <c r="BZ405" s="192" t="str">
        <f t="shared" ca="1" si="347"/>
        <v>Apple</v>
      </c>
      <c r="CA405" s="199" t="s">
        <v>435</v>
      </c>
      <c r="CB405" s="185"/>
      <c r="CC405" s="185"/>
      <c r="CD405" s="185"/>
      <c r="CE405" s="185">
        <v>10.4</v>
      </c>
      <c r="CF405" s="185" t="s">
        <v>225</v>
      </c>
      <c r="CG405" s="185" t="s">
        <v>165</v>
      </c>
      <c r="CH405" s="185"/>
      <c r="CI405" s="185"/>
      <c r="CJ405" s="185"/>
      <c r="CK405" s="185" t="s">
        <v>225</v>
      </c>
      <c r="CL405" s="185"/>
      <c r="CM405" s="185"/>
      <c r="CN405" s="185"/>
    </row>
    <row r="406" spans="2:94" ht="28.5" customHeight="1" outlineLevel="1" x14ac:dyDescent="0.35">
      <c r="C406" s="61" t="s">
        <v>75</v>
      </c>
      <c r="D406" s="110"/>
      <c r="F406" s="78" t="str">
        <f t="shared" si="348"/>
        <v/>
      </c>
      <c r="G406" s="79">
        <f t="shared" ca="1" si="349"/>
        <v>5</v>
      </c>
      <c r="H406" s="79">
        <f t="shared" ca="1" si="349"/>
        <v>5</v>
      </c>
      <c r="I406" s="120">
        <f t="shared" ca="1" si="349"/>
        <v>4.2</v>
      </c>
      <c r="J406" s="62"/>
      <c r="K406" s="185">
        <f t="shared" ca="1" si="325"/>
        <v>0</v>
      </c>
      <c r="L406" s="185" t="b">
        <f t="shared" si="326"/>
        <v>1</v>
      </c>
      <c r="M406" s="185" t="s">
        <v>546</v>
      </c>
      <c r="N406" s="185" t="str">
        <f t="shared" ca="1" si="327"/>
        <v>Offererad produktnr. 07Qlosr Göteborg AB</v>
      </c>
      <c r="O406" s="185" cm="1">
        <f t="array" aca="1" ref="O406" ca="1">MIN(IF(($BY$401:$BY$424=M406)*($AM$401:$AM$424=$O$398),$Z$401:$Z$424))</f>
        <v>1700</v>
      </c>
      <c r="P406" s="197"/>
      <c r="Q406" s="185">
        <f t="shared" si="328"/>
        <v>0</v>
      </c>
      <c r="R406" s="185">
        <f t="shared" si="329"/>
        <v>0</v>
      </c>
      <c r="S406" s="185">
        <f t="shared" si="330"/>
        <v>0</v>
      </c>
      <c r="T406" s="185">
        <f t="shared" si="331"/>
        <v>0</v>
      </c>
      <c r="U406" s="185">
        <f t="shared" si="332"/>
        <v>0</v>
      </c>
      <c r="V406" s="185">
        <f t="shared" si="333"/>
        <v>0</v>
      </c>
      <c r="W406" s="185">
        <f t="shared" si="334"/>
        <v>0</v>
      </c>
      <c r="X406" s="185">
        <f t="shared" si="335"/>
        <v>0</v>
      </c>
      <c r="Y406" s="185">
        <f t="shared" si="336"/>
        <v>0</v>
      </c>
      <c r="Z406" s="196">
        <f t="shared" ca="1" si="337"/>
        <v>5254</v>
      </c>
      <c r="AA406" s="185" t="str">
        <f t="shared" si="338"/>
        <v>Offererad produktnr. 08Atea Sverige AB</v>
      </c>
      <c r="AB406" s="185" t="b">
        <f>IF(D402="",TRUE,IF(COUNTIF(Processor!$M$2:$M$3,D402)=0,IF(AN406=D402,TRUE,FALSE),IF(COUNTIF(AN406,INDEX(Processor!$N$2:$N$3,MATCH(Surfplattor!D402,Processor!$M$2:$M$3,0)))&gt;0,TRUE,FALSE)))</f>
        <v>1</v>
      </c>
      <c r="AC406" s="185" t="b">
        <f>IF($D$403="",TRUE,IF(COUNTIF(Processor!$I$2:$I$9,$D$403)&gt;0,AND(AO406&gt;INDEX(Processor!$J$2:$J$9,MATCH($D$403,Processor!$I$2:$I$9,0)),AO406&lt;INDEX(Processor!$K$2:$K$9,MATCH($D$403,Processor!$I$2:$I$9,0))),IF(AO406=$D$403,TRUE,FALSE)))</f>
        <v>1</v>
      </c>
      <c r="AD406" s="185" t="b">
        <f t="shared" si="339"/>
        <v>1</v>
      </c>
      <c r="AE406" s="185" t="b">
        <f t="shared" si="340"/>
        <v>1</v>
      </c>
      <c r="AF406" s="185" t="b">
        <f t="shared" si="341"/>
        <v>1</v>
      </c>
      <c r="AG406" s="185" t="b">
        <f t="shared" si="342"/>
        <v>1</v>
      </c>
      <c r="AH406" s="185" t="b">
        <f>IF($D$408="",TRUE,IF(INDEX(Processor!$C$14:$C$20,MATCH(LEFT(AT406,10)&amp;"",Processor!$A$14:$A$20,0))&gt;=INDEX(Processor!$C$14:$C$20,MATCH(LEFT($D$408,10)&amp;"",Processor!$A$14:$A$20,0)),TRUE,FALSE))</f>
        <v>1</v>
      </c>
      <c r="AI406" s="185" t="b">
        <f t="shared" si="343"/>
        <v>1</v>
      </c>
      <c r="AJ406" s="185"/>
      <c r="AK406" s="185"/>
      <c r="AL406" s="185" t="s">
        <v>193</v>
      </c>
      <c r="AM406" s="185">
        <v>1</v>
      </c>
      <c r="AN406" s="185" t="str">
        <f t="shared" ca="1" si="344"/>
        <v>iPadOS 14</v>
      </c>
      <c r="AO406" s="185">
        <f t="shared" ca="1" si="344"/>
        <v>10.199999999999999</v>
      </c>
      <c r="AP406" s="185" t="str">
        <f t="shared" ca="1" si="344"/>
        <v>2160x1620</v>
      </c>
      <c r="AQ406" s="185">
        <f t="shared" ca="1" si="344"/>
        <v>64</v>
      </c>
      <c r="AR406" s="185">
        <f t="shared" ca="1" si="344"/>
        <v>4.2</v>
      </c>
      <c r="AS406" s="185" t="str">
        <f t="shared" ca="1" si="344"/>
        <v>802.11a/b/g/n/ac</v>
      </c>
      <c r="AT406" s="185">
        <f t="shared" ca="1" si="344"/>
        <v>10</v>
      </c>
      <c r="AU406" s="185" t="str">
        <f t="shared" ca="1" si="344"/>
        <v>EPEAT Gold</v>
      </c>
      <c r="AV406" s="185" t="str">
        <f t="shared" ca="1" si="344"/>
        <v>802.11a/b/g/n/ac</v>
      </c>
      <c r="AW406" s="185">
        <f t="shared" ca="1" si="344"/>
        <v>4.2</v>
      </c>
      <c r="AX406" s="185">
        <f t="shared" ca="1" si="345"/>
        <v>10</v>
      </c>
      <c r="AY406" s="185" t="str">
        <f t="shared" ca="1" si="345"/>
        <v>iPad Wi-Fi 9:e Generationen</v>
      </c>
      <c r="AZ406" s="185">
        <f t="shared" ca="1" si="345"/>
        <v>0</v>
      </c>
      <c r="BA406" s="185" t="str">
        <f t="shared" ca="1" si="345"/>
        <v>iPadOS 14</v>
      </c>
      <c r="BB406" s="185">
        <f t="shared" ca="1" si="345"/>
        <v>5254</v>
      </c>
      <c r="BC406" s="185">
        <f t="shared" ca="1" si="345"/>
        <v>5254</v>
      </c>
      <c r="BD406" s="192" t="str">
        <f t="shared" ca="1" si="345"/>
        <v>ZAGG</v>
      </c>
      <c r="BE406" s="192" t="str">
        <f t="shared" ca="1" si="345"/>
        <v>ZAGG</v>
      </c>
      <c r="BF406" s="192" t="str">
        <f t="shared" ca="1" si="345"/>
        <v>Mophie</v>
      </c>
      <c r="BG406" s="192" t="str">
        <f t="shared" ca="1" si="345"/>
        <v>Tolerate</v>
      </c>
      <c r="BH406" s="192" t="str">
        <f t="shared" ca="1" si="346"/>
        <v>Apple</v>
      </c>
      <c r="BI406" s="192" t="str">
        <f t="shared" ca="1" si="346"/>
        <v>ZAGG Rugged Messenger Case - Skyddsfodral för surfplatta - robust - 10.2" - för Apple 10.2-inch iPad</v>
      </c>
      <c r="BJ406" s="192" t="str">
        <f t="shared" ca="1" si="346"/>
        <v>InvisibleShield Glass Elite+ Apple iPad 10.2" Screen</v>
      </c>
      <c r="BK406" s="192" t="str">
        <f t="shared" ca="1" si="346"/>
        <v>Wall Adapter-USB-C-20W-White-EU/mophie Charge and Sync Cable- USB-C to Lightning Cable 1.8M – White</v>
      </c>
      <c r="BL406" s="192" t="str">
        <f t="shared" ca="1" si="346"/>
        <v>Tolerate KEYBOARD FOLIO - Tangentbord och foliefodral - Bluetooth - svensk - svart - för Apple 10.2-inch iPad</v>
      </c>
      <c r="BM406" s="192" t="str">
        <f t="shared" ca="1" si="346"/>
        <v>Apple Pencil - Penna för surfplatta - för 10.2-inch iPad (7th generation, 8th generation); 10.5-inch iPad Air (3rd generation); 10.5-inch iPad Pro; 12.9-inch iPad Pro (1st generation, 2nd generation); 9.7-inch iPad (6th generation); 9.7-inch iPad Pro; iPad mini 5</v>
      </c>
      <c r="BN406" s="192">
        <f t="shared" ca="1" si="346"/>
        <v>430</v>
      </c>
      <c r="BO406" s="192">
        <f t="shared" ca="1" si="346"/>
        <v>302</v>
      </c>
      <c r="BP406" s="192">
        <f t="shared" ca="1" si="346"/>
        <v>226</v>
      </c>
      <c r="BQ406" s="192">
        <f t="shared" ca="1" si="346"/>
        <v>756</v>
      </c>
      <c r="BR406" s="192">
        <f t="shared" ca="1" si="346"/>
        <v>1284</v>
      </c>
      <c r="BS406" s="192">
        <f t="shared" ca="1" si="346"/>
        <v>672</v>
      </c>
      <c r="BT406" s="192">
        <f t="shared" ca="1" si="346"/>
        <v>85</v>
      </c>
      <c r="BU406" s="192">
        <f t="shared" ca="1" si="346"/>
        <v>100</v>
      </c>
      <c r="BV406" s="192">
        <f t="shared" ca="1" si="346"/>
        <v>0</v>
      </c>
      <c r="BW406" s="192"/>
      <c r="BX406" s="192"/>
      <c r="BY406" s="192" t="str">
        <f t="shared" ca="1" si="347"/>
        <v>Atea Sverige AB</v>
      </c>
      <c r="BZ406" s="192" t="str">
        <f t="shared" ca="1" si="347"/>
        <v>Apple</v>
      </c>
      <c r="CA406" s="199" t="s">
        <v>93</v>
      </c>
      <c r="CB406" s="185"/>
      <c r="CC406" s="185"/>
      <c r="CD406" s="185"/>
      <c r="CE406" s="185">
        <v>10.9</v>
      </c>
      <c r="CF406" s="185" t="s">
        <v>146</v>
      </c>
      <c r="CG406" s="185" t="s">
        <v>91</v>
      </c>
      <c r="CH406" s="185"/>
      <c r="CI406" s="185"/>
      <c r="CJ406" s="185"/>
      <c r="CK406" s="185" t="s">
        <v>146</v>
      </c>
      <c r="CL406" s="185"/>
      <c r="CM406" s="185"/>
      <c r="CN406" s="185"/>
    </row>
    <row r="407" spans="2:94" ht="29.25" customHeight="1" outlineLevel="1" x14ac:dyDescent="0.35">
      <c r="C407" s="61" t="s">
        <v>103</v>
      </c>
      <c r="D407" s="64"/>
      <c r="F407" s="78" t="str">
        <f t="shared" si="348"/>
        <v/>
      </c>
      <c r="G407" s="79" t="str">
        <f t="shared" ca="1" si="349"/>
        <v>802.11a/b/g/n/ac</v>
      </c>
      <c r="H407" s="79" t="str">
        <f t="shared" ca="1" si="349"/>
        <v>802.11a/b/g/n/ac</v>
      </c>
      <c r="I407" s="120" t="str">
        <f t="shared" ca="1" si="349"/>
        <v>802.11a/b/g/n/ac</v>
      </c>
      <c r="J407" s="62"/>
      <c r="Q407" s="185">
        <f t="shared" si="328"/>
        <v>0</v>
      </c>
      <c r="R407" s="185">
        <f t="shared" si="329"/>
        <v>0</v>
      </c>
      <c r="S407" s="185">
        <f t="shared" si="330"/>
        <v>0</v>
      </c>
      <c r="T407" s="185">
        <f t="shared" si="331"/>
        <v>0</v>
      </c>
      <c r="U407" s="185">
        <f t="shared" si="332"/>
        <v>0</v>
      </c>
      <c r="V407" s="185">
        <f t="shared" si="333"/>
        <v>0</v>
      </c>
      <c r="W407" s="185">
        <f t="shared" si="334"/>
        <v>0</v>
      </c>
      <c r="X407" s="185">
        <f t="shared" si="335"/>
        <v>0</v>
      </c>
      <c r="Y407" s="185">
        <f t="shared" si="336"/>
        <v>0</v>
      </c>
      <c r="Z407" s="196">
        <f t="shared" ca="1" si="337"/>
        <v>10177</v>
      </c>
      <c r="AA407" s="185" t="str">
        <f t="shared" si="338"/>
        <v>Offererad produktnr. 09Atea Sverige AB</v>
      </c>
      <c r="AB407" s="185" t="b">
        <f>IF(D402="",TRUE,IF(COUNTIF(Processor!$M$2:$M$3,D402)=0,IF(AN407=D402,TRUE,FALSE),IF(COUNTIF(AN407,INDEX(Processor!$N$2:$N$3,MATCH(Surfplattor!D402,Processor!$M$2:$M$3,0)))&gt;0,TRUE,FALSE)))</f>
        <v>1</v>
      </c>
      <c r="AC407" s="185" t="b">
        <f>IF($D$403="",TRUE,IF(COUNTIF(Processor!$I$2:$I$9,$D$403)&gt;0,AND(AO407&gt;INDEX(Processor!$J$2:$J$9,MATCH($D$403,Processor!$I$2:$I$9,0)),AO407&lt;INDEX(Processor!$K$2:$K$9,MATCH($D$403,Processor!$I$2:$I$9,0))),IF(AO407=$D$403,TRUE,FALSE)))</f>
        <v>1</v>
      </c>
      <c r="AD407" s="185" t="b">
        <f t="shared" si="339"/>
        <v>1</v>
      </c>
      <c r="AE407" s="185" t="b">
        <f t="shared" si="340"/>
        <v>1</v>
      </c>
      <c r="AF407" s="185" t="b">
        <f t="shared" si="341"/>
        <v>1</v>
      </c>
      <c r="AG407" s="185" t="b">
        <f t="shared" si="342"/>
        <v>1</v>
      </c>
      <c r="AH407" s="185" t="b">
        <f>IF($D$408="",TRUE,IF(INDEX(Processor!$C$14:$C$20,MATCH(LEFT(AT407,10)&amp;"",Processor!$A$14:$A$20,0))&gt;=INDEX(Processor!$C$14:$C$20,MATCH(LEFT($D$408,10)&amp;"",Processor!$A$14:$A$20,0)),TRUE,FALSE))</f>
        <v>1</v>
      </c>
      <c r="AI407" s="185" t="b">
        <f t="shared" si="343"/>
        <v>1</v>
      </c>
      <c r="AJ407" s="185"/>
      <c r="AK407" s="185"/>
      <c r="AL407" s="185" t="s">
        <v>194</v>
      </c>
      <c r="AM407" s="185">
        <v>1</v>
      </c>
      <c r="AN407" s="185" t="str">
        <f t="shared" ca="1" si="344"/>
        <v>Android 13</v>
      </c>
      <c r="AO407" s="185">
        <f t="shared" ca="1" si="344"/>
        <v>11</v>
      </c>
      <c r="AP407" s="185" t="str">
        <f t="shared" ca="1" si="344"/>
        <v>2560x1600</v>
      </c>
      <c r="AQ407" s="185">
        <f t="shared" ca="1" si="344"/>
        <v>128</v>
      </c>
      <c r="AR407" s="185">
        <f t="shared" ca="1" si="344"/>
        <v>5.3</v>
      </c>
      <c r="AS407" s="185" t="str">
        <f t="shared" ca="1" si="344"/>
        <v>802.11a/b/g/n/ac/ax</v>
      </c>
      <c r="AT407" s="185">
        <f t="shared" ca="1" si="344"/>
        <v>13</v>
      </c>
      <c r="AU407" s="185" t="str">
        <f t="shared" ca="1" si="344"/>
        <v>Ej miljömärkt</v>
      </c>
      <c r="AV407" s="185" t="str">
        <f t="shared" ca="1" si="344"/>
        <v>802.11a/b/g/n/ac/ax</v>
      </c>
      <c r="AW407" s="185">
        <f t="shared" ca="1" si="344"/>
        <v>5.3</v>
      </c>
      <c r="AX407" s="185">
        <f t="shared" ca="1" si="345"/>
        <v>13</v>
      </c>
      <c r="AY407" s="185" t="str">
        <f t="shared" ca="1" si="345"/>
        <v>Galaxy Tab S9 Wifi (128GB)</v>
      </c>
      <c r="AZ407" s="185">
        <f t="shared" ca="1" si="345"/>
        <v>0</v>
      </c>
      <c r="BA407" s="185" t="str">
        <f t="shared" ca="1" si="345"/>
        <v>Android 13</v>
      </c>
      <c r="BB407" s="185">
        <f t="shared" ca="1" si="345"/>
        <v>10177</v>
      </c>
      <c r="BC407" s="185">
        <f t="shared" ca="1" si="345"/>
        <v>10177</v>
      </c>
      <c r="BD407" s="192" t="str">
        <f t="shared" ca="1" si="345"/>
        <v>Tolerate</v>
      </c>
      <c r="BE407" s="192" t="str">
        <f t="shared" ca="1" si="345"/>
        <v>Tolerate</v>
      </c>
      <c r="BF407" s="192" t="str">
        <f t="shared" ca="1" si="345"/>
        <v>Samsung</v>
      </c>
      <c r="BG407" s="192" t="str">
        <f t="shared" ca="1" si="345"/>
        <v>Tolerate</v>
      </c>
      <c r="BH407" s="192" t="str">
        <f t="shared" ca="1" si="346"/>
        <v>Samsung</v>
      </c>
      <c r="BI407" s="192" t="str">
        <f t="shared" ca="1" si="346"/>
        <v>TOLERATE ARMOUR FOLIO TAB S9 BULK</v>
      </c>
      <c r="BJ407" s="192" t="str">
        <f t="shared" ca="1" si="346"/>
        <v>TOLERATE GLASS SCREEN PROTECTOR SAMSUNG TAB S9 BULK</v>
      </c>
      <c r="BK407" s="192" t="str">
        <f t="shared" ca="1" si="346"/>
        <v>Samsung Travel Adapter/USB-C till USB-A-kabel - 1.5 m</v>
      </c>
      <c r="BL407" s="192" t="str">
        <f t="shared" ca="1" si="346"/>
        <v xml:space="preserve">TOLERATE KEYBOARD FOLIO SAMSUNG TAB S8 </v>
      </c>
      <c r="BM407" s="192" t="str">
        <f t="shared" ca="1" si="346"/>
        <v>Samsung S-Pen</v>
      </c>
      <c r="BN407" s="192">
        <f t="shared" ca="1" si="346"/>
        <v>461</v>
      </c>
      <c r="BO407" s="192">
        <f t="shared" ca="1" si="346"/>
        <v>281</v>
      </c>
      <c r="BP407" s="192">
        <f t="shared" ca="1" si="346"/>
        <v>386</v>
      </c>
      <c r="BQ407" s="192">
        <f t="shared" ca="1" si="346"/>
        <v>756</v>
      </c>
      <c r="BR407" s="192">
        <f t="shared" ca="1" si="346"/>
        <v>504</v>
      </c>
      <c r="BS407" s="192">
        <f t="shared" ca="1" si="346"/>
        <v>1</v>
      </c>
      <c r="BT407" s="192">
        <f t="shared" ca="1" si="346"/>
        <v>85</v>
      </c>
      <c r="BU407" s="192">
        <f t="shared" ca="1" si="346"/>
        <v>100</v>
      </c>
      <c r="BV407" s="192">
        <f t="shared" ca="1" si="346"/>
        <v>0</v>
      </c>
      <c r="BW407" s="192"/>
      <c r="BX407" s="192"/>
      <c r="BY407" s="192" t="str">
        <f t="shared" ca="1" si="347"/>
        <v>Atea Sverige AB</v>
      </c>
      <c r="BZ407" s="192" t="str">
        <f t="shared" ca="1" si="347"/>
        <v>Samsung</v>
      </c>
      <c r="CA407" s="199" t="s">
        <v>147</v>
      </c>
      <c r="CB407" s="185"/>
      <c r="CC407" s="185"/>
      <c r="CD407" s="185"/>
      <c r="CE407" s="185">
        <v>11</v>
      </c>
      <c r="CF407" s="185"/>
      <c r="CG407" s="192"/>
      <c r="CH407" s="185"/>
      <c r="CI407" s="185"/>
      <c r="CJ407" s="185"/>
      <c r="CK407" s="185"/>
      <c r="CL407" s="185"/>
      <c r="CM407" s="185"/>
      <c r="CN407" s="192"/>
    </row>
    <row r="408" spans="2:94" ht="29.25" customHeight="1" outlineLevel="1" x14ac:dyDescent="0.35">
      <c r="C408" s="61" t="s">
        <v>120</v>
      </c>
      <c r="D408" s="64"/>
      <c r="F408" s="80" t="str">
        <f t="shared" si="348"/>
        <v/>
      </c>
      <c r="G408" s="81">
        <f t="shared" ca="1" si="349"/>
        <v>9</v>
      </c>
      <c r="H408" s="81">
        <f t="shared" ca="1" si="349"/>
        <v>9</v>
      </c>
      <c r="I408" s="121">
        <f t="shared" ca="1" si="349"/>
        <v>10</v>
      </c>
      <c r="J408" s="62"/>
      <c r="Q408" s="185">
        <f t="shared" si="328"/>
        <v>0</v>
      </c>
      <c r="R408" s="185">
        <f t="shared" si="329"/>
        <v>0</v>
      </c>
      <c r="S408" s="185">
        <f t="shared" si="330"/>
        <v>0</v>
      </c>
      <c r="T408" s="185">
        <f t="shared" si="331"/>
        <v>0</v>
      </c>
      <c r="U408" s="185">
        <f t="shared" si="332"/>
        <v>0</v>
      </c>
      <c r="V408" s="185">
        <f t="shared" si="333"/>
        <v>0</v>
      </c>
      <c r="W408" s="185">
        <f t="shared" si="334"/>
        <v>0</v>
      </c>
      <c r="X408" s="185">
        <f t="shared" si="335"/>
        <v>0</v>
      </c>
      <c r="Y408" s="185">
        <f t="shared" si="336"/>
        <v>0</v>
      </c>
      <c r="Z408" s="196">
        <f t="shared" ca="1" si="337"/>
        <v>8276</v>
      </c>
      <c r="AA408" s="185" t="str">
        <f t="shared" si="338"/>
        <v>Offererad produktnr. 10Atea Sverige AB</v>
      </c>
      <c r="AB408" s="185" t="b">
        <f>IF(D402="",TRUE,IF(COUNTIF(Processor!$M$2:$M$3,D402)=0,IF(AN408=D402,TRUE,FALSE),IF(COUNTIF(AN408,INDEX(Processor!$N$2:$N$3,MATCH(Surfplattor!D402,Processor!$M$2:$M$3,0)))&gt;0,TRUE,FALSE)))</f>
        <v>1</v>
      </c>
      <c r="AC408" s="185" t="b">
        <f>IF($D$403="",TRUE,IF(COUNTIF(Processor!$I$2:$I$9,$D$403)&gt;0,AND(AO408&gt;INDEX(Processor!$J$2:$J$9,MATCH($D$403,Processor!$I$2:$I$9,0)),AO408&lt;INDEX(Processor!$K$2:$K$9,MATCH($D$403,Processor!$I$2:$I$9,0))),IF(AO408=$D$403,TRUE,FALSE)))</f>
        <v>1</v>
      </c>
      <c r="AD408" s="185" t="b">
        <f t="shared" si="339"/>
        <v>1</v>
      </c>
      <c r="AE408" s="185" t="b">
        <f t="shared" si="340"/>
        <v>1</v>
      </c>
      <c r="AF408" s="185" t="b">
        <f t="shared" si="341"/>
        <v>1</v>
      </c>
      <c r="AG408" s="185" t="b">
        <f t="shared" si="342"/>
        <v>1</v>
      </c>
      <c r="AH408" s="185" t="b">
        <f>IF($D$408="",TRUE,IF(INDEX(Processor!$C$14:$C$20,MATCH(LEFT(AT408,10)&amp;"",Processor!$A$14:$A$20,0))&gt;=INDEX(Processor!$C$14:$C$20,MATCH(LEFT($D$408,10)&amp;"",Processor!$A$14:$A$20,0)),TRUE,FALSE))</f>
        <v>1</v>
      </c>
      <c r="AI408" s="185" t="b">
        <f t="shared" si="343"/>
        <v>1</v>
      </c>
      <c r="AJ408" s="185"/>
      <c r="AK408" s="185"/>
      <c r="AL408" s="185" t="s">
        <v>195</v>
      </c>
      <c r="AM408" s="185">
        <v>1</v>
      </c>
      <c r="AN408" s="185" t="str">
        <f t="shared" ca="1" si="344"/>
        <v>Android 10</v>
      </c>
      <c r="AO408" s="185">
        <f t="shared" ca="1" si="344"/>
        <v>11.5</v>
      </c>
      <c r="AP408" s="185" t="str">
        <f t="shared" ca="1" si="344"/>
        <v>2560x1600</v>
      </c>
      <c r="AQ408" s="185">
        <f t="shared" ca="1" si="344"/>
        <v>128</v>
      </c>
      <c r="AR408" s="185">
        <f t="shared" ca="1" si="344"/>
        <v>5</v>
      </c>
      <c r="AS408" s="185" t="str">
        <f t="shared" ca="1" si="344"/>
        <v>802.11a/b/g/n/ac</v>
      </c>
      <c r="AT408" s="185">
        <f t="shared" ca="1" si="344"/>
        <v>8</v>
      </c>
      <c r="AU408" s="185" t="str">
        <f t="shared" ca="1" si="344"/>
        <v>Ej miljömärkt</v>
      </c>
      <c r="AV408" s="185" t="str">
        <f t="shared" ca="1" si="344"/>
        <v>802.11a/b/g/n/ac</v>
      </c>
      <c r="AW408" s="185">
        <f t="shared" ca="1" si="344"/>
        <v>5</v>
      </c>
      <c r="AX408" s="185">
        <f t="shared" ca="1" si="345"/>
        <v>8</v>
      </c>
      <c r="AY408" s="185" t="str">
        <f t="shared" ca="1" si="345"/>
        <v>Lenovo Tab P11 Pro</v>
      </c>
      <c r="AZ408" s="185">
        <f t="shared" ca="1" si="345"/>
        <v>0</v>
      </c>
      <c r="BA408" s="185" t="str">
        <f t="shared" ca="1" si="345"/>
        <v>Android 10</v>
      </c>
      <c r="BB408" s="185">
        <f t="shared" ca="1" si="345"/>
        <v>8276</v>
      </c>
      <c r="BC408" s="185">
        <f t="shared" ca="1" si="345"/>
        <v>8276</v>
      </c>
      <c r="BD408" s="192" t="str">
        <f t="shared" ca="1" si="345"/>
        <v>Tolerate</v>
      </c>
      <c r="BE408" s="192" t="str">
        <f t="shared" ca="1" si="345"/>
        <v>Zagg</v>
      </c>
      <c r="BF408" s="192" t="str">
        <f t="shared" ca="1" si="345"/>
        <v>Lenovo</v>
      </c>
      <c r="BG408" s="192" t="str">
        <f t="shared" ca="1" si="345"/>
        <v>Lenovo</v>
      </c>
      <c r="BH408" s="192" t="str">
        <f t="shared" ca="1" si="346"/>
        <v>Lenovo</v>
      </c>
      <c r="BI408" s="192" t="str">
        <f t="shared" ca="1" si="346"/>
        <v>TOLERATE ARMOR FOLIO LENOVO TAB 11 PRO</v>
      </c>
      <c r="BJ408" s="192" t="str">
        <f t="shared" ca="1" si="346"/>
        <v>InvisibleShield Glass Elite+</v>
      </c>
      <c r="BK408" s="192" t="str">
        <f t="shared" ca="1" si="346"/>
        <v xml:space="preserve">Lenovo Smart Charge station </v>
      </c>
      <c r="BL408" s="192" t="str">
        <f t="shared" ca="1" si="346"/>
        <v>Lenovo P11 Pro Keyboard</v>
      </c>
      <c r="BM408" s="192" t="str">
        <f t="shared" ca="1" si="346"/>
        <v>Lenovo Precision Pen 2</v>
      </c>
      <c r="BN408" s="192">
        <f t="shared" ca="1" si="346"/>
        <v>502</v>
      </c>
      <c r="BO408" s="192">
        <f t="shared" ca="1" si="346"/>
        <v>293</v>
      </c>
      <c r="BP408" s="192">
        <f t="shared" ca="1" si="346"/>
        <v>324</v>
      </c>
      <c r="BQ408" s="192">
        <f t="shared" ca="1" si="346"/>
        <v>1138</v>
      </c>
      <c r="BR408" s="192">
        <f t="shared" ca="1" si="346"/>
        <v>718</v>
      </c>
      <c r="BS408" s="192">
        <f t="shared" ca="1" si="346"/>
        <v>1</v>
      </c>
      <c r="BT408" s="192">
        <f t="shared" ca="1" si="346"/>
        <v>85</v>
      </c>
      <c r="BU408" s="192">
        <f t="shared" ca="1" si="346"/>
        <v>100</v>
      </c>
      <c r="BV408" s="192">
        <f t="shared" ca="1" si="346"/>
        <v>0</v>
      </c>
      <c r="BW408" s="192"/>
      <c r="BX408" s="192"/>
      <c r="BY408" s="192" t="str">
        <f t="shared" ca="1" si="347"/>
        <v>Atea Sverige AB</v>
      </c>
      <c r="BZ408" s="192" t="str">
        <f t="shared" ca="1" si="347"/>
        <v>Lenovo</v>
      </c>
      <c r="CA408" s="199"/>
      <c r="CB408" s="185"/>
      <c r="CC408" s="185"/>
      <c r="CD408" s="185"/>
      <c r="CE408" s="185">
        <v>11.5</v>
      </c>
      <c r="CF408" s="185"/>
      <c r="CG408" s="185"/>
      <c r="CH408" s="185"/>
      <c r="CI408" s="185"/>
      <c r="CJ408" s="185"/>
      <c r="CK408" s="192"/>
      <c r="CL408" s="185"/>
      <c r="CM408" s="185"/>
      <c r="CN408" s="185"/>
    </row>
    <row r="409" spans="2:94" ht="29.25" customHeight="1" outlineLevel="1" x14ac:dyDescent="0.35">
      <c r="C409" s="61" t="s">
        <v>39</v>
      </c>
      <c r="D409" s="64"/>
      <c r="F409" s="78" t="str">
        <f t="shared" si="348"/>
        <v/>
      </c>
      <c r="G409" s="79" t="str">
        <f t="shared" ca="1" si="349"/>
        <v>Ej miljömärkt</v>
      </c>
      <c r="H409" s="79" t="str">
        <f t="shared" ca="1" si="349"/>
        <v>Ej miljömärkt</v>
      </c>
      <c r="I409" s="120" t="str">
        <f t="shared" ca="1" si="349"/>
        <v>Ej miljömärkt</v>
      </c>
      <c r="J409" s="62"/>
      <c r="Q409" s="185">
        <f t="shared" si="328"/>
        <v>0</v>
      </c>
      <c r="R409" s="185">
        <f t="shared" si="329"/>
        <v>0</v>
      </c>
      <c r="S409" s="185">
        <f t="shared" si="330"/>
        <v>0</v>
      </c>
      <c r="T409" s="185">
        <f t="shared" si="331"/>
        <v>0</v>
      </c>
      <c r="U409" s="185">
        <f t="shared" si="332"/>
        <v>0</v>
      </c>
      <c r="V409" s="185">
        <f t="shared" si="333"/>
        <v>0</v>
      </c>
      <c r="W409" s="185">
        <f t="shared" si="334"/>
        <v>0</v>
      </c>
      <c r="X409" s="185">
        <f t="shared" si="335"/>
        <v>0</v>
      </c>
      <c r="Y409" s="185">
        <f t="shared" si="336"/>
        <v>0</v>
      </c>
      <c r="Z409" s="196">
        <f t="shared" ca="1" si="337"/>
        <v>3261</v>
      </c>
      <c r="AA409" s="185" t="str">
        <f t="shared" si="338"/>
        <v>Offererad produktnr. 07Dustin Sverige AB</v>
      </c>
      <c r="AB409" s="185" t="b">
        <f>IF(D402="",TRUE,IF(COUNTIF(Processor!$M$2:$M$3,D402)=0,IF(AN409=D402,TRUE,FALSE),IF(COUNTIF(AN409,INDEX(Processor!$N$2:$N$3,MATCH(Surfplattor!D402,Processor!$M$2:$M$3,0)))&gt;0,TRUE,FALSE)))</f>
        <v>1</v>
      </c>
      <c r="AC409" s="185" t="b">
        <f>IF($D$403="",TRUE,IF(COUNTIF(Processor!$I$2:$I$9,$D$403)&gt;0,AND(AO409&gt;INDEX(Processor!$J$2:$J$9,MATCH($D$403,Processor!$I$2:$I$9,0)),AO409&lt;INDEX(Processor!$K$2:$K$9,MATCH($D$403,Processor!$I$2:$I$9,0))),IF(AO409=$D$403,TRUE,FALSE)))</f>
        <v>1</v>
      </c>
      <c r="AD409" s="185" t="b">
        <f t="shared" si="339"/>
        <v>1</v>
      </c>
      <c r="AE409" s="185" t="b">
        <f t="shared" si="340"/>
        <v>1</v>
      </c>
      <c r="AF409" s="185" t="b">
        <f t="shared" si="341"/>
        <v>1</v>
      </c>
      <c r="AG409" s="185" t="b">
        <f t="shared" si="342"/>
        <v>1</v>
      </c>
      <c r="AH409" s="185" t="b">
        <f>IF($D$408="",TRUE,IF(INDEX(Processor!$C$14:$C$20,MATCH(LEFT(AT409,10)&amp;"",Processor!$A$14:$A$20,0))&gt;=INDEX(Processor!$C$14:$C$20,MATCH(LEFT($D$408,10)&amp;"",Processor!$A$14:$A$20,0)),TRUE,FALSE))</f>
        <v>1</v>
      </c>
      <c r="AI409" s="185" t="b">
        <f t="shared" si="343"/>
        <v>1</v>
      </c>
      <c r="AJ409" s="185"/>
      <c r="AK409" s="185"/>
      <c r="AL409" s="185" t="s">
        <v>180</v>
      </c>
      <c r="AM409" s="185">
        <v>1</v>
      </c>
      <c r="AN409" s="185" t="str">
        <f t="shared" ca="1" si="344"/>
        <v>Android 11</v>
      </c>
      <c r="AO409" s="185">
        <f t="shared" ca="1" si="344"/>
        <v>10.4</v>
      </c>
      <c r="AP409" s="185" t="str">
        <f t="shared" ca="1" si="344"/>
        <v>2000x1200</v>
      </c>
      <c r="AQ409" s="185">
        <f t="shared" ca="1" si="344"/>
        <v>64</v>
      </c>
      <c r="AR409" s="185">
        <f t="shared" ca="1" si="344"/>
        <v>5</v>
      </c>
      <c r="AS409" s="185" t="str">
        <f t="shared" ca="1" si="344"/>
        <v>802.11a/b/g/n/ac</v>
      </c>
      <c r="AT409" s="185">
        <f t="shared" ca="1" si="344"/>
        <v>12</v>
      </c>
      <c r="AU409" s="185" t="str">
        <f t="shared" ca="1" si="344"/>
        <v>EPEAT Bronze (Canada)</v>
      </c>
      <c r="AV409" s="185" t="str">
        <f t="shared" ca="1" si="344"/>
        <v>802.11a/b/g/n/ac</v>
      </c>
      <c r="AW409" s="185">
        <f t="shared" ca="1" si="344"/>
        <v>5</v>
      </c>
      <c r="AX409" s="185">
        <f t="shared" ca="1" si="345"/>
        <v>12</v>
      </c>
      <c r="AY409" s="185" t="str">
        <f t="shared" ca="1" si="345"/>
        <v>Galaxy Tab S6 Lite WiFi (64GB)</v>
      </c>
      <c r="AZ409" s="185">
        <f t="shared" ca="1" si="345"/>
        <v>0</v>
      </c>
      <c r="BA409" s="185" t="str">
        <f t="shared" ca="1" si="345"/>
        <v>Android 11</v>
      </c>
      <c r="BB409" s="185">
        <f t="shared" ca="1" si="345"/>
        <v>3261</v>
      </c>
      <c r="BC409" s="185">
        <f t="shared" ca="1" si="345"/>
        <v>3261</v>
      </c>
      <c r="BD409" s="192" t="str">
        <f t="shared" ca="1" si="345"/>
        <v>Samsung</v>
      </c>
      <c r="BE409" s="192" t="str">
        <f t="shared" ca="1" si="345"/>
        <v>Hama</v>
      </c>
      <c r="BF409" s="192" t="str">
        <f t="shared" ca="1" si="345"/>
        <v>Samsung</v>
      </c>
      <c r="BG409" s="192" t="str">
        <f t="shared" ca="1" si="345"/>
        <v>Voxicon</v>
      </c>
      <c r="BH409" s="192" t="str">
        <f t="shared" ca="1" si="346"/>
        <v>Samsung</v>
      </c>
      <c r="BI409" s="192" t="str">
        <f t="shared" ca="1" si="346"/>
        <v>GH96-13408A</v>
      </c>
      <c r="BJ409" s="192" t="str">
        <f t="shared" ca="1" si="346"/>
        <v>KAP12483</v>
      </c>
      <c r="BK409" s="192" t="str">
        <f t="shared" ca="1" si="346"/>
        <v>EP-T1510NBEGEU / EP-TA20EWECGWW</v>
      </c>
      <c r="BL409" s="192" t="str">
        <f t="shared" ca="1" si="346"/>
        <v>DK-199B-G</v>
      </c>
      <c r="BM409" s="192" t="str">
        <f t="shared" ca="1" si="346"/>
        <v>EJ-PP610BJEGEU / EJ-PP610BLEGEU</v>
      </c>
      <c r="BN409" s="192">
        <f t="shared" ca="1" si="346"/>
        <v>518</v>
      </c>
      <c r="BO409" s="192">
        <f t="shared" ca="1" si="346"/>
        <v>219</v>
      </c>
      <c r="BP409" s="192">
        <f t="shared" ca="1" si="346"/>
        <v>111</v>
      </c>
      <c r="BQ409" s="192">
        <f t="shared" ca="1" si="346"/>
        <v>936</v>
      </c>
      <c r="BR409" s="192">
        <f t="shared" ca="1" si="346"/>
        <v>305</v>
      </c>
      <c r="BS409" s="192">
        <f t="shared" ca="1" si="346"/>
        <v>532</v>
      </c>
      <c r="BT409" s="192">
        <f t="shared" ca="1" si="346"/>
        <v>20</v>
      </c>
      <c r="BU409" s="192">
        <f t="shared" ca="1" si="346"/>
        <v>20</v>
      </c>
      <c r="BV409" s="192">
        <f t="shared" ca="1" si="346"/>
        <v>0</v>
      </c>
      <c r="BW409" s="192"/>
      <c r="BX409" s="192"/>
      <c r="BY409" s="192" t="str">
        <f t="shared" ca="1" si="347"/>
        <v>Dustin Sverige AB</v>
      </c>
      <c r="BZ409" s="192" t="str">
        <f t="shared" ca="1" si="347"/>
        <v>Samsung</v>
      </c>
      <c r="CA409" s="199"/>
      <c r="CB409" s="185"/>
      <c r="CC409" s="185"/>
      <c r="CD409" s="185"/>
      <c r="CE409" s="186">
        <v>12.4</v>
      </c>
      <c r="CF409" s="185"/>
      <c r="CG409" s="185"/>
      <c r="CH409" s="185"/>
      <c r="CI409" s="185"/>
      <c r="CJ409" s="185"/>
      <c r="CK409" s="185"/>
      <c r="CL409" s="185"/>
      <c r="CM409" s="185"/>
      <c r="CN409" s="185"/>
    </row>
    <row r="410" spans="2:94" ht="22.5" customHeight="1" outlineLevel="1" x14ac:dyDescent="0.35">
      <c r="C410" s="66"/>
      <c r="D410" s="67"/>
      <c r="G410" s="62"/>
      <c r="H410" s="62"/>
      <c r="I410" s="62"/>
      <c r="J410" s="62"/>
      <c r="Q410" s="185">
        <f t="shared" si="328"/>
        <v>0</v>
      </c>
      <c r="R410" s="185">
        <f t="shared" si="329"/>
        <v>0</v>
      </c>
      <c r="S410" s="185">
        <f t="shared" si="330"/>
        <v>0</v>
      </c>
      <c r="T410" s="185">
        <f t="shared" si="331"/>
        <v>0</v>
      </c>
      <c r="U410" s="185">
        <f t="shared" si="332"/>
        <v>0</v>
      </c>
      <c r="V410" s="185">
        <f t="shared" si="333"/>
        <v>0</v>
      </c>
      <c r="W410" s="185">
        <f t="shared" si="334"/>
        <v>0</v>
      </c>
      <c r="X410" s="185">
        <f t="shared" si="335"/>
        <v>0</v>
      </c>
      <c r="Y410" s="185">
        <f t="shared" si="336"/>
        <v>0</v>
      </c>
      <c r="Z410" s="196">
        <f t="shared" ca="1" si="337"/>
        <v>3751</v>
      </c>
      <c r="AA410" s="185" t="str">
        <f t="shared" si="338"/>
        <v>Offererad produktnr. 08Dustin Sverige AB</v>
      </c>
      <c r="AB410" s="185" t="b">
        <f>IF(D402="",TRUE,IF(COUNTIF(Processor!$M$2:$M$3,D402)=0,IF(AN410=D402,TRUE,FALSE),IF(COUNTIF(AN410,INDEX(Processor!$N$2:$N$3,MATCH(Surfplattor!D402,Processor!$M$2:$M$3,0)))&gt;0,TRUE,FALSE)))</f>
        <v>1</v>
      </c>
      <c r="AC410" s="185" t="b">
        <f>IF($D$403="",TRUE,IF(COUNTIF(Processor!$I$2:$I$9,$D$403)&gt;0,AND(AO410&gt;INDEX(Processor!$J$2:$J$9,MATCH($D$403,Processor!$I$2:$I$9,0)),AO410&lt;INDEX(Processor!$K$2:$K$9,MATCH($D$403,Processor!$I$2:$I$9,0))),IF(AO410=$D$403,TRUE,FALSE)))</f>
        <v>1</v>
      </c>
      <c r="AD410" s="185" t="b">
        <f t="shared" si="339"/>
        <v>1</v>
      </c>
      <c r="AE410" s="185" t="b">
        <f t="shared" si="340"/>
        <v>1</v>
      </c>
      <c r="AF410" s="185" t="b">
        <f t="shared" si="341"/>
        <v>1</v>
      </c>
      <c r="AG410" s="185" t="b">
        <f t="shared" si="342"/>
        <v>1</v>
      </c>
      <c r="AH410" s="185" t="b">
        <f>IF($D$408="",TRUE,IF(INDEX(Processor!$C$14:$C$20,MATCH(LEFT(AT410,10)&amp;"",Processor!$A$14:$A$20,0))&gt;=INDEX(Processor!$C$14:$C$20,MATCH(LEFT($D$408,10)&amp;"",Processor!$A$14:$A$20,0)),TRUE,FALSE))</f>
        <v>1</v>
      </c>
      <c r="AI410" s="185" t="b">
        <f t="shared" si="343"/>
        <v>1</v>
      </c>
      <c r="AJ410" s="185"/>
      <c r="AK410" s="185"/>
      <c r="AL410" s="185" t="s">
        <v>181</v>
      </c>
      <c r="AM410" s="185">
        <v>1</v>
      </c>
      <c r="AN410" s="185" t="str">
        <f t="shared" ca="1" si="344"/>
        <v>iPadOS 14</v>
      </c>
      <c r="AO410" s="185">
        <f t="shared" ca="1" si="344"/>
        <v>10.199999999999999</v>
      </c>
      <c r="AP410" s="185" t="str">
        <f t="shared" ca="1" si="344"/>
        <v>2160x1620</v>
      </c>
      <c r="AQ410" s="185">
        <f t="shared" ca="1" si="344"/>
        <v>64</v>
      </c>
      <c r="AR410" s="185">
        <f t="shared" ca="1" si="344"/>
        <v>4.2</v>
      </c>
      <c r="AS410" s="185" t="str">
        <f t="shared" ca="1" si="344"/>
        <v>802.11a/b/g/n/ac</v>
      </c>
      <c r="AT410" s="185">
        <f t="shared" ca="1" si="344"/>
        <v>10</v>
      </c>
      <c r="AU410" s="185" t="str">
        <f t="shared" ca="1" si="344"/>
        <v>EPEAT Gold</v>
      </c>
      <c r="AV410" s="185" t="str">
        <f t="shared" ca="1" si="344"/>
        <v>802.11a/b/g/n/ac</v>
      </c>
      <c r="AW410" s="185">
        <f t="shared" ca="1" si="344"/>
        <v>4.2</v>
      </c>
      <c r="AX410" s="185">
        <f t="shared" ca="1" si="345"/>
        <v>10</v>
      </c>
      <c r="AY410" s="185" t="str">
        <f t="shared" ca="1" si="345"/>
        <v>iPad 9th gen</v>
      </c>
      <c r="AZ410" s="185">
        <f t="shared" ca="1" si="345"/>
        <v>0</v>
      </c>
      <c r="BA410" s="185" t="str">
        <f t="shared" ca="1" si="345"/>
        <v>iPadOS 14</v>
      </c>
      <c r="BB410" s="185">
        <f t="shared" ca="1" si="345"/>
        <v>3751</v>
      </c>
      <c r="BC410" s="185">
        <f t="shared" ca="1" si="345"/>
        <v>3751</v>
      </c>
      <c r="BD410" s="192" t="str">
        <f t="shared" ca="1" si="345"/>
        <v>Cirafon</v>
      </c>
      <c r="BE410" s="192" t="str">
        <f t="shared" ca="1" si="345"/>
        <v>Cirafon</v>
      </c>
      <c r="BF410" s="192" t="str">
        <f t="shared" ca="1" si="345"/>
        <v>Cirafon</v>
      </c>
      <c r="BG410" s="192" t="str">
        <f t="shared" ca="1" si="345"/>
        <v>Voxicon</v>
      </c>
      <c r="BH410" s="192" t="str">
        <f t="shared" ca="1" si="346"/>
        <v>Zagg</v>
      </c>
      <c r="BI410" s="192" t="str">
        <f t="shared" ca="1" si="346"/>
        <v>APD9-HBSFO-BLCK</v>
      </c>
      <c r="BJ410" s="192" t="str">
        <f t="shared" ca="1" si="346"/>
        <v>CG-TG-APL-IDP102</v>
      </c>
      <c r="BK410" s="192" t="str">
        <f t="shared" ca="1" si="346"/>
        <v>PD20E-1TGA-W/DMA-038#KIT</v>
      </c>
      <c r="BL410" s="192" t="str">
        <f t="shared" ca="1" si="346"/>
        <v>DK-400B-WHT</v>
      </c>
      <c r="BM410" s="192">
        <f t="shared" ca="1" si="346"/>
        <v>109907068</v>
      </c>
      <c r="BN410" s="192">
        <f t="shared" ca="1" si="346"/>
        <v>347</v>
      </c>
      <c r="BO410" s="192">
        <f t="shared" ca="1" si="346"/>
        <v>234</v>
      </c>
      <c r="BP410" s="192">
        <f t="shared" ca="1" si="346"/>
        <v>309</v>
      </c>
      <c r="BQ410" s="192">
        <f t="shared" ca="1" si="346"/>
        <v>407</v>
      </c>
      <c r="BR410" s="192">
        <f t="shared" ca="1" si="346"/>
        <v>373</v>
      </c>
      <c r="BS410" s="192">
        <f t="shared" ca="1" si="346"/>
        <v>532</v>
      </c>
      <c r="BT410" s="192">
        <f t="shared" ca="1" si="346"/>
        <v>20</v>
      </c>
      <c r="BU410" s="192">
        <f t="shared" ca="1" si="346"/>
        <v>20</v>
      </c>
      <c r="BV410" s="192">
        <f t="shared" ca="1" si="346"/>
        <v>0</v>
      </c>
      <c r="BW410" s="192"/>
      <c r="BX410" s="192"/>
      <c r="BY410" s="192" t="str">
        <f t="shared" ca="1" si="347"/>
        <v>Dustin Sverige AB</v>
      </c>
      <c r="BZ410" s="192" t="str">
        <f t="shared" ca="1" si="347"/>
        <v>Apple</v>
      </c>
      <c r="CA410" s="199"/>
      <c r="CB410" s="185"/>
      <c r="CC410" s="185"/>
      <c r="CD410" s="185"/>
      <c r="CE410" s="185"/>
      <c r="CF410" s="185"/>
      <c r="CG410" s="185"/>
      <c r="CH410" s="185"/>
      <c r="CI410" s="185"/>
      <c r="CJ410" s="185"/>
      <c r="CK410" s="185"/>
      <c r="CL410" s="185"/>
      <c r="CM410" s="185"/>
      <c r="CN410" s="185"/>
    </row>
    <row r="411" spans="2:94" ht="22.5" customHeight="1" outlineLevel="1" x14ac:dyDescent="0.35">
      <c r="C411" s="212" t="s">
        <v>366</v>
      </c>
      <c r="D411" s="213"/>
      <c r="E411" s="213"/>
      <c r="F411" s="213"/>
      <c r="G411" s="213"/>
      <c r="H411" s="213"/>
      <c r="I411" s="214"/>
      <c r="J411" s="94"/>
      <c r="Q411" s="185">
        <f t="shared" si="328"/>
        <v>0</v>
      </c>
      <c r="R411" s="185">
        <f t="shared" si="329"/>
        <v>0</v>
      </c>
      <c r="S411" s="185">
        <f t="shared" si="330"/>
        <v>0</v>
      </c>
      <c r="T411" s="185">
        <f t="shared" si="331"/>
        <v>0</v>
      </c>
      <c r="U411" s="185">
        <f t="shared" si="332"/>
        <v>0</v>
      </c>
      <c r="V411" s="185">
        <f t="shared" si="333"/>
        <v>0</v>
      </c>
      <c r="W411" s="185">
        <f t="shared" si="334"/>
        <v>0</v>
      </c>
      <c r="X411" s="185">
        <f t="shared" si="335"/>
        <v>0</v>
      </c>
      <c r="Y411" s="185">
        <f t="shared" si="336"/>
        <v>0</v>
      </c>
      <c r="Z411" s="196">
        <f t="shared" ca="1" si="337"/>
        <v>5710</v>
      </c>
      <c r="AA411" s="185" t="str">
        <f t="shared" si="338"/>
        <v>Offererad produktnr. 09Dustin Sverige AB</v>
      </c>
      <c r="AB411" s="185" t="b">
        <f>IF(D402="",TRUE,IF(COUNTIF(Processor!$M$2:$M$3,D402)=0,IF(AN411=D402,TRUE,FALSE),IF(COUNTIF(AN411,INDEX(Processor!$N$2:$N$3,MATCH(Surfplattor!D402,Processor!$M$2:$M$3,0)))&gt;0,TRUE,FALSE)))</f>
        <v>1</v>
      </c>
      <c r="AC411" s="185" t="b">
        <f>IF($D$403="",TRUE,IF(COUNTIF(Processor!$I$2:$I$9,$D$403)&gt;0,AND(AO411&gt;INDEX(Processor!$J$2:$J$9,MATCH($D$403,Processor!$I$2:$I$9,0)),AO411&lt;INDEX(Processor!$K$2:$K$9,MATCH($D$403,Processor!$I$2:$I$9,0))),IF(AO411=$D$403,TRUE,FALSE)))</f>
        <v>1</v>
      </c>
      <c r="AD411" s="185" t="b">
        <f t="shared" si="339"/>
        <v>1</v>
      </c>
      <c r="AE411" s="185" t="b">
        <f t="shared" si="340"/>
        <v>1</v>
      </c>
      <c r="AF411" s="185" t="b">
        <f t="shared" si="341"/>
        <v>1</v>
      </c>
      <c r="AG411" s="185" t="b">
        <f t="shared" si="342"/>
        <v>1</v>
      </c>
      <c r="AH411" s="185" t="b">
        <f>IF($D$408="",TRUE,IF(INDEX(Processor!$C$14:$C$20,MATCH(LEFT(AT411,10)&amp;"",Processor!$A$14:$A$20,0))&gt;=INDEX(Processor!$C$14:$C$20,MATCH(LEFT($D$408,10)&amp;"",Processor!$A$14:$A$20,0)),TRUE,FALSE))</f>
        <v>1</v>
      </c>
      <c r="AI411" s="185" t="b">
        <f t="shared" si="343"/>
        <v>1</v>
      </c>
      <c r="AJ411" s="185"/>
      <c r="AK411" s="185"/>
      <c r="AL411" s="185" t="s">
        <v>182</v>
      </c>
      <c r="AM411" s="185">
        <v>1</v>
      </c>
      <c r="AN411" s="185" t="str">
        <f t="shared" ref="AN411:AW420" ca="1" si="350">IFERROR(INDEX(INDIRECT(AN$396&amp;"!$A$10:CC100000"),MATCH($AL411,INDIRECT(AN$396&amp;"!BH$10:BH100000"),0),MATCH(AN$398,INDIRECT(AN$396&amp;"!a10:CC10"),0)),"False")</f>
        <v>Android 13</v>
      </c>
      <c r="AO411" s="185">
        <f t="shared" ca="1" si="350"/>
        <v>11</v>
      </c>
      <c r="AP411" s="185" t="str">
        <f t="shared" ca="1" si="350"/>
        <v>2560x1600</v>
      </c>
      <c r="AQ411" s="185">
        <f t="shared" ca="1" si="350"/>
        <v>128</v>
      </c>
      <c r="AR411" s="185">
        <f t="shared" ca="1" si="350"/>
        <v>5.3</v>
      </c>
      <c r="AS411" s="185" t="str">
        <f t="shared" ca="1" si="350"/>
        <v>802.11a/b/g/n/ac/ax</v>
      </c>
      <c r="AT411" s="185">
        <f t="shared" ca="1" si="350"/>
        <v>13</v>
      </c>
      <c r="AU411" s="185" t="str">
        <f t="shared" ca="1" si="350"/>
        <v>EPEAT Bronze (Canada)</v>
      </c>
      <c r="AV411" s="185" t="str">
        <f t="shared" ca="1" si="350"/>
        <v>802.11a/b/g/n/ac/ax</v>
      </c>
      <c r="AW411" s="185">
        <f t="shared" ca="1" si="350"/>
        <v>5.3</v>
      </c>
      <c r="AX411" s="185">
        <f t="shared" ref="AX411:BG420" ca="1" si="351">IFERROR(INDEX(INDIRECT(AX$396&amp;"!$A$10:CC100000"),MATCH($AL411,INDIRECT(AX$396&amp;"!BH$10:BH100000"),0),MATCH(AX$398,INDIRECT(AX$396&amp;"!a10:CC10"),0)),"False")</f>
        <v>13</v>
      </c>
      <c r="AY411" s="185" t="str">
        <f t="shared" ca="1" si="351"/>
        <v>Galaxy Tab S9</v>
      </c>
      <c r="AZ411" s="185">
        <f t="shared" ca="1" si="351"/>
        <v>0</v>
      </c>
      <c r="BA411" s="185" t="str">
        <f t="shared" ca="1" si="351"/>
        <v>Android 13</v>
      </c>
      <c r="BB411" s="185">
        <f t="shared" ca="1" si="351"/>
        <v>5710</v>
      </c>
      <c r="BC411" s="185">
        <f t="shared" ca="1" si="351"/>
        <v>5710</v>
      </c>
      <c r="BD411" s="192" t="str">
        <f t="shared" ca="1" si="351"/>
        <v>UAG METROPOLIS SE</v>
      </c>
      <c r="BE411" s="192" t="str">
        <f t="shared" ca="1" si="351"/>
        <v>Panzerglass</v>
      </c>
      <c r="BF411" s="192" t="str">
        <f t="shared" ca="1" si="351"/>
        <v xml:space="preserve">Samsung </v>
      </c>
      <c r="BG411" s="192" t="str">
        <f t="shared" ca="1" si="351"/>
        <v>Voxicon</v>
      </c>
      <c r="BH411" s="192" t="str">
        <f t="shared" ref="BH411:BV420" ca="1" si="352">IFERROR(INDEX(INDIRECT(BH$396&amp;"!$A$10:CC100000"),MATCH($AL411,INDIRECT(BH$396&amp;"!BH$10:BH100000"),0),MATCH(BH$398,INDIRECT(BH$396&amp;"!a10:CC10"),0)),"False")</f>
        <v>INGÅR</v>
      </c>
      <c r="BI411" s="192">
        <f t="shared" ca="1" si="352"/>
        <v>224339114040</v>
      </c>
      <c r="BJ411" s="192">
        <f t="shared" ca="1" si="352"/>
        <v>7332</v>
      </c>
      <c r="BK411" s="192" t="str">
        <f t="shared" ca="1" si="352"/>
        <v>EP-T1510NBEGEU / EP-TA20EWECGWW</v>
      </c>
      <c r="BL411" s="192" t="str">
        <f t="shared" ca="1" si="352"/>
        <v>DK-199B-G</v>
      </c>
      <c r="BM411" s="192">
        <f t="shared" ca="1" si="352"/>
        <v>0</v>
      </c>
      <c r="BN411" s="192">
        <f t="shared" ca="1" si="352"/>
        <v>419</v>
      </c>
      <c r="BO411" s="192">
        <f t="shared" ca="1" si="352"/>
        <v>269</v>
      </c>
      <c r="BP411" s="192">
        <f t="shared" ca="1" si="352"/>
        <v>111</v>
      </c>
      <c r="BQ411" s="192">
        <f t="shared" ca="1" si="352"/>
        <v>866</v>
      </c>
      <c r="BR411" s="192">
        <f t="shared" ca="1" si="352"/>
        <v>0</v>
      </c>
      <c r="BS411" s="192">
        <f t="shared" ca="1" si="352"/>
        <v>532</v>
      </c>
      <c r="BT411" s="192">
        <f t="shared" ca="1" si="352"/>
        <v>20</v>
      </c>
      <c r="BU411" s="192">
        <f t="shared" ca="1" si="352"/>
        <v>20</v>
      </c>
      <c r="BV411" s="192">
        <f t="shared" ca="1" si="352"/>
        <v>0</v>
      </c>
      <c r="BW411" s="192"/>
      <c r="BX411" s="192"/>
      <c r="BY411" s="192" t="str">
        <f t="shared" ca="1" si="347"/>
        <v>Dustin Sverige AB</v>
      </c>
      <c r="BZ411" s="192" t="str">
        <f t="shared" ca="1" si="347"/>
        <v>Samsung</v>
      </c>
      <c r="CE411" s="101"/>
    </row>
    <row r="412" spans="2:94" ht="30" customHeight="1" outlineLevel="1" x14ac:dyDescent="0.35">
      <c r="B412" s="69" t="s">
        <v>53</v>
      </c>
      <c r="C412" s="115" t="s">
        <v>372</v>
      </c>
      <c r="D412" s="70"/>
      <c r="F412" s="161" t="str">
        <f t="shared" ref="F412:F426" si="353">IF(F$399="Inget antal angivet","",IFERROR(INDEX($AN$400:$BZ$426,MATCH(F$396,$AL$400:$AL$426,0),MATCH($B412,$AN$400:$BZ$400,0)),""))</f>
        <v/>
      </c>
      <c r="G412" s="162">
        <f t="shared" ref="G412:I426" ca="1" si="354">IFERROR(INDEX($AN$400:$BZ$426,MATCH(G$396,$AL$400:$AL$426,0),MATCH($B412,$AN$400:$BZ$400,0)),"")</f>
        <v>325</v>
      </c>
      <c r="H412" s="162">
        <f t="shared" ca="1" si="354"/>
        <v>251</v>
      </c>
      <c r="I412" s="162">
        <f t="shared" ca="1" si="354"/>
        <v>460</v>
      </c>
      <c r="J412" s="62"/>
      <c r="Q412" s="185">
        <f t="shared" si="328"/>
        <v>0</v>
      </c>
      <c r="R412" s="185">
        <f t="shared" si="329"/>
        <v>0</v>
      </c>
      <c r="S412" s="185">
        <f t="shared" si="330"/>
        <v>0</v>
      </c>
      <c r="T412" s="185">
        <f t="shared" si="331"/>
        <v>0</v>
      </c>
      <c r="U412" s="185">
        <f t="shared" si="332"/>
        <v>0</v>
      </c>
      <c r="V412" s="185">
        <f t="shared" si="333"/>
        <v>0</v>
      </c>
      <c r="W412" s="185">
        <f t="shared" si="334"/>
        <v>0</v>
      </c>
      <c r="X412" s="185">
        <f t="shared" si="335"/>
        <v>0</v>
      </c>
      <c r="Y412" s="185">
        <f t="shared" si="336"/>
        <v>0</v>
      </c>
      <c r="Z412" s="196">
        <f t="shared" ca="1" si="337"/>
        <v>10190</v>
      </c>
      <c r="AA412" s="185" t="str">
        <f t="shared" si="338"/>
        <v>Offererad produktnr. 10Dustin Sverige AB</v>
      </c>
      <c r="AB412" s="185" t="b">
        <f>IF(D402="",TRUE,IF(COUNTIF(Processor!$M$2:$M$3,D402)=0,IF(AN412=D402,TRUE,FALSE),IF(COUNTIF(AN412,INDEX(Processor!$N$2:$N$3,MATCH(Surfplattor!D402,Processor!$M$2:$M$3,0)))&gt;0,TRUE,FALSE)))</f>
        <v>1</v>
      </c>
      <c r="AC412" s="185" t="b">
        <f>IF($D$403="",TRUE,IF(COUNTIF(Processor!$I$2:$I$9,$D$403)&gt;0,AND(AO412&gt;INDEX(Processor!$J$2:$J$9,MATCH($D$403,Processor!$I$2:$I$9,0)),AO412&lt;INDEX(Processor!$K$2:$K$9,MATCH($D$403,Processor!$I$2:$I$9,0))),IF(AO412=$D$403,TRUE,FALSE)))</f>
        <v>1</v>
      </c>
      <c r="AD412" s="185" t="b">
        <f t="shared" si="339"/>
        <v>1</v>
      </c>
      <c r="AE412" s="185" t="b">
        <f t="shared" si="340"/>
        <v>1</v>
      </c>
      <c r="AF412" s="185" t="b">
        <f t="shared" si="341"/>
        <v>1</v>
      </c>
      <c r="AG412" s="185" t="b">
        <f t="shared" si="342"/>
        <v>1</v>
      </c>
      <c r="AH412" s="185" t="b">
        <f>IF($D$408="",TRUE,IF(INDEX(Processor!$C$14:$C$20,MATCH(LEFT(AT412,10)&amp;"",Processor!$A$14:$A$20,0))&gt;=INDEX(Processor!$C$14:$C$20,MATCH(LEFT($D$408,10)&amp;"",Processor!$A$14:$A$20,0)),TRUE,FALSE))</f>
        <v>1</v>
      </c>
      <c r="AI412" s="185" t="b">
        <f t="shared" si="343"/>
        <v>1</v>
      </c>
      <c r="AJ412" s="185"/>
      <c r="AK412" s="185"/>
      <c r="AL412" s="185" t="s">
        <v>183</v>
      </c>
      <c r="AM412" s="185">
        <v>1</v>
      </c>
      <c r="AN412" s="185" t="str">
        <f t="shared" ca="1" si="350"/>
        <v>Android 13</v>
      </c>
      <c r="AO412" s="185">
        <f t="shared" ca="1" si="350"/>
        <v>12.4</v>
      </c>
      <c r="AP412" s="185" t="str">
        <f t="shared" ca="1" si="350"/>
        <v>2800x1752</v>
      </c>
      <c r="AQ412" s="185">
        <f t="shared" ca="1" si="350"/>
        <v>256</v>
      </c>
      <c r="AR412" s="185">
        <f t="shared" ca="1" si="350"/>
        <v>5.3</v>
      </c>
      <c r="AS412" s="185" t="str">
        <f t="shared" ca="1" si="350"/>
        <v>802.11a/b/g/n/ac/ax</v>
      </c>
      <c r="AT412" s="185">
        <f t="shared" ca="1" si="350"/>
        <v>13</v>
      </c>
      <c r="AU412" s="185" t="str">
        <f t="shared" ca="1" si="350"/>
        <v>EPEAT Bronze (Canada)</v>
      </c>
      <c r="AV412" s="185" t="str">
        <f t="shared" ca="1" si="350"/>
        <v>802.11a/b/g/n/ac/ax</v>
      </c>
      <c r="AW412" s="185">
        <f t="shared" ca="1" si="350"/>
        <v>5.3</v>
      </c>
      <c r="AX412" s="185">
        <f t="shared" ca="1" si="351"/>
        <v>13</v>
      </c>
      <c r="AY412" s="185" t="str">
        <f t="shared" ca="1" si="351"/>
        <v>Galaxy Tab S9+</v>
      </c>
      <c r="AZ412" s="185">
        <f t="shared" ca="1" si="351"/>
        <v>0</v>
      </c>
      <c r="BA412" s="185" t="str">
        <f t="shared" ca="1" si="351"/>
        <v>Android 13</v>
      </c>
      <c r="BB412" s="185">
        <f t="shared" ca="1" si="351"/>
        <v>10190</v>
      </c>
      <c r="BC412" s="185">
        <f t="shared" ca="1" si="351"/>
        <v>10190</v>
      </c>
      <c r="BD412" s="192" t="str">
        <f t="shared" ca="1" si="351"/>
        <v>Targus</v>
      </c>
      <c r="BE412" s="192" t="str">
        <f t="shared" ca="1" si="351"/>
        <v>Panzerglass</v>
      </c>
      <c r="BF412" s="192" t="str">
        <f t="shared" ca="1" si="351"/>
        <v>Samsung</v>
      </c>
      <c r="BG412" s="192" t="str">
        <f t="shared" ca="1" si="351"/>
        <v>Voxicon</v>
      </c>
      <c r="BH412" s="192" t="str">
        <f t="shared" ca="1" si="352"/>
        <v>INGÅR</v>
      </c>
      <c r="BI412" s="192" t="str">
        <f t="shared" ca="1" si="352"/>
        <v>THZ904GL </v>
      </c>
      <c r="BJ412" s="192">
        <f t="shared" ca="1" si="352"/>
        <v>7242</v>
      </c>
      <c r="BK412" s="192" t="str">
        <f t="shared" ca="1" si="352"/>
        <v>EP-T1510NBEGEU / EP-TA20EWECGWW</v>
      </c>
      <c r="BL412" s="192" t="str">
        <f t="shared" ca="1" si="352"/>
        <v>DK-199B-G</v>
      </c>
      <c r="BM412" s="192">
        <f t="shared" ca="1" si="352"/>
        <v>0</v>
      </c>
      <c r="BN412" s="192">
        <f t="shared" ca="1" si="352"/>
        <v>279</v>
      </c>
      <c r="BO412" s="192">
        <f t="shared" ca="1" si="352"/>
        <v>206</v>
      </c>
      <c r="BP412" s="192">
        <f t="shared" ca="1" si="352"/>
        <v>111</v>
      </c>
      <c r="BQ412" s="192">
        <f t="shared" ca="1" si="352"/>
        <v>979</v>
      </c>
      <c r="BR412" s="192">
        <f t="shared" ca="1" si="352"/>
        <v>0</v>
      </c>
      <c r="BS412" s="192">
        <f t="shared" ca="1" si="352"/>
        <v>532</v>
      </c>
      <c r="BT412" s="192">
        <f t="shared" ca="1" si="352"/>
        <v>20</v>
      </c>
      <c r="BU412" s="192">
        <f t="shared" ca="1" si="352"/>
        <v>20</v>
      </c>
      <c r="BV412" s="192">
        <f t="shared" ca="1" si="352"/>
        <v>0</v>
      </c>
      <c r="BW412" s="192"/>
      <c r="BX412" s="192"/>
      <c r="BY412" s="192" t="str">
        <f t="shared" ca="1" si="347"/>
        <v>Dustin Sverige AB</v>
      </c>
      <c r="BZ412" s="192" t="str">
        <f t="shared" ca="1" si="347"/>
        <v>Samsung</v>
      </c>
      <c r="CE412" s="101"/>
    </row>
    <row r="413" spans="2:94" ht="30" customHeight="1" outlineLevel="1" x14ac:dyDescent="0.35">
      <c r="B413" s="69" t="s">
        <v>340</v>
      </c>
      <c r="C413" s="96" t="s">
        <v>51</v>
      </c>
      <c r="D413" s="131" t="str">
        <f>IF("Ska Ingå"=D412,"Ska Ingå","")</f>
        <v/>
      </c>
      <c r="F413" s="84" t="str">
        <f t="shared" si="353"/>
        <v/>
      </c>
      <c r="G413" s="85" t="str">
        <f t="shared" ca="1" si="354"/>
        <v>Phonelife</v>
      </c>
      <c r="H413" s="85" t="str">
        <f t="shared" ca="1" si="354"/>
        <v>eSTUFF</v>
      </c>
      <c r="I413" s="85" t="str">
        <f t="shared" ca="1" si="354"/>
        <v>Otterbox Defender Series</v>
      </c>
      <c r="J413" s="62"/>
      <c r="Q413" s="185">
        <f t="shared" si="328"/>
        <v>0</v>
      </c>
      <c r="R413" s="185">
        <f t="shared" si="329"/>
        <v>0</v>
      </c>
      <c r="S413" s="185">
        <f t="shared" si="330"/>
        <v>0</v>
      </c>
      <c r="T413" s="185">
        <f t="shared" si="331"/>
        <v>0</v>
      </c>
      <c r="U413" s="185">
        <f t="shared" si="332"/>
        <v>0</v>
      </c>
      <c r="V413" s="185">
        <f t="shared" si="333"/>
        <v>0</v>
      </c>
      <c r="W413" s="185">
        <f t="shared" si="334"/>
        <v>0</v>
      </c>
      <c r="X413" s="185">
        <f t="shared" si="335"/>
        <v>0</v>
      </c>
      <c r="Y413" s="185">
        <f t="shared" si="336"/>
        <v>0</v>
      </c>
      <c r="Z413" s="196">
        <f t="shared" ca="1" si="337"/>
        <v>4068</v>
      </c>
      <c r="AA413" s="185" t="str">
        <f t="shared" si="338"/>
        <v>Offererad produktnr. 07Foxway Education AB</v>
      </c>
      <c r="AB413" s="185" t="b">
        <f>IF(D402="",TRUE,IF(COUNTIF(Processor!$M$2:$M$3,D402)=0,IF(AN413=D402,TRUE,FALSE),IF(COUNTIF(AN413,INDEX(Processor!$N$2:$N$3,MATCH(Surfplattor!D402,Processor!$M$2:$M$3,0)))&gt;0,TRUE,FALSE)))</f>
        <v>1</v>
      </c>
      <c r="AC413" s="185" t="b">
        <f>IF($D$403="",TRUE,IF(COUNTIF(Processor!$I$2:$I$9,$D$403)&gt;0,AND(AO413&gt;INDEX(Processor!$J$2:$J$9,MATCH($D$403,Processor!$I$2:$I$9,0)),AO413&lt;INDEX(Processor!$K$2:$K$9,MATCH($D$403,Processor!$I$2:$I$9,0))),IF(AO413=$D$403,TRUE,FALSE)))</f>
        <v>1</v>
      </c>
      <c r="AD413" s="185" t="b">
        <f t="shared" si="339"/>
        <v>1</v>
      </c>
      <c r="AE413" s="185" t="b">
        <f t="shared" si="340"/>
        <v>1</v>
      </c>
      <c r="AF413" s="185" t="b">
        <f t="shared" si="341"/>
        <v>1</v>
      </c>
      <c r="AG413" s="185" t="b">
        <f t="shared" si="342"/>
        <v>1</v>
      </c>
      <c r="AH413" s="185" t="b">
        <f>IF($D$408="",TRUE,IF(INDEX(Processor!$C$14:$C$20,MATCH(LEFT(AT413,10)&amp;"",Processor!$A$14:$A$20,0))&gt;=INDEX(Processor!$C$14:$C$20,MATCH(LEFT($D$408,10)&amp;"",Processor!$A$14:$A$20,0)),TRUE,FALSE))</f>
        <v>1</v>
      </c>
      <c r="AI413" s="185" t="b">
        <f t="shared" si="343"/>
        <v>1</v>
      </c>
      <c r="AJ413" s="185"/>
      <c r="AK413" s="185"/>
      <c r="AL413" s="185" t="s">
        <v>216</v>
      </c>
      <c r="AM413" s="185">
        <v>1</v>
      </c>
      <c r="AN413" s="185" t="str">
        <f t="shared" ca="1" si="350"/>
        <v>iPadOS 15</v>
      </c>
      <c r="AO413" s="185">
        <f t="shared" ca="1" si="350"/>
        <v>10.199999999999999</v>
      </c>
      <c r="AP413" s="185" t="str">
        <f t="shared" ca="1" si="350"/>
        <v>2160x1620</v>
      </c>
      <c r="AQ413" s="185">
        <f t="shared" ca="1" si="350"/>
        <v>64</v>
      </c>
      <c r="AR413" s="185">
        <f t="shared" ca="1" si="350"/>
        <v>4.2</v>
      </c>
      <c r="AS413" s="185" t="str">
        <f t="shared" ca="1" si="350"/>
        <v>802.11a/b/g/n/ac</v>
      </c>
      <c r="AT413" s="185">
        <f t="shared" ca="1" si="350"/>
        <v>10</v>
      </c>
      <c r="AU413" s="185" t="str">
        <f t="shared" ca="1" si="350"/>
        <v>EPEAT Gold</v>
      </c>
      <c r="AV413" s="185" t="str">
        <f t="shared" ca="1" si="350"/>
        <v>802.11a/b/g/n/ac</v>
      </c>
      <c r="AW413" s="185">
        <f t="shared" ca="1" si="350"/>
        <v>4.2</v>
      </c>
      <c r="AX413" s="185">
        <f t="shared" ca="1" si="351"/>
        <v>10</v>
      </c>
      <c r="AY413" s="185" t="str">
        <f t="shared" ca="1" si="351"/>
        <v>10.2-inch (9th-gen) iPad Wi-Fi 64GB</v>
      </c>
      <c r="AZ413" s="185">
        <f t="shared" ca="1" si="351"/>
        <v>0</v>
      </c>
      <c r="BA413" s="185" t="str">
        <f t="shared" ca="1" si="351"/>
        <v>iPadOS 15</v>
      </c>
      <c r="BB413" s="185">
        <f t="shared" ca="1" si="351"/>
        <v>4068</v>
      </c>
      <c r="BC413" s="185">
        <f t="shared" ca="1" si="351"/>
        <v>4068</v>
      </c>
      <c r="BD413" s="192" t="str">
        <f t="shared" ca="1" si="351"/>
        <v>Targus</v>
      </c>
      <c r="BE413" s="192" t="str">
        <f t="shared" ca="1" si="351"/>
        <v>Screenor</v>
      </c>
      <c r="BF413" s="192" t="str">
        <f t="shared" ca="1" si="351"/>
        <v>Apple</v>
      </c>
      <c r="BG413" s="192" t="str">
        <f t="shared" ca="1" si="351"/>
        <v>Deltaco</v>
      </c>
      <c r="BH413" s="192" t="str">
        <f t="shared" ca="1" si="352"/>
        <v>Apple</v>
      </c>
      <c r="BI413" s="192" t="str">
        <f t="shared" ca="1" si="352"/>
        <v>Targus SafePORT Rugged</v>
      </c>
      <c r="BJ413" s="192" t="str">
        <f t="shared" ca="1" si="352"/>
        <v>SCREENOR TEMPERED IPAD 10.2</v>
      </c>
      <c r="BK413" s="192" t="str">
        <f t="shared" ca="1" si="352"/>
        <v>Laddkit iPad</v>
      </c>
      <c r="BL413" s="192" t="str">
        <f t="shared" ca="1" si="352"/>
        <v>DELTACO trådlöst minitangentbord, 78 tangenter, Bluetooth, nordisk layout, dämpade tangenter, svart</v>
      </c>
      <c r="BM413" s="192" t="str">
        <f t="shared" ca="1" si="352"/>
        <v>Apple Pencil</v>
      </c>
      <c r="BN413" s="192">
        <f t="shared" ca="1" si="352"/>
        <v>210</v>
      </c>
      <c r="BO413" s="192">
        <f t="shared" ca="1" si="352"/>
        <v>240</v>
      </c>
      <c r="BP413" s="192">
        <f t="shared" ca="1" si="352"/>
        <v>372</v>
      </c>
      <c r="BQ413" s="192">
        <f t="shared" ca="1" si="352"/>
        <v>156</v>
      </c>
      <c r="BR413" s="192">
        <f t="shared" ca="1" si="352"/>
        <v>1080</v>
      </c>
      <c r="BS413" s="192">
        <f t="shared" ca="1" si="352"/>
        <v>480</v>
      </c>
      <c r="BT413" s="192">
        <f t="shared" ca="1" si="352"/>
        <v>60</v>
      </c>
      <c r="BU413" s="192">
        <f t="shared" ca="1" si="352"/>
        <v>50</v>
      </c>
      <c r="BV413" s="192">
        <f t="shared" ca="1" si="352"/>
        <v>0</v>
      </c>
      <c r="BW413" s="192"/>
      <c r="BX413" s="192"/>
      <c r="BY413" s="192" t="str">
        <f t="shared" ca="1" si="347"/>
        <v>Foxway Education AB</v>
      </c>
      <c r="BZ413" s="192" t="str">
        <f t="shared" ca="1" si="347"/>
        <v>Apple</v>
      </c>
      <c r="CB413" s="63"/>
      <c r="CC413" s="63"/>
      <c r="CD413" s="63"/>
      <c r="CE413" s="102"/>
      <c r="CF413" s="63"/>
      <c r="CG413" s="63"/>
      <c r="CH413" s="63"/>
      <c r="CI413" s="63"/>
      <c r="CJ413" s="63"/>
      <c r="CK413" s="63"/>
      <c r="CL413" s="63"/>
      <c r="CM413" s="63"/>
      <c r="CN413" s="63"/>
      <c r="CO413" s="63"/>
      <c r="CP413" s="63"/>
    </row>
    <row r="414" spans="2:94" ht="67.5" customHeight="1" outlineLevel="1" x14ac:dyDescent="0.35">
      <c r="B414" s="69" t="s">
        <v>345</v>
      </c>
      <c r="C414" s="97" t="s">
        <v>52</v>
      </c>
      <c r="D414" s="132" t="str">
        <f>IF("Ska Ingå"=D412,"Ska Ingå","")</f>
        <v/>
      </c>
      <c r="F414" s="86" t="str">
        <f t="shared" si="353"/>
        <v/>
      </c>
      <c r="G414" s="87" t="str">
        <f t="shared" ca="1" si="354"/>
        <v>GBXRUGGEDLENTAB-V1</v>
      </c>
      <c r="H414" s="87" t="str">
        <f t="shared" ca="1" si="354"/>
        <v>ES685307-BULK - Vikbart fodral för surfplatta - polyuretan, polykarbonat, konstläder, mikrofiber - svart - för Lenovo Tab M10 (3rd Gen)</v>
      </c>
      <c r="I414" s="87" t="str">
        <f t="shared" ca="1" si="354"/>
        <v>GBX77-62032</v>
      </c>
      <c r="J414" s="62"/>
      <c r="Q414" s="185">
        <f t="shared" si="328"/>
        <v>0</v>
      </c>
      <c r="R414" s="185">
        <f t="shared" si="329"/>
        <v>0</v>
      </c>
      <c r="S414" s="185">
        <f t="shared" si="330"/>
        <v>0</v>
      </c>
      <c r="T414" s="185">
        <f t="shared" si="331"/>
        <v>0</v>
      </c>
      <c r="U414" s="185">
        <f t="shared" si="332"/>
        <v>0</v>
      </c>
      <c r="V414" s="185">
        <f t="shared" si="333"/>
        <v>0</v>
      </c>
      <c r="W414" s="185">
        <f t="shared" si="334"/>
        <v>0</v>
      </c>
      <c r="X414" s="185">
        <f t="shared" si="335"/>
        <v>0</v>
      </c>
      <c r="Y414" s="185">
        <f t="shared" si="336"/>
        <v>0</v>
      </c>
      <c r="Z414" s="196">
        <f t="shared" ca="1" si="337"/>
        <v>3894</v>
      </c>
      <c r="AA414" s="185" t="str">
        <f t="shared" si="338"/>
        <v>Offererad produktnr. 08Foxway Education AB</v>
      </c>
      <c r="AB414" s="185" t="b">
        <f>IF(D402="",TRUE,IF(COUNTIF(Processor!$M$2:$M$3,D402)=0,IF(AN414=D402,TRUE,FALSE),IF(COUNTIF(AN414,INDEX(Processor!$N$2:$N$3,MATCH(Surfplattor!D402,Processor!$M$2:$M$3,0)))&gt;0,TRUE,FALSE)))</f>
        <v>1</v>
      </c>
      <c r="AC414" s="185" t="b">
        <f>IF($D$403="",TRUE,IF(COUNTIF(Processor!$I$2:$I$9,$D$403)&gt;0,AND(AO414&gt;INDEX(Processor!$J$2:$J$9,MATCH($D$403,Processor!$I$2:$I$9,0)),AO414&lt;INDEX(Processor!$K$2:$K$9,MATCH($D$403,Processor!$I$2:$I$9,0))),IF(AO414=$D$403,TRUE,FALSE)))</f>
        <v>1</v>
      </c>
      <c r="AD414" s="185" t="b">
        <f t="shared" si="339"/>
        <v>1</v>
      </c>
      <c r="AE414" s="185" t="b">
        <f t="shared" si="340"/>
        <v>1</v>
      </c>
      <c r="AF414" s="185" t="b">
        <f t="shared" si="341"/>
        <v>1</v>
      </c>
      <c r="AG414" s="185" t="b">
        <f t="shared" si="342"/>
        <v>1</v>
      </c>
      <c r="AH414" s="185" t="b">
        <f>IF($D$408="",TRUE,IF(INDEX(Processor!$C$14:$C$20,MATCH(LEFT(AT414,10)&amp;"",Processor!$A$14:$A$20,0))&gt;=INDEX(Processor!$C$14:$C$20,MATCH(LEFT($D$408,10)&amp;"",Processor!$A$14:$A$20,0)),TRUE,FALSE))</f>
        <v>1</v>
      </c>
      <c r="AI414" s="185" t="b">
        <f t="shared" si="343"/>
        <v>1</v>
      </c>
      <c r="AJ414" s="185"/>
      <c r="AK414" s="185"/>
      <c r="AL414" s="185" t="s">
        <v>217</v>
      </c>
      <c r="AM414" s="185">
        <v>1</v>
      </c>
      <c r="AN414" s="185" t="str">
        <f t="shared" ca="1" si="350"/>
        <v>Android 11</v>
      </c>
      <c r="AO414" s="185">
        <f t="shared" ca="1" si="350"/>
        <v>10.4</v>
      </c>
      <c r="AP414" s="185" t="str">
        <f t="shared" ca="1" si="350"/>
        <v>2000x1200</v>
      </c>
      <c r="AQ414" s="185">
        <f t="shared" ca="1" si="350"/>
        <v>64</v>
      </c>
      <c r="AR414" s="185">
        <f t="shared" ca="1" si="350"/>
        <v>5</v>
      </c>
      <c r="AS414" s="185" t="str">
        <f t="shared" ca="1" si="350"/>
        <v>802.11a/b/g/n/ac</v>
      </c>
      <c r="AT414" s="185">
        <f t="shared" ca="1" si="350"/>
        <v>12</v>
      </c>
      <c r="AU414" s="185" t="str">
        <f t="shared" ca="1" si="350"/>
        <v>Epeat Bronze</v>
      </c>
      <c r="AV414" s="185" t="str">
        <f t="shared" ca="1" si="350"/>
        <v>802.11a/b/g/n/ac</v>
      </c>
      <c r="AW414" s="185">
        <f t="shared" ca="1" si="350"/>
        <v>5</v>
      </c>
      <c r="AX414" s="185">
        <f t="shared" ca="1" si="351"/>
        <v>12</v>
      </c>
      <c r="AY414" s="185" t="str">
        <f t="shared" ca="1" si="351"/>
        <v>Galaxy Tab S6 Lite WiFi (64GB)</v>
      </c>
      <c r="AZ414" s="185">
        <f t="shared" ca="1" si="351"/>
        <v>0</v>
      </c>
      <c r="BA414" s="185" t="str">
        <f t="shared" ca="1" si="351"/>
        <v>Android 11</v>
      </c>
      <c r="BB414" s="185">
        <f t="shared" ca="1" si="351"/>
        <v>3894</v>
      </c>
      <c r="BC414" s="185">
        <f t="shared" ca="1" si="351"/>
        <v>3894</v>
      </c>
      <c r="BD414" s="192" t="str">
        <f t="shared" ca="1" si="351"/>
        <v>Tolerate</v>
      </c>
      <c r="BE414" s="192" t="str">
        <f t="shared" ca="1" si="351"/>
        <v xml:space="preserve">Insmat </v>
      </c>
      <c r="BF414" s="192" t="str">
        <f t="shared" ca="1" si="351"/>
        <v>Samsung</v>
      </c>
      <c r="BG414" s="192" t="str">
        <f t="shared" ca="1" si="351"/>
        <v>Deltaco</v>
      </c>
      <c r="BH414" s="192" t="str">
        <f t="shared" ca="1" si="352"/>
        <v>Samsung</v>
      </c>
      <c r="BI414" s="192" t="str">
        <f t="shared" ca="1" si="352"/>
        <v xml:space="preserve">TOLERATE ARMOR FOLIO SAMSUNG TAB S6 LITE BLACK </v>
      </c>
      <c r="BJ414" s="192" t="str">
        <f t="shared" ca="1" si="352"/>
        <v>Insmat Brilliant</v>
      </c>
      <c r="BK414" s="192" t="str">
        <f t="shared" ca="1" si="352"/>
        <v>SAMSUNG FAST TRAVEL CHARGER USB-C BLACK</v>
      </c>
      <c r="BL414" s="192" t="str">
        <f t="shared" ca="1" si="352"/>
        <v>DELTACO trådlöst minitangentbord, 78 tangenter, Bluetooth, nordisk layout, dämpade tangenter, svart</v>
      </c>
      <c r="BM414" s="192" t="str">
        <f t="shared" ca="1" si="352"/>
        <v xml:space="preserve">SAMSUNG S-PEN GALAXY TAB S6 LITE GREY </v>
      </c>
      <c r="BN414" s="192">
        <f t="shared" ca="1" si="352"/>
        <v>350</v>
      </c>
      <c r="BO414" s="192">
        <f t="shared" ca="1" si="352"/>
        <v>165</v>
      </c>
      <c r="BP414" s="192">
        <f t="shared" ca="1" si="352"/>
        <v>114</v>
      </c>
      <c r="BQ414" s="192">
        <f t="shared" ca="1" si="352"/>
        <v>156</v>
      </c>
      <c r="BR414" s="192">
        <f t="shared" ca="1" si="352"/>
        <v>306</v>
      </c>
      <c r="BS414" s="192">
        <f t="shared" ca="1" si="352"/>
        <v>1</v>
      </c>
      <c r="BT414" s="192">
        <f t="shared" ca="1" si="352"/>
        <v>60</v>
      </c>
      <c r="BU414" s="192">
        <f t="shared" ca="1" si="352"/>
        <v>50</v>
      </c>
      <c r="BV414" s="192">
        <f t="shared" ca="1" si="352"/>
        <v>0</v>
      </c>
      <c r="BW414" s="192"/>
      <c r="BX414" s="192"/>
      <c r="BY414" s="192" t="str">
        <f t="shared" ca="1" si="347"/>
        <v>Foxway Education AB</v>
      </c>
      <c r="BZ414" s="192" t="str">
        <f t="shared" ca="1" si="347"/>
        <v>Samsung</v>
      </c>
      <c r="CA414" s="63"/>
      <c r="CB414" s="63"/>
      <c r="CC414" s="63"/>
      <c r="CD414" s="63"/>
      <c r="CE414" s="63"/>
      <c r="CF414" s="63"/>
      <c r="CG414" s="63"/>
      <c r="CH414" s="63"/>
      <c r="CI414" s="63"/>
      <c r="CJ414" s="63"/>
      <c r="CK414" s="63"/>
      <c r="CL414" s="63"/>
      <c r="CM414" s="63"/>
      <c r="CN414" s="63"/>
    </row>
    <row r="415" spans="2:94" ht="30" customHeight="1" outlineLevel="1" x14ac:dyDescent="0.35">
      <c r="B415" s="69" t="s">
        <v>54</v>
      </c>
      <c r="C415" s="98" t="s">
        <v>373</v>
      </c>
      <c r="D415" s="70"/>
      <c r="F415" s="157" t="str">
        <f t="shared" si="353"/>
        <v/>
      </c>
      <c r="G415" s="158">
        <f t="shared" ca="1" si="354"/>
        <v>180</v>
      </c>
      <c r="H415" s="158">
        <f t="shared" ca="1" si="354"/>
        <v>251</v>
      </c>
      <c r="I415" s="158">
        <f t="shared" ca="1" si="354"/>
        <v>189</v>
      </c>
      <c r="J415" s="62"/>
      <c r="Q415" s="185">
        <f t="shared" si="328"/>
        <v>0</v>
      </c>
      <c r="R415" s="185">
        <f t="shared" si="329"/>
        <v>0</v>
      </c>
      <c r="S415" s="185">
        <f t="shared" si="330"/>
        <v>0</v>
      </c>
      <c r="T415" s="185">
        <f t="shared" si="331"/>
        <v>0</v>
      </c>
      <c r="U415" s="185">
        <f t="shared" si="332"/>
        <v>0</v>
      </c>
      <c r="V415" s="185">
        <f t="shared" si="333"/>
        <v>0</v>
      </c>
      <c r="W415" s="185">
        <f t="shared" si="334"/>
        <v>0</v>
      </c>
      <c r="X415" s="185">
        <f t="shared" si="335"/>
        <v>0</v>
      </c>
      <c r="Y415" s="185">
        <f t="shared" si="336"/>
        <v>0</v>
      </c>
      <c r="Z415" s="196">
        <f t="shared" ca="1" si="337"/>
        <v>7350</v>
      </c>
      <c r="AA415" s="185" t="str">
        <f t="shared" si="338"/>
        <v>Offererad produktnr. 09Foxway Education AB</v>
      </c>
      <c r="AB415" s="185" t="b">
        <f>IF(D402="",TRUE,IF(COUNTIF(Processor!$M$2:$M$3,D402)=0,IF(AN415=D402,TRUE,FALSE),IF(COUNTIF(AN415,INDEX(Processor!$N$2:$N$3,MATCH(Surfplattor!D402,Processor!$M$2:$M$3,0)))&gt;0,TRUE,FALSE)))</f>
        <v>1</v>
      </c>
      <c r="AC415" s="185" t="b">
        <f>IF($D$403="",TRUE,IF(COUNTIF(Processor!$I$2:$I$9,$D$403)&gt;0,AND(AO415&gt;INDEX(Processor!$J$2:$J$9,MATCH($D$403,Processor!$I$2:$I$9,0)),AO415&lt;INDEX(Processor!$K$2:$K$9,MATCH($D$403,Processor!$I$2:$I$9,0))),IF(AO415=$D$403,TRUE,FALSE)))</f>
        <v>1</v>
      </c>
      <c r="AD415" s="185" t="b">
        <f t="shared" si="339"/>
        <v>1</v>
      </c>
      <c r="AE415" s="185" t="b">
        <f t="shared" si="340"/>
        <v>1</v>
      </c>
      <c r="AF415" s="185" t="b">
        <f t="shared" si="341"/>
        <v>1</v>
      </c>
      <c r="AG415" s="185" t="b">
        <f t="shared" si="342"/>
        <v>1</v>
      </c>
      <c r="AH415" s="185" t="b">
        <f>IF($D$408="",TRUE,IF(INDEX(Processor!$C$14:$C$20,MATCH(LEFT(AT415,10)&amp;"",Processor!$A$14:$A$20,0))&gt;=INDEX(Processor!$C$14:$C$20,MATCH(LEFT($D$408,10)&amp;"",Processor!$A$14:$A$20,0)),TRUE,FALSE))</f>
        <v>1</v>
      </c>
      <c r="AI415" s="185" t="b">
        <f t="shared" si="343"/>
        <v>1</v>
      </c>
      <c r="AJ415" s="185"/>
      <c r="AK415" s="185"/>
      <c r="AL415" s="185" t="s">
        <v>218</v>
      </c>
      <c r="AM415" s="185">
        <v>1</v>
      </c>
      <c r="AN415" s="185" t="str">
        <f t="shared" ca="1" si="350"/>
        <v>Android 11</v>
      </c>
      <c r="AO415" s="185">
        <f t="shared" ca="1" si="350"/>
        <v>11</v>
      </c>
      <c r="AP415" s="185" t="str">
        <f t="shared" ca="1" si="350"/>
        <v>2560x1600</v>
      </c>
      <c r="AQ415" s="185">
        <f t="shared" ca="1" si="350"/>
        <v>128</v>
      </c>
      <c r="AR415" s="185">
        <f t="shared" ca="1" si="350"/>
        <v>5</v>
      </c>
      <c r="AS415" s="185" t="str">
        <f t="shared" ca="1" si="350"/>
        <v>802.11a/b/g/n/ac/ax</v>
      </c>
      <c r="AT415" s="185">
        <f t="shared" ca="1" si="350"/>
        <v>13</v>
      </c>
      <c r="AU415" s="185" t="str">
        <f t="shared" ca="1" si="350"/>
        <v>Epeat Bronze</v>
      </c>
      <c r="AV415" s="185" t="str">
        <f t="shared" ca="1" si="350"/>
        <v>802.11a/b/g/n/ac/ax</v>
      </c>
      <c r="AW415" s="185">
        <f t="shared" ca="1" si="350"/>
        <v>5</v>
      </c>
      <c r="AX415" s="185">
        <f t="shared" ca="1" si="351"/>
        <v>13</v>
      </c>
      <c r="AY415" s="185" t="str">
        <f t="shared" ca="1" si="351"/>
        <v>Galaxy Tab S8 Wifi (128GB)</v>
      </c>
      <c r="AZ415" s="185">
        <f t="shared" ca="1" si="351"/>
        <v>0</v>
      </c>
      <c r="BA415" s="185" t="str">
        <f t="shared" ca="1" si="351"/>
        <v>Android 11</v>
      </c>
      <c r="BB415" s="185">
        <f t="shared" ca="1" si="351"/>
        <v>7350</v>
      </c>
      <c r="BC415" s="185">
        <f t="shared" ca="1" si="351"/>
        <v>7350</v>
      </c>
      <c r="BD415" s="192" t="str">
        <f t="shared" ca="1" si="351"/>
        <v>Insmat</v>
      </c>
      <c r="BE415" s="192" t="str">
        <f t="shared" ca="1" si="351"/>
        <v>Tolerate</v>
      </c>
      <c r="BF415" s="192" t="str">
        <f t="shared" ca="1" si="351"/>
        <v>Samsung</v>
      </c>
      <c r="BG415" s="192" t="str">
        <f t="shared" ca="1" si="351"/>
        <v>Deltaco</v>
      </c>
      <c r="BH415" s="192" t="str">
        <f t="shared" ca="1" si="352"/>
        <v>Samsung</v>
      </c>
      <c r="BI415" s="192" t="str">
        <f t="shared" ca="1" si="352"/>
        <v>Insmat Rugged Armor S8</v>
      </c>
      <c r="BJ415" s="192" t="str">
        <f t="shared" ca="1" si="352"/>
        <v>TOLERATE GLASS SCREEN PROTECTOR SAMSUNG TAB S8</v>
      </c>
      <c r="BK415" s="192" t="str">
        <f t="shared" ca="1" si="352"/>
        <v>SAMSUNG FAST TRAVEL CHARGER USB-C BLACK</v>
      </c>
      <c r="BL415" s="192" t="str">
        <f t="shared" ca="1" si="352"/>
        <v>DELTACO trådlöst minitangentbord, 78 tangenter, Bluetooth, nordisk layout, dämpade tangenter, svart</v>
      </c>
      <c r="BM415" s="192" t="str">
        <f t="shared" ca="1" si="352"/>
        <v>SAMSUNG S-PEN GALAXY TAB S7</v>
      </c>
      <c r="BN415" s="192">
        <f t="shared" ca="1" si="352"/>
        <v>340</v>
      </c>
      <c r="BO415" s="185">
        <f t="shared" ca="1" si="352"/>
        <v>205</v>
      </c>
      <c r="BP415" s="192">
        <f t="shared" ca="1" si="352"/>
        <v>114</v>
      </c>
      <c r="BQ415" s="192">
        <f t="shared" ca="1" si="352"/>
        <v>156</v>
      </c>
      <c r="BR415" s="192">
        <f t="shared" ca="1" si="352"/>
        <v>360</v>
      </c>
      <c r="BS415" s="185">
        <f t="shared" ca="1" si="352"/>
        <v>1</v>
      </c>
      <c r="BT415" s="185">
        <f t="shared" ca="1" si="352"/>
        <v>60</v>
      </c>
      <c r="BU415" s="185">
        <f t="shared" ca="1" si="352"/>
        <v>50</v>
      </c>
      <c r="BV415" s="185">
        <f t="shared" ca="1" si="352"/>
        <v>0</v>
      </c>
      <c r="BW415" s="185"/>
      <c r="BX415" s="185"/>
      <c r="BY415" s="185" t="str">
        <f t="shared" ca="1" si="347"/>
        <v>Foxway Education AB</v>
      </c>
      <c r="BZ415" s="185" t="str">
        <f t="shared" ca="1" si="347"/>
        <v>Samsung</v>
      </c>
      <c r="CA415" s="63"/>
      <c r="CB415" s="63"/>
      <c r="CC415" s="63"/>
      <c r="CD415" s="63"/>
      <c r="CE415" s="63"/>
      <c r="CF415" s="63"/>
      <c r="CG415" s="63"/>
      <c r="CH415" s="63"/>
      <c r="CI415" s="63"/>
      <c r="CJ415" s="63"/>
      <c r="CK415" s="63"/>
      <c r="CL415" s="63"/>
      <c r="CM415" s="63"/>
      <c r="CN415" s="63"/>
    </row>
    <row r="416" spans="2:94" ht="30" customHeight="1" outlineLevel="1" x14ac:dyDescent="0.35">
      <c r="B416" s="69" t="s">
        <v>341</v>
      </c>
      <c r="C416" s="61" t="s">
        <v>51</v>
      </c>
      <c r="D416" s="131" t="str">
        <f>IF("Ska Ingå"=D415,"Ska Ingå","")</f>
        <v/>
      </c>
      <c r="F416" s="88" t="str">
        <f t="shared" si="353"/>
        <v/>
      </c>
      <c r="G416" s="89" t="str">
        <f t="shared" ca="1" si="354"/>
        <v>Lenovo</v>
      </c>
      <c r="H416" s="89" t="str">
        <f t="shared" ca="1" si="354"/>
        <v>eSTUFF</v>
      </c>
      <c r="I416" s="89" t="str">
        <f t="shared" ca="1" si="354"/>
        <v>ZAGG</v>
      </c>
      <c r="J416" s="62"/>
      <c r="Q416" s="185">
        <f t="shared" si="328"/>
        <v>0</v>
      </c>
      <c r="R416" s="185">
        <f t="shared" si="329"/>
        <v>0</v>
      </c>
      <c r="S416" s="185">
        <f t="shared" si="330"/>
        <v>0</v>
      </c>
      <c r="T416" s="185">
        <f t="shared" si="331"/>
        <v>0</v>
      </c>
      <c r="U416" s="185">
        <f t="shared" si="332"/>
        <v>0</v>
      </c>
      <c r="V416" s="185">
        <f t="shared" si="333"/>
        <v>0</v>
      </c>
      <c r="W416" s="185">
        <f t="shared" si="334"/>
        <v>0</v>
      </c>
      <c r="X416" s="185">
        <f t="shared" si="335"/>
        <v>0</v>
      </c>
      <c r="Y416" s="185">
        <f t="shared" si="336"/>
        <v>0</v>
      </c>
      <c r="Z416" s="196">
        <f t="shared" ca="1" si="337"/>
        <v>5256</v>
      </c>
      <c r="AA416" s="185" t="str">
        <f t="shared" si="338"/>
        <v>Offererad produktnr. 10Foxway Education AB</v>
      </c>
      <c r="AB416" s="185" t="b">
        <f>IF(D402="",TRUE,IF(COUNTIF(Processor!$M$2:$M$3,D402)=0,IF(AN416=D402,TRUE,FALSE),IF(COUNTIF(AN416,INDEX(Processor!$N$2:$N$3,MATCH(Surfplattor!D402,Processor!$M$2:$M$3,0)))&gt;0,TRUE,FALSE)))</f>
        <v>1</v>
      </c>
      <c r="AC416" s="185" t="b">
        <f>IF($D$403="",TRUE,IF(COUNTIF(Processor!$I$2:$I$9,$D$403)&gt;0,AND(AO416&gt;INDEX(Processor!$J$2:$J$9,MATCH($D$403,Processor!$I$2:$I$9,0)),AO416&lt;INDEX(Processor!$K$2:$K$9,MATCH($D$403,Processor!$I$2:$I$9,0))),IF(AO416=$D$403,TRUE,FALSE)))</f>
        <v>1</v>
      </c>
      <c r="AD416" s="185" t="b">
        <f t="shared" si="339"/>
        <v>1</v>
      </c>
      <c r="AE416" s="185" t="b">
        <f t="shared" si="340"/>
        <v>1</v>
      </c>
      <c r="AF416" s="185" t="b">
        <f t="shared" si="341"/>
        <v>1</v>
      </c>
      <c r="AG416" s="185" t="b">
        <f t="shared" si="342"/>
        <v>1</v>
      </c>
      <c r="AH416" s="185" t="b">
        <f>IF($D$408="",TRUE,IF(INDEX(Processor!$C$14:$C$20,MATCH(LEFT(AT416,10)&amp;"",Processor!$A$14:$A$20,0))&gt;=INDEX(Processor!$C$14:$C$20,MATCH(LEFT($D$408,10)&amp;"",Processor!$A$14:$A$20,0)),TRUE,FALSE))</f>
        <v>1</v>
      </c>
      <c r="AI416" s="185" t="b">
        <f t="shared" si="343"/>
        <v>1</v>
      </c>
      <c r="AJ416" s="185"/>
      <c r="AK416" s="185"/>
      <c r="AL416" s="185" t="s">
        <v>219</v>
      </c>
      <c r="AM416" s="185">
        <v>1</v>
      </c>
      <c r="AN416" s="185" t="str">
        <f t="shared" ca="1" si="350"/>
        <v>Android 10</v>
      </c>
      <c r="AO416" s="185">
        <f t="shared" ca="1" si="350"/>
        <v>11.5</v>
      </c>
      <c r="AP416" s="185" t="str">
        <f t="shared" ca="1" si="350"/>
        <v>2560x1600</v>
      </c>
      <c r="AQ416" s="185">
        <f t="shared" ca="1" si="350"/>
        <v>128</v>
      </c>
      <c r="AR416" s="185">
        <f t="shared" ca="1" si="350"/>
        <v>5</v>
      </c>
      <c r="AS416" s="185" t="str">
        <f t="shared" ca="1" si="350"/>
        <v>802.11a/b/g/n/ac</v>
      </c>
      <c r="AT416" s="185">
        <f t="shared" ca="1" si="350"/>
        <v>8</v>
      </c>
      <c r="AU416" s="185" t="str">
        <f t="shared" ca="1" si="350"/>
        <v>Ej miljömärkt</v>
      </c>
      <c r="AV416" s="185" t="str">
        <f t="shared" ca="1" si="350"/>
        <v>802.11a/b/g/n/ac</v>
      </c>
      <c r="AW416" s="185">
        <f t="shared" ca="1" si="350"/>
        <v>5</v>
      </c>
      <c r="AX416" s="185">
        <f t="shared" ca="1" si="351"/>
        <v>8</v>
      </c>
      <c r="AY416" s="185" t="str">
        <f t="shared" ca="1" si="351"/>
        <v>Tab P11 Pro</v>
      </c>
      <c r="AZ416" s="185">
        <f t="shared" ca="1" si="351"/>
        <v>0</v>
      </c>
      <c r="BA416" s="185" t="str">
        <f t="shared" ca="1" si="351"/>
        <v>Android 10</v>
      </c>
      <c r="BB416" s="185">
        <f t="shared" ca="1" si="351"/>
        <v>5256</v>
      </c>
      <c r="BC416" s="185">
        <f t="shared" ca="1" si="351"/>
        <v>5256</v>
      </c>
      <c r="BD416" s="192" t="str">
        <f t="shared" ca="1" si="351"/>
        <v>Lenovo</v>
      </c>
      <c r="BE416" s="192" t="str">
        <f t="shared" ca="1" si="351"/>
        <v>Lenovo</v>
      </c>
      <c r="BF416" s="192" t="str">
        <f t="shared" ca="1" si="351"/>
        <v>Lenovo</v>
      </c>
      <c r="BG416" s="192" t="str">
        <f t="shared" ca="1" si="351"/>
        <v>Deltaco</v>
      </c>
      <c r="BH416" s="192" t="str">
        <f t="shared" ca="1" si="352"/>
        <v>Lenovo</v>
      </c>
      <c r="BI416" s="192" t="str">
        <f t="shared" ca="1" si="352"/>
        <v>P11 Pro Folio Case &amp; Film Grey</v>
      </c>
      <c r="BJ416" s="192" t="str">
        <f t="shared" ca="1" si="352"/>
        <v>Skyddsfilm</v>
      </c>
      <c r="BK416" s="192" t="str">
        <f t="shared" ca="1" si="352"/>
        <v xml:space="preserve">Lenovo Smart Charge station </v>
      </c>
      <c r="BL416" s="192" t="str">
        <f t="shared" ca="1" si="352"/>
        <v>DELTACO trådlöst minitangentbord, 78 tangenter, Bluetooth, nordisk layout, dämpade tangenter, svart</v>
      </c>
      <c r="BM416" s="192" t="str">
        <f t="shared" ca="1" si="352"/>
        <v>Lenovo Precision Pen 2</v>
      </c>
      <c r="BN416" s="192">
        <f t="shared" ca="1" si="352"/>
        <v>210</v>
      </c>
      <c r="BO416" s="185">
        <f t="shared" ca="1" si="352"/>
        <v>276</v>
      </c>
      <c r="BP416" s="192">
        <f t="shared" ca="1" si="352"/>
        <v>240</v>
      </c>
      <c r="BQ416" s="192">
        <f t="shared" ca="1" si="352"/>
        <v>156</v>
      </c>
      <c r="BR416" s="192">
        <f t="shared" ca="1" si="352"/>
        <v>564</v>
      </c>
      <c r="BS416" s="185">
        <f t="shared" ca="1" si="352"/>
        <v>550</v>
      </c>
      <c r="BT416" s="185">
        <f t="shared" ca="1" si="352"/>
        <v>60</v>
      </c>
      <c r="BU416" s="185">
        <f t="shared" ca="1" si="352"/>
        <v>50</v>
      </c>
      <c r="BV416" s="185">
        <f t="shared" ca="1" si="352"/>
        <v>0</v>
      </c>
      <c r="BW416" s="185"/>
      <c r="BX416" s="185"/>
      <c r="BY416" s="185" t="str">
        <f t="shared" ca="1" si="347"/>
        <v>Foxway Education AB</v>
      </c>
      <c r="BZ416" s="185" t="str">
        <f t="shared" ca="1" si="347"/>
        <v>Lenovo</v>
      </c>
      <c r="CA416" s="63"/>
      <c r="CB416" s="63"/>
      <c r="CC416" s="63"/>
      <c r="CD416" s="63"/>
      <c r="CE416" s="63"/>
      <c r="CF416" s="63"/>
      <c r="CG416" s="63"/>
      <c r="CH416" s="63"/>
      <c r="CI416" s="63"/>
      <c r="CJ416" s="63"/>
      <c r="CK416" s="63"/>
      <c r="CL416" s="63"/>
      <c r="CM416" s="63"/>
      <c r="CN416" s="63"/>
    </row>
    <row r="417" spans="2:92" ht="68.25" customHeight="1" outlineLevel="1" x14ac:dyDescent="0.35">
      <c r="B417" s="69" t="s">
        <v>346</v>
      </c>
      <c r="C417" s="99" t="s">
        <v>52</v>
      </c>
      <c r="D417" s="132" t="str">
        <f>IF("Ska Ingå"=D415,"Ska Ingå","")</f>
        <v/>
      </c>
      <c r="F417" s="90" t="str">
        <f t="shared" si="353"/>
        <v/>
      </c>
      <c r="G417" s="91" t="str">
        <f t="shared" ca="1" si="354"/>
        <v>GBXLENFILM</v>
      </c>
      <c r="H417" s="91" t="str">
        <f t="shared" ca="1" si="354"/>
        <v>ES517003 - Skärmskydd för surfplatta - glas - klar - för Lenovo Tab M10 (3rd Gen)</v>
      </c>
      <c r="I417" s="91" t="str">
        <f t="shared" ca="1" si="354"/>
        <v>gbx200106077</v>
      </c>
      <c r="J417" s="73"/>
      <c r="Q417" s="185">
        <f t="shared" si="328"/>
        <v>0</v>
      </c>
      <c r="R417" s="185">
        <f t="shared" si="329"/>
        <v>0</v>
      </c>
      <c r="S417" s="185">
        <f t="shared" si="330"/>
        <v>0</v>
      </c>
      <c r="T417" s="185">
        <f t="shared" si="331"/>
        <v>0</v>
      </c>
      <c r="U417" s="185">
        <f t="shared" si="332"/>
        <v>0</v>
      </c>
      <c r="V417" s="185">
        <f t="shared" si="333"/>
        <v>0</v>
      </c>
      <c r="W417" s="185">
        <f t="shared" si="334"/>
        <v>0</v>
      </c>
      <c r="X417" s="185">
        <f t="shared" si="335"/>
        <v>0</v>
      </c>
      <c r="Y417" s="185">
        <f t="shared" si="336"/>
        <v>0</v>
      </c>
      <c r="Z417" s="196">
        <f t="shared" ca="1" si="337"/>
        <v>1700</v>
      </c>
      <c r="AA417" s="185" t="str">
        <f t="shared" si="338"/>
        <v>Offererad produktnr. 07Qlosr Göteborg AB</v>
      </c>
      <c r="AB417" s="185" t="b">
        <f>IF(D402="",TRUE,IF(COUNTIF(Processor!$M$2:$M$3,D402)=0,IF(AN417=D402,TRUE,FALSE),IF(COUNTIF(AN417,INDEX(Processor!$N$2:$N$3,MATCH(Surfplattor!D402,Processor!$M$2:$M$3,0)))&gt;0,TRUE,FALSE)))</f>
        <v>1</v>
      </c>
      <c r="AC417" s="185" t="b">
        <f>IF($D$403="",TRUE,IF(COUNTIF(Processor!$I$2:$I$9,$D$403)&gt;0,AND(AO417&gt;INDEX(Processor!$J$2:$J$9,MATCH($D$403,Processor!$I$2:$I$9,0)),AO417&lt;INDEX(Processor!$K$2:$K$9,MATCH($D$403,Processor!$I$2:$I$9,0))),IF(AO417=$D$403,TRUE,FALSE)))</f>
        <v>1</v>
      </c>
      <c r="AD417" s="185" t="b">
        <f t="shared" si="339"/>
        <v>1</v>
      </c>
      <c r="AE417" s="185" t="b">
        <f t="shared" si="340"/>
        <v>1</v>
      </c>
      <c r="AF417" s="185" t="b">
        <f t="shared" si="341"/>
        <v>1</v>
      </c>
      <c r="AG417" s="185" t="b">
        <f t="shared" si="342"/>
        <v>1</v>
      </c>
      <c r="AH417" s="185" t="b">
        <f>IF($D$408="",TRUE,IF(INDEX(Processor!$C$14:$C$20,MATCH(LEFT(AT417,10)&amp;"",Processor!$A$14:$A$20,0))&gt;=INDEX(Processor!$C$14:$C$20,MATCH(LEFT($D$408,10)&amp;"",Processor!$A$14:$A$20,0)),TRUE,FALSE))</f>
        <v>1</v>
      </c>
      <c r="AI417" s="185" t="b">
        <f t="shared" si="343"/>
        <v>1</v>
      </c>
      <c r="AJ417" s="185"/>
      <c r="AK417" s="185"/>
      <c r="AL417" s="185" t="s">
        <v>558</v>
      </c>
      <c r="AM417" s="185">
        <v>1</v>
      </c>
      <c r="AN417" s="185" t="str">
        <f t="shared" ca="1" si="350"/>
        <v>Android 9</v>
      </c>
      <c r="AO417" s="185">
        <f t="shared" ca="1" si="350"/>
        <v>10.3</v>
      </c>
      <c r="AP417" s="185" t="str">
        <f t="shared" ca="1" si="350"/>
        <v>1920x1200</v>
      </c>
      <c r="AQ417" s="185">
        <f t="shared" ca="1" si="350"/>
        <v>64</v>
      </c>
      <c r="AR417" s="185">
        <f t="shared" ca="1" si="350"/>
        <v>5</v>
      </c>
      <c r="AS417" s="185" t="str">
        <f t="shared" ca="1" si="350"/>
        <v>802.11a/b/g/n/ac</v>
      </c>
      <c r="AT417" s="185">
        <f t="shared" ca="1" si="350"/>
        <v>9</v>
      </c>
      <c r="AU417" s="185" t="str">
        <f t="shared" ca="1" si="350"/>
        <v>Ej miljömärkt</v>
      </c>
      <c r="AV417" s="185" t="str">
        <f t="shared" ca="1" si="350"/>
        <v>802.11a/b/g/n/ac</v>
      </c>
      <c r="AW417" s="185">
        <f t="shared" ca="1" si="350"/>
        <v>5</v>
      </c>
      <c r="AX417" s="185">
        <f t="shared" ca="1" si="351"/>
        <v>9</v>
      </c>
      <c r="AY417" s="185" t="str">
        <f t="shared" ca="1" si="351"/>
        <v>M10 FHD G2</v>
      </c>
      <c r="AZ417" s="185">
        <f t="shared" ca="1" si="351"/>
        <v>0</v>
      </c>
      <c r="BA417" s="185" t="str">
        <f t="shared" ca="1" si="351"/>
        <v>Android 9</v>
      </c>
      <c r="BB417" s="185">
        <f t="shared" ca="1" si="351"/>
        <v>1700</v>
      </c>
      <c r="BC417" s="185">
        <f t="shared" ca="1" si="351"/>
        <v>1700</v>
      </c>
      <c r="BD417" s="192" t="str">
        <f t="shared" ca="1" si="351"/>
        <v>Phonelife</v>
      </c>
      <c r="BE417" s="192" t="str">
        <f t="shared" ca="1" si="351"/>
        <v>Lenovo</v>
      </c>
      <c r="BF417" s="192" t="str">
        <f t="shared" ca="1" si="351"/>
        <v>Lenovo</v>
      </c>
      <c r="BG417" s="192" t="str">
        <f t="shared" ca="1" si="351"/>
        <v>DELTACO</v>
      </c>
      <c r="BH417" s="192" t="str">
        <f t="shared" ca="1" si="352"/>
        <v>Kecow</v>
      </c>
      <c r="BI417" s="192" t="str">
        <f t="shared" ca="1" si="352"/>
        <v>GBXRUGGEDLENTAB-V1</v>
      </c>
      <c r="BJ417" s="192" t="str">
        <f t="shared" ca="1" si="352"/>
        <v>GBXLENFILM</v>
      </c>
      <c r="BK417" s="192" t="str">
        <f t="shared" ca="1" si="352"/>
        <v>GBXLENCHARGE</v>
      </c>
      <c r="BL417" s="192" t="str">
        <f t="shared" ca="1" si="352"/>
        <v>GBX TB-631</v>
      </c>
      <c r="BM417" s="192" t="str">
        <f t="shared" ca="1" si="352"/>
        <v>GBXPP2PENMAGNETIC</v>
      </c>
      <c r="BN417" s="192">
        <f t="shared" ca="1" si="352"/>
        <v>325</v>
      </c>
      <c r="BO417" s="185">
        <f t="shared" ca="1" si="352"/>
        <v>180</v>
      </c>
      <c r="BP417" s="192">
        <f t="shared" ca="1" si="352"/>
        <v>220</v>
      </c>
      <c r="BQ417" s="192">
        <f t="shared" ca="1" si="352"/>
        <v>150</v>
      </c>
      <c r="BR417" s="192">
        <f t="shared" ca="1" si="352"/>
        <v>399</v>
      </c>
      <c r="BS417" s="185">
        <f t="shared" ca="1" si="352"/>
        <v>570</v>
      </c>
      <c r="BT417" s="185">
        <f t="shared" ca="1" si="352"/>
        <v>25</v>
      </c>
      <c r="BU417" s="185">
        <f t="shared" ca="1" si="352"/>
        <v>25</v>
      </c>
      <c r="BV417" s="185">
        <f t="shared" ca="1" si="352"/>
        <v>0</v>
      </c>
      <c r="BW417" s="185"/>
      <c r="BX417" s="185"/>
      <c r="BY417" s="185" t="str">
        <f t="shared" ca="1" si="347"/>
        <v>Qlosr Göteborg AB</v>
      </c>
      <c r="BZ417" s="185" t="str">
        <f t="shared" ca="1" si="347"/>
        <v>Lenovo</v>
      </c>
      <c r="CA417" s="63"/>
      <c r="CB417" s="63"/>
      <c r="CC417" s="63"/>
      <c r="CD417" s="63"/>
      <c r="CE417" s="63"/>
      <c r="CF417" s="63"/>
      <c r="CG417" s="63"/>
      <c r="CH417" s="63"/>
      <c r="CI417" s="63"/>
      <c r="CJ417" s="63"/>
      <c r="CK417" s="63"/>
      <c r="CL417" s="63"/>
      <c r="CM417" s="63"/>
      <c r="CN417" s="63"/>
    </row>
    <row r="418" spans="2:92" ht="30" customHeight="1" outlineLevel="1" x14ac:dyDescent="0.35">
      <c r="B418" s="69" t="s">
        <v>55</v>
      </c>
      <c r="C418" s="95" t="s">
        <v>371</v>
      </c>
      <c r="D418" s="70"/>
      <c r="F418" s="159" t="str">
        <f t="shared" si="353"/>
        <v/>
      </c>
      <c r="G418" s="160">
        <f t="shared" ca="1" si="354"/>
        <v>220</v>
      </c>
      <c r="H418" s="160">
        <f t="shared" ca="1" si="354"/>
        <v>108</v>
      </c>
      <c r="I418" s="160">
        <f t="shared" ca="1" si="354"/>
        <v>279</v>
      </c>
      <c r="J418" s="54"/>
      <c r="Q418" s="185">
        <f t="shared" si="328"/>
        <v>0</v>
      </c>
      <c r="R418" s="185">
        <f t="shared" si="329"/>
        <v>0</v>
      </c>
      <c r="S418" s="185">
        <f t="shared" si="330"/>
        <v>0</v>
      </c>
      <c r="T418" s="185">
        <f t="shared" si="331"/>
        <v>0</v>
      </c>
      <c r="U418" s="185">
        <f t="shared" si="332"/>
        <v>0</v>
      </c>
      <c r="V418" s="185">
        <f t="shared" si="333"/>
        <v>0</v>
      </c>
      <c r="W418" s="185">
        <f t="shared" si="334"/>
        <v>0</v>
      </c>
      <c r="X418" s="185">
        <f t="shared" si="335"/>
        <v>0</v>
      </c>
      <c r="Y418" s="185">
        <f t="shared" si="336"/>
        <v>0</v>
      </c>
      <c r="Z418" s="196">
        <f t="shared" ca="1" si="337"/>
        <v>3205</v>
      </c>
      <c r="AA418" s="185" t="str">
        <f t="shared" si="338"/>
        <v>Offererad produktnr. 08Qlosr Göteborg AB</v>
      </c>
      <c r="AB418" s="185" t="b">
        <f>IF(D402="",TRUE,IF(COUNTIF(Processor!$M$2:$M$3,D402)=0,IF(AN418=D402,TRUE,FALSE),IF(COUNTIF(AN418,INDEX(Processor!$N$2:$N$3,MATCH(Surfplattor!D402,Processor!$M$2:$M$3,0)))&gt;0,TRUE,FALSE)))</f>
        <v>1</v>
      </c>
      <c r="AC418" s="185" t="b">
        <f>IF($D$403="",TRUE,IF(COUNTIF(Processor!$I$2:$I$9,$D$403)&gt;0,AND(AO418&gt;INDEX(Processor!$J$2:$J$9,MATCH($D$403,Processor!$I$2:$I$9,0)),AO418&lt;INDEX(Processor!$K$2:$K$9,MATCH($D$403,Processor!$I$2:$I$9,0))),IF(AO418=$D$403,TRUE,FALSE)))</f>
        <v>1</v>
      </c>
      <c r="AD418" s="185" t="b">
        <f t="shared" si="339"/>
        <v>1</v>
      </c>
      <c r="AE418" s="185" t="b">
        <f t="shared" si="340"/>
        <v>1</v>
      </c>
      <c r="AF418" s="185" t="b">
        <f t="shared" si="341"/>
        <v>1</v>
      </c>
      <c r="AG418" s="185" t="b">
        <f t="shared" si="342"/>
        <v>1</v>
      </c>
      <c r="AH418" s="185" t="b">
        <f>IF($D$408="",TRUE,IF(INDEX(Processor!$C$14:$C$20,MATCH(LEFT(AT418,10)&amp;"",Processor!$A$14:$A$20,0))&gt;=INDEX(Processor!$C$14:$C$20,MATCH(LEFT($D$408,10)&amp;"",Processor!$A$14:$A$20,0)),TRUE,FALSE))</f>
        <v>1</v>
      </c>
      <c r="AI418" s="185" t="b">
        <f t="shared" si="343"/>
        <v>1</v>
      </c>
      <c r="AJ418" s="185"/>
      <c r="AK418" s="185"/>
      <c r="AL418" s="185" t="s">
        <v>559</v>
      </c>
      <c r="AM418" s="185">
        <v>1</v>
      </c>
      <c r="AN418" s="185" t="str">
        <f t="shared" ca="1" si="350"/>
        <v>iPadOS 15</v>
      </c>
      <c r="AO418" s="185">
        <f t="shared" ca="1" si="350"/>
        <v>10.199999999999999</v>
      </c>
      <c r="AP418" s="185" t="str">
        <f t="shared" ca="1" si="350"/>
        <v>2160x1620</v>
      </c>
      <c r="AQ418" s="185">
        <f t="shared" ca="1" si="350"/>
        <v>64</v>
      </c>
      <c r="AR418" s="185">
        <f t="shared" ca="1" si="350"/>
        <v>4.2</v>
      </c>
      <c r="AS418" s="185" t="str">
        <f t="shared" ca="1" si="350"/>
        <v>802.11a/b/g/n/ac</v>
      </c>
      <c r="AT418" s="185">
        <f t="shared" ca="1" si="350"/>
        <v>10</v>
      </c>
      <c r="AU418" s="185" t="str">
        <f t="shared" ca="1" si="350"/>
        <v>Ej miljömärkt</v>
      </c>
      <c r="AV418" s="185" t="str">
        <f t="shared" ca="1" si="350"/>
        <v>802.11a/b/g/n/ac</v>
      </c>
      <c r="AW418" s="185">
        <f t="shared" ca="1" si="350"/>
        <v>4.2</v>
      </c>
      <c r="AX418" s="185">
        <f t="shared" ca="1" si="351"/>
        <v>10</v>
      </c>
      <c r="AY418" s="185" t="str">
        <f t="shared" ca="1" si="351"/>
        <v>iPad 9th gen (2021)</v>
      </c>
      <c r="AZ418" s="185">
        <f t="shared" ca="1" si="351"/>
        <v>0</v>
      </c>
      <c r="BA418" s="185" t="str">
        <f t="shared" ca="1" si="351"/>
        <v>iPadOS 15</v>
      </c>
      <c r="BB418" s="185">
        <f t="shared" ca="1" si="351"/>
        <v>3205</v>
      </c>
      <c r="BC418" s="185">
        <f t="shared" ca="1" si="351"/>
        <v>3205</v>
      </c>
      <c r="BD418" s="192" t="str">
        <f t="shared" ca="1" si="351"/>
        <v>Otterbox Defender Series</v>
      </c>
      <c r="BE418" s="192" t="str">
        <f t="shared" ca="1" si="351"/>
        <v>ZAGG</v>
      </c>
      <c r="BF418" s="192" t="str">
        <f t="shared" ca="1" si="351"/>
        <v>Belkin</v>
      </c>
      <c r="BG418" s="192" t="str">
        <f t="shared" ca="1" si="351"/>
        <v>DELTACO</v>
      </c>
      <c r="BH418" s="192" t="str">
        <f t="shared" ca="1" si="352"/>
        <v>Apple</v>
      </c>
      <c r="BI418" s="192" t="str">
        <f t="shared" ca="1" si="352"/>
        <v>GBX77-62032</v>
      </c>
      <c r="BJ418" s="192" t="str">
        <f t="shared" ca="1" si="352"/>
        <v>gbx200106077</v>
      </c>
      <c r="BK418" s="192" t="str">
        <f t="shared" ca="1" si="352"/>
        <v>GBXWCA003VF04WH</v>
      </c>
      <c r="BL418" s="192" t="str">
        <f t="shared" ca="1" si="352"/>
        <v>GBX TB-631</v>
      </c>
      <c r="BM418" s="192" t="str">
        <f t="shared" ca="1" si="352"/>
        <v>MK0C2ZM/A</v>
      </c>
      <c r="BN418" s="192">
        <f t="shared" ca="1" si="352"/>
        <v>460</v>
      </c>
      <c r="BO418" s="185">
        <f t="shared" ca="1" si="352"/>
        <v>189</v>
      </c>
      <c r="BP418" s="192">
        <f t="shared" ca="1" si="352"/>
        <v>279</v>
      </c>
      <c r="BQ418" s="192">
        <f t="shared" ca="1" si="352"/>
        <v>150</v>
      </c>
      <c r="BR418" s="192">
        <f t="shared" ca="1" si="352"/>
        <v>839</v>
      </c>
      <c r="BS418" s="185">
        <f t="shared" ca="1" si="352"/>
        <v>514</v>
      </c>
      <c r="BT418" s="185">
        <f t="shared" ca="1" si="352"/>
        <v>25</v>
      </c>
      <c r="BU418" s="185">
        <f t="shared" ca="1" si="352"/>
        <v>25</v>
      </c>
      <c r="BV418" s="185">
        <f t="shared" ca="1" si="352"/>
        <v>0</v>
      </c>
      <c r="BW418" s="185"/>
      <c r="BX418" s="185"/>
      <c r="BY418" s="185" t="str">
        <f t="shared" ca="1" si="347"/>
        <v>Qlosr Göteborg AB</v>
      </c>
      <c r="BZ418" s="185" t="str">
        <f t="shared" ca="1" si="347"/>
        <v>Apple</v>
      </c>
      <c r="CA418" s="63"/>
      <c r="CB418" s="63"/>
      <c r="CC418" s="63"/>
      <c r="CD418" s="63"/>
      <c r="CE418" s="63"/>
      <c r="CF418" s="63"/>
      <c r="CG418" s="63"/>
      <c r="CH418" s="63"/>
      <c r="CI418" s="63"/>
      <c r="CJ418" s="63"/>
      <c r="CK418" s="63"/>
      <c r="CL418" s="63"/>
      <c r="CM418" s="63"/>
      <c r="CN418" s="63"/>
    </row>
    <row r="419" spans="2:92" ht="30" customHeight="1" outlineLevel="1" x14ac:dyDescent="0.35">
      <c r="B419" s="69" t="s">
        <v>342</v>
      </c>
      <c r="C419" s="96" t="s">
        <v>51</v>
      </c>
      <c r="D419" s="131" t="str">
        <f>IF("Ska Ingå"=D418,"Ska Ingå","")</f>
        <v/>
      </c>
      <c r="F419" s="84" t="str">
        <f t="shared" si="353"/>
        <v/>
      </c>
      <c r="G419" s="85" t="str">
        <f t="shared" ca="1" si="354"/>
        <v>Lenovo</v>
      </c>
      <c r="H419" s="85" t="str">
        <f t="shared" ca="1" si="354"/>
        <v>CoreParts</v>
      </c>
      <c r="I419" s="85" t="str">
        <f t="shared" ca="1" si="354"/>
        <v>Belkin</v>
      </c>
      <c r="J419" s="73"/>
      <c r="Q419" s="185">
        <f t="shared" si="328"/>
        <v>0</v>
      </c>
      <c r="R419" s="185">
        <f t="shared" si="329"/>
        <v>0</v>
      </c>
      <c r="S419" s="185">
        <f t="shared" si="330"/>
        <v>0</v>
      </c>
      <c r="T419" s="185">
        <f t="shared" si="331"/>
        <v>0</v>
      </c>
      <c r="U419" s="185">
        <f t="shared" si="332"/>
        <v>0</v>
      </c>
      <c r="V419" s="185">
        <f t="shared" si="333"/>
        <v>0</v>
      </c>
      <c r="W419" s="185">
        <f t="shared" si="334"/>
        <v>0</v>
      </c>
      <c r="X419" s="185">
        <f t="shared" si="335"/>
        <v>0</v>
      </c>
      <c r="Y419" s="185">
        <f t="shared" si="336"/>
        <v>0</v>
      </c>
      <c r="Z419" s="196">
        <f t="shared" ca="1" si="337"/>
        <v>7256</v>
      </c>
      <c r="AA419" s="185" t="str">
        <f t="shared" si="338"/>
        <v>Offererad produktnr. 09Qlosr Göteborg AB</v>
      </c>
      <c r="AB419" s="185" t="b">
        <f>IF(D402="",TRUE,IF(COUNTIF(Processor!$M$2:$M$3,D402)=0,IF(AN419=D402,TRUE,FALSE),IF(COUNTIF(AN419,INDEX(Processor!$N$2:$N$3,MATCH(Surfplattor!D402,Processor!$M$2:$M$3,0)))&gt;0,TRUE,FALSE)))</f>
        <v>1</v>
      </c>
      <c r="AC419" s="185" t="b">
        <f>IF($D$403="",TRUE,IF(COUNTIF(Processor!$I$2:$I$9,$D$403)&gt;0,AND(AO419&gt;INDEX(Processor!$J$2:$J$9,MATCH($D$403,Processor!$I$2:$I$9,0)),AO419&lt;INDEX(Processor!$K$2:$K$9,MATCH($D$403,Processor!$I$2:$I$9,0))),IF(AO419=$D$403,TRUE,FALSE)))</f>
        <v>1</v>
      </c>
      <c r="AD419" s="185" t="b">
        <f t="shared" si="339"/>
        <v>1</v>
      </c>
      <c r="AE419" s="185" t="b">
        <f t="shared" si="340"/>
        <v>1</v>
      </c>
      <c r="AF419" s="185" t="b">
        <f t="shared" si="341"/>
        <v>1</v>
      </c>
      <c r="AG419" s="185" t="b">
        <f t="shared" si="342"/>
        <v>1</v>
      </c>
      <c r="AH419" s="185" t="b">
        <f>IF($D$408="",TRUE,IF(INDEX(Processor!$C$14:$C$20,MATCH(LEFT(AT419,10)&amp;"",Processor!$A$14:$A$20,0))&gt;=INDEX(Processor!$C$14:$C$20,MATCH(LEFT($D$408,10)&amp;"",Processor!$A$14:$A$20,0)),TRUE,FALSE))</f>
        <v>1</v>
      </c>
      <c r="AI419" s="185" t="b">
        <f t="shared" si="343"/>
        <v>1</v>
      </c>
      <c r="AJ419" s="185"/>
      <c r="AK419" s="185"/>
      <c r="AL419" s="185" t="s">
        <v>560</v>
      </c>
      <c r="AM419" s="185">
        <v>1</v>
      </c>
      <c r="AN419" s="185" t="str">
        <f t="shared" ca="1" si="350"/>
        <v>iPadOS 14</v>
      </c>
      <c r="AO419" s="185">
        <f t="shared" ca="1" si="350"/>
        <v>11</v>
      </c>
      <c r="AP419" s="185" t="str">
        <f t="shared" ca="1" si="350"/>
        <v>2388x1668</v>
      </c>
      <c r="AQ419" s="185">
        <f t="shared" ca="1" si="350"/>
        <v>128</v>
      </c>
      <c r="AR419" s="185">
        <f t="shared" ca="1" si="350"/>
        <v>5</v>
      </c>
      <c r="AS419" s="185" t="str">
        <f t="shared" ca="1" si="350"/>
        <v>802.11a/b/g/n/ac/ax</v>
      </c>
      <c r="AT419" s="185">
        <f t="shared" ca="1" si="350"/>
        <v>10</v>
      </c>
      <c r="AU419" s="185" t="str">
        <f t="shared" ca="1" si="350"/>
        <v>Ej miljömärkt</v>
      </c>
      <c r="AV419" s="185" t="str">
        <f t="shared" ca="1" si="350"/>
        <v>802.11a/b/g/n/ac/ax</v>
      </c>
      <c r="AW419" s="185">
        <f t="shared" ca="1" si="350"/>
        <v>5</v>
      </c>
      <c r="AX419" s="185">
        <f t="shared" ca="1" si="351"/>
        <v>10</v>
      </c>
      <c r="AY419" s="185" t="str">
        <f t="shared" ca="1" si="351"/>
        <v>Ipad Pro 11 tum</v>
      </c>
      <c r="AZ419" s="185">
        <f t="shared" ca="1" si="351"/>
        <v>0</v>
      </c>
      <c r="BA419" s="185" t="str">
        <f t="shared" ca="1" si="351"/>
        <v>iPadOS 14</v>
      </c>
      <c r="BB419" s="185">
        <f t="shared" ca="1" si="351"/>
        <v>7256</v>
      </c>
      <c r="BC419" s="185">
        <f t="shared" ca="1" si="351"/>
        <v>7256</v>
      </c>
      <c r="BD419" s="192" t="str">
        <f t="shared" ca="1" si="351"/>
        <v>Otterbox Defender Series</v>
      </c>
      <c r="BE419" s="192" t="str">
        <f t="shared" ca="1" si="351"/>
        <v>ZAGG</v>
      </c>
      <c r="BF419" s="192" t="str">
        <f t="shared" ca="1" si="351"/>
        <v>Belkin</v>
      </c>
      <c r="BG419" s="192" t="str">
        <f t="shared" ca="1" si="351"/>
        <v>DELTACO</v>
      </c>
      <c r="BH419" s="192" t="str">
        <f t="shared" ca="1" si="352"/>
        <v>Apple</v>
      </c>
      <c r="BI419" s="192" t="str">
        <f t="shared" ca="1" si="352"/>
        <v>GBX77-82261</v>
      </c>
      <c r="BJ419" s="192" t="str">
        <f t="shared" ca="1" si="352"/>
        <v>GBX200108138</v>
      </c>
      <c r="BK419" s="192" t="str">
        <f t="shared" ca="1" si="352"/>
        <v>GBXF7U074vf04-SLV</v>
      </c>
      <c r="BL419" s="192" t="str">
        <f t="shared" ca="1" si="352"/>
        <v>GBX TB-631</v>
      </c>
      <c r="BM419" s="192" t="str">
        <f t="shared" ca="1" si="352"/>
        <v>MU8F2ZM/A</v>
      </c>
      <c r="BN419" s="192">
        <f t="shared" ca="1" si="352"/>
        <v>435</v>
      </c>
      <c r="BO419" s="185">
        <f t="shared" ca="1" si="352"/>
        <v>179</v>
      </c>
      <c r="BP419" s="192">
        <f t="shared" ca="1" si="352"/>
        <v>355</v>
      </c>
      <c r="BQ419" s="192">
        <f t="shared" ca="1" si="352"/>
        <v>150</v>
      </c>
      <c r="BR419" s="192">
        <f t="shared" ca="1" si="352"/>
        <v>1145</v>
      </c>
      <c r="BS419" s="185">
        <f t="shared" ca="1" si="352"/>
        <v>724</v>
      </c>
      <c r="BT419" s="185">
        <f t="shared" ca="1" si="352"/>
        <v>25</v>
      </c>
      <c r="BU419" s="185">
        <f t="shared" ca="1" si="352"/>
        <v>25</v>
      </c>
      <c r="BV419" s="185">
        <f t="shared" ca="1" si="352"/>
        <v>0</v>
      </c>
      <c r="BW419" s="185"/>
      <c r="BX419" s="185"/>
      <c r="BY419" s="185" t="str">
        <f t="shared" ca="1" si="347"/>
        <v>Qlosr Göteborg AB</v>
      </c>
      <c r="BZ419" s="185" t="str">
        <f t="shared" ca="1" si="347"/>
        <v>Apple</v>
      </c>
      <c r="CA419" s="63"/>
      <c r="CB419" s="63"/>
      <c r="CC419" s="63"/>
      <c r="CD419" s="63"/>
      <c r="CE419" s="63"/>
      <c r="CF419" s="63"/>
      <c r="CG419" s="63"/>
      <c r="CH419" s="63"/>
      <c r="CI419" s="63"/>
      <c r="CJ419" s="63"/>
      <c r="CK419" s="63"/>
      <c r="CL419" s="63"/>
      <c r="CM419" s="63"/>
      <c r="CN419" s="63"/>
    </row>
    <row r="420" spans="2:92" ht="67.5" customHeight="1" outlineLevel="1" x14ac:dyDescent="0.35">
      <c r="B420" s="69" t="s">
        <v>347</v>
      </c>
      <c r="C420" s="97" t="s">
        <v>52</v>
      </c>
      <c r="D420" s="132" t="str">
        <f>IF("Ska Ingå"=D418,"Ska Ingå","")</f>
        <v/>
      </c>
      <c r="F420" s="86" t="str">
        <f t="shared" si="353"/>
        <v/>
      </c>
      <c r="G420" s="87" t="str">
        <f t="shared" ca="1" si="354"/>
        <v>GBXLENCHARGE</v>
      </c>
      <c r="H420" s="87" t="str">
        <f t="shared" ca="1" si="354"/>
        <v>MBXUSB-AC0011 - Strömadapter - 12 Watt - 2.4 A (USB) - på kabel: USB-C - vit - med USB-C cable (2m)</v>
      </c>
      <c r="I420" s="87" t="str">
        <f t="shared" ca="1" si="354"/>
        <v>GBXWCA003VF04WH</v>
      </c>
      <c r="J420" s="54"/>
      <c r="Q420" s="185">
        <f t="shared" si="328"/>
        <v>0</v>
      </c>
      <c r="R420" s="185">
        <f t="shared" si="329"/>
        <v>0</v>
      </c>
      <c r="S420" s="185">
        <f t="shared" si="330"/>
        <v>0</v>
      </c>
      <c r="T420" s="185">
        <f t="shared" si="331"/>
        <v>0</v>
      </c>
      <c r="U420" s="185">
        <f t="shared" si="332"/>
        <v>0</v>
      </c>
      <c r="V420" s="185">
        <f t="shared" si="333"/>
        <v>0</v>
      </c>
      <c r="W420" s="185">
        <f t="shared" si="334"/>
        <v>0</v>
      </c>
      <c r="X420" s="185">
        <f t="shared" si="335"/>
        <v>0</v>
      </c>
      <c r="Y420" s="185">
        <f t="shared" si="336"/>
        <v>0</v>
      </c>
      <c r="Z420" s="196">
        <f t="shared" ca="1" si="337"/>
        <v>4710</v>
      </c>
      <c r="AA420" s="185" t="str">
        <f t="shared" si="338"/>
        <v>Offererad produktnr. 10Qlosr Göteborg AB</v>
      </c>
      <c r="AB420" s="185" t="b">
        <f>IF(D402="",TRUE,IF(COUNTIF(Processor!$M$2:$M$3,D402)=0,IF(AN420=D402,TRUE,FALSE),IF(COUNTIF(AN420,INDEX(Processor!$N$2:$N$3,MATCH(Surfplattor!D402,Processor!$M$2:$M$3,0)))&gt;0,TRUE,FALSE)))</f>
        <v>1</v>
      </c>
      <c r="AC420" s="185" t="b">
        <f>IF($D$403="",TRUE,IF(COUNTIF(Processor!$I$2:$I$9,$D$403)&gt;0,AND(AO420&gt;INDEX(Processor!$J$2:$J$9,MATCH($D$403,Processor!$I$2:$I$9,0)),AO420&lt;INDEX(Processor!$K$2:$K$9,MATCH($D$403,Processor!$I$2:$I$9,0))),IF(AO420=$D$403,TRUE,FALSE)))</f>
        <v>1</v>
      </c>
      <c r="AD420" s="185" t="b">
        <f t="shared" si="339"/>
        <v>1</v>
      </c>
      <c r="AE420" s="185" t="b">
        <f t="shared" si="340"/>
        <v>1</v>
      </c>
      <c r="AF420" s="185" t="b">
        <f t="shared" si="341"/>
        <v>1</v>
      </c>
      <c r="AG420" s="185" t="b">
        <f t="shared" si="342"/>
        <v>1</v>
      </c>
      <c r="AH420" s="185" t="b">
        <f>IF($D$408="",TRUE,IF(INDEX(Processor!$C$14:$C$20,MATCH(LEFT(AT420,10)&amp;"",Processor!$A$14:$A$20,0))&gt;=INDEX(Processor!$C$14:$C$20,MATCH(LEFT($D$408,10)&amp;"",Processor!$A$14:$A$20,0)),TRUE,FALSE))</f>
        <v>1</v>
      </c>
      <c r="AI420" s="185" t="b">
        <f t="shared" si="343"/>
        <v>1</v>
      </c>
      <c r="AJ420" s="185"/>
      <c r="AK420" s="185"/>
      <c r="AL420" s="185" t="s">
        <v>561</v>
      </c>
      <c r="AM420" s="185">
        <v>1</v>
      </c>
      <c r="AN420" s="185" t="str">
        <f t="shared" ca="1" si="350"/>
        <v>Android 10</v>
      </c>
      <c r="AO420" s="185">
        <f t="shared" ca="1" si="350"/>
        <v>11.5</v>
      </c>
      <c r="AP420" s="185" t="str">
        <f t="shared" ca="1" si="350"/>
        <v>2560x1600</v>
      </c>
      <c r="AQ420" s="185">
        <f t="shared" ca="1" si="350"/>
        <v>128</v>
      </c>
      <c r="AR420" s="185">
        <f t="shared" ca="1" si="350"/>
        <v>5</v>
      </c>
      <c r="AS420" s="185" t="str">
        <f t="shared" ca="1" si="350"/>
        <v>802.11a/b/g/n/ac</v>
      </c>
      <c r="AT420" s="185">
        <f t="shared" ca="1" si="350"/>
        <v>8</v>
      </c>
      <c r="AU420" s="185" t="str">
        <f t="shared" ca="1" si="350"/>
        <v>Ej miljömärkt</v>
      </c>
      <c r="AV420" s="185" t="str">
        <f t="shared" ca="1" si="350"/>
        <v>802.11a/b/g/n/ac</v>
      </c>
      <c r="AW420" s="185">
        <f t="shared" ca="1" si="350"/>
        <v>5</v>
      </c>
      <c r="AX420" s="185">
        <f t="shared" ca="1" si="351"/>
        <v>8</v>
      </c>
      <c r="AY420" s="185" t="str">
        <f t="shared" ca="1" si="351"/>
        <v>Lenovo Tab P11 Pro ZA7C 128GB</v>
      </c>
      <c r="AZ420" s="185">
        <f t="shared" ca="1" si="351"/>
        <v>0</v>
      </c>
      <c r="BA420" s="185" t="str">
        <f t="shared" ca="1" si="351"/>
        <v>Android 10</v>
      </c>
      <c r="BB420" s="185">
        <f t="shared" ca="1" si="351"/>
        <v>4710</v>
      </c>
      <c r="BC420" s="185">
        <f t="shared" ca="1" si="351"/>
        <v>4710</v>
      </c>
      <c r="BD420" s="192" t="str">
        <f t="shared" ca="1" si="351"/>
        <v>Phonelife</v>
      </c>
      <c r="BE420" s="192" t="str">
        <f t="shared" ca="1" si="351"/>
        <v>Lenovo</v>
      </c>
      <c r="BF420" s="192" t="str">
        <f t="shared" ca="1" si="351"/>
        <v>Lenovo</v>
      </c>
      <c r="BG420" s="192" t="str">
        <f t="shared" ca="1" si="351"/>
        <v>DELTACO</v>
      </c>
      <c r="BH420" s="192" t="str">
        <f t="shared" ca="1" si="352"/>
        <v>Kecow</v>
      </c>
      <c r="BI420" s="192" t="str">
        <f t="shared" ca="1" si="352"/>
        <v>GBXRUGGEDLENTAB-V2</v>
      </c>
      <c r="BJ420" s="192" t="str">
        <f t="shared" ca="1" si="352"/>
        <v>GBXLENFILM</v>
      </c>
      <c r="BK420" s="192" t="str">
        <f t="shared" ca="1" si="352"/>
        <v>GBXLENCHARGE</v>
      </c>
      <c r="BL420" s="192" t="str">
        <f t="shared" ca="1" si="352"/>
        <v>GBX TB-631</v>
      </c>
      <c r="BM420" s="192" t="str">
        <f t="shared" ca="1" si="352"/>
        <v>GBXPP2PENMAGNETIC</v>
      </c>
      <c r="BN420" s="192">
        <f t="shared" ca="1" si="352"/>
        <v>330</v>
      </c>
      <c r="BO420" s="185">
        <f t="shared" ca="1" si="352"/>
        <v>180</v>
      </c>
      <c r="BP420" s="192">
        <f t="shared" ca="1" si="352"/>
        <v>220</v>
      </c>
      <c r="BQ420" s="192">
        <f t="shared" ca="1" si="352"/>
        <v>150</v>
      </c>
      <c r="BR420" s="192">
        <f t="shared" ca="1" si="352"/>
        <v>399</v>
      </c>
      <c r="BS420" s="185">
        <f t="shared" ca="1" si="352"/>
        <v>560</v>
      </c>
      <c r="BT420" s="185">
        <f t="shared" ca="1" si="352"/>
        <v>25</v>
      </c>
      <c r="BU420" s="185">
        <f t="shared" ca="1" si="352"/>
        <v>25</v>
      </c>
      <c r="BV420" s="185">
        <f t="shared" ca="1" si="352"/>
        <v>0</v>
      </c>
      <c r="BW420" s="185"/>
      <c r="BX420" s="185"/>
      <c r="BY420" s="185" t="str">
        <f t="shared" ca="1" si="347"/>
        <v>Qlosr Göteborg AB</v>
      </c>
      <c r="BZ420" s="185" t="str">
        <f t="shared" ca="1" si="347"/>
        <v>Lenovo</v>
      </c>
      <c r="CA420" s="63"/>
      <c r="CB420" s="63"/>
      <c r="CC420" s="63"/>
      <c r="CD420" s="63"/>
      <c r="CE420" s="63"/>
      <c r="CF420" s="63"/>
      <c r="CG420" s="63"/>
      <c r="CH420" s="63"/>
      <c r="CI420" s="63"/>
      <c r="CJ420" s="63"/>
      <c r="CK420" s="63"/>
      <c r="CL420" s="63"/>
      <c r="CM420" s="63"/>
      <c r="CN420" s="63"/>
    </row>
    <row r="421" spans="2:92" ht="30" customHeight="1" outlineLevel="1" x14ac:dyDescent="0.35">
      <c r="B421" s="69" t="s">
        <v>59</v>
      </c>
      <c r="C421" s="98" t="s">
        <v>374</v>
      </c>
      <c r="D421" s="70"/>
      <c r="F421" s="157" t="str">
        <f t="shared" si="353"/>
        <v/>
      </c>
      <c r="G421" s="158">
        <f t="shared" ca="1" si="354"/>
        <v>150</v>
      </c>
      <c r="H421" s="158">
        <f t="shared" ca="1" si="354"/>
        <v>169</v>
      </c>
      <c r="I421" s="158">
        <f t="shared" ca="1" si="354"/>
        <v>150</v>
      </c>
      <c r="J421" s="73"/>
      <c r="BD421" s="63"/>
      <c r="BE421" s="63"/>
      <c r="BF421" s="63"/>
      <c r="BG421" s="63"/>
      <c r="BH421" s="63"/>
      <c r="BI421" s="63"/>
      <c r="BJ421" s="63"/>
      <c r="BK421" s="63"/>
      <c r="BL421" s="63"/>
      <c r="BM421" s="63"/>
      <c r="BN421" s="63"/>
      <c r="BP421" s="63"/>
      <c r="BQ421" s="63"/>
      <c r="BR421" s="63"/>
    </row>
    <row r="422" spans="2:92" ht="30" customHeight="1" outlineLevel="1" x14ac:dyDescent="0.35">
      <c r="B422" s="69" t="s">
        <v>343</v>
      </c>
      <c r="C422" s="61" t="s">
        <v>51</v>
      </c>
      <c r="D422" s="131" t="str">
        <f>IF("Ska Ingå"=D421,"Ska Ingå","")</f>
        <v/>
      </c>
      <c r="F422" s="88" t="str">
        <f t="shared" si="353"/>
        <v/>
      </c>
      <c r="G422" s="89" t="str">
        <f t="shared" ca="1" si="354"/>
        <v>DELTACO</v>
      </c>
      <c r="H422" s="89" t="str">
        <f t="shared" ca="1" si="354"/>
        <v>DELTACO</v>
      </c>
      <c r="I422" s="89" t="str">
        <f t="shared" ca="1" si="354"/>
        <v>DELTACO</v>
      </c>
      <c r="J422" s="54"/>
      <c r="BD422" s="63"/>
      <c r="BE422" s="63"/>
      <c r="BF422" s="63"/>
      <c r="BG422" s="63"/>
      <c r="BH422" s="63"/>
      <c r="BI422" s="63"/>
      <c r="BJ422" s="63"/>
      <c r="BK422" s="63"/>
      <c r="BL422" s="63"/>
      <c r="BM422" s="63"/>
      <c r="BN422" s="63"/>
      <c r="BP422" s="63"/>
      <c r="BQ422" s="63"/>
      <c r="BR422" s="63"/>
    </row>
    <row r="423" spans="2:92" ht="45" customHeight="1" outlineLevel="1" x14ac:dyDescent="0.35">
      <c r="B423" s="69" t="s">
        <v>348</v>
      </c>
      <c r="C423" s="99" t="s">
        <v>52</v>
      </c>
      <c r="D423" s="132" t="str">
        <f>IF("Ska Ingå"=D421,"Ska Ingå","")</f>
        <v/>
      </c>
      <c r="F423" s="90" t="str">
        <f t="shared" si="353"/>
        <v/>
      </c>
      <c r="G423" s="91" t="str">
        <f t="shared" ca="1" si="354"/>
        <v>GBX TB-631</v>
      </c>
      <c r="H423" s="91" t="str">
        <f t="shared" ca="1" si="354"/>
        <v>TB-631</v>
      </c>
      <c r="I423" s="91" t="str">
        <f t="shared" ca="1" si="354"/>
        <v>GBX TB-631</v>
      </c>
      <c r="BD423" s="63"/>
      <c r="BE423" s="63"/>
      <c r="BF423" s="63"/>
      <c r="BG423" s="63"/>
      <c r="BH423" s="63"/>
      <c r="BI423" s="63"/>
      <c r="BJ423" s="63"/>
      <c r="BK423" s="63"/>
      <c r="BL423" s="63"/>
      <c r="BM423" s="63"/>
      <c r="BN423" s="63"/>
      <c r="BP423" s="63"/>
      <c r="BQ423" s="63"/>
      <c r="BR423" s="63"/>
    </row>
    <row r="424" spans="2:92" ht="30" customHeight="1" outlineLevel="1" x14ac:dyDescent="0.35">
      <c r="B424" s="69" t="s">
        <v>227</v>
      </c>
      <c r="C424" s="95" t="s">
        <v>375</v>
      </c>
      <c r="D424" s="70"/>
      <c r="F424" s="159" t="str">
        <f t="shared" si="353"/>
        <v/>
      </c>
      <c r="G424" s="160">
        <f t="shared" ca="1" si="354"/>
        <v>399</v>
      </c>
      <c r="H424" s="160">
        <f t="shared" ca="1" si="354"/>
        <v>595</v>
      </c>
      <c r="I424" s="160">
        <f t="shared" ca="1" si="354"/>
        <v>839</v>
      </c>
      <c r="BD424" s="63"/>
      <c r="BE424" s="63"/>
      <c r="BF424" s="63"/>
      <c r="BG424" s="63"/>
      <c r="BH424" s="63"/>
      <c r="BI424" s="63"/>
      <c r="BJ424" s="63"/>
      <c r="BK424" s="63"/>
      <c r="BL424" s="63"/>
      <c r="BM424" s="63"/>
      <c r="BN424" s="63"/>
      <c r="BP424" s="63"/>
      <c r="BQ424" s="63"/>
      <c r="BR424" s="63"/>
    </row>
    <row r="425" spans="2:92" ht="30" customHeight="1" outlineLevel="1" x14ac:dyDescent="0.35">
      <c r="B425" s="69" t="s">
        <v>344</v>
      </c>
      <c r="C425" s="96" t="s">
        <v>51</v>
      </c>
      <c r="D425" s="131" t="str">
        <f>IF("Ska Ingå"=D424,"Ska Ingå","")</f>
        <v/>
      </c>
      <c r="F425" s="84" t="str">
        <f t="shared" si="353"/>
        <v/>
      </c>
      <c r="G425" s="85" t="str">
        <f t="shared" ca="1" si="354"/>
        <v>Kecow</v>
      </c>
      <c r="H425" s="85" t="str">
        <f t="shared" ca="1" si="354"/>
        <v xml:space="preserve">ZAGG </v>
      </c>
      <c r="I425" s="85" t="str">
        <f t="shared" ca="1" si="354"/>
        <v>Apple</v>
      </c>
      <c r="BD425" s="63"/>
      <c r="BE425" s="63"/>
      <c r="BF425" s="63"/>
      <c r="BG425" s="63"/>
      <c r="BH425" s="63"/>
      <c r="BI425" s="63"/>
      <c r="BJ425" s="63"/>
      <c r="BK425" s="63"/>
      <c r="BL425" s="63"/>
      <c r="BM425" s="63"/>
      <c r="BN425" s="63"/>
      <c r="BP425" s="63"/>
      <c r="BQ425" s="63"/>
      <c r="BR425" s="63"/>
    </row>
    <row r="426" spans="2:92" ht="67.5" customHeight="1" outlineLevel="1" x14ac:dyDescent="0.35">
      <c r="B426" s="69" t="s">
        <v>349</v>
      </c>
      <c r="C426" s="116" t="s">
        <v>52</v>
      </c>
      <c r="D426" s="132" t="str">
        <f>IF("Ska Ingå"=D424,"Ska Ingå","")</f>
        <v/>
      </c>
      <c r="F426" s="117" t="str">
        <f t="shared" si="353"/>
        <v/>
      </c>
      <c r="G426" s="118" t="str">
        <f t="shared" ca="1" si="354"/>
        <v>GBXPP2PENMAGNETIC</v>
      </c>
      <c r="H426" s="118" t="str">
        <f t="shared" ca="1" si="354"/>
        <v>109912139 - Pro Stylus 2 - Aktiv penna - grå</v>
      </c>
      <c r="I426" s="118" t="str">
        <f t="shared" ca="1" si="354"/>
        <v>MK0C2ZM/A</v>
      </c>
      <c r="BD426" s="63"/>
      <c r="BE426" s="63"/>
      <c r="BF426" s="63"/>
      <c r="BG426" s="63"/>
      <c r="BH426" s="63"/>
      <c r="BI426" s="63"/>
      <c r="BJ426" s="63"/>
      <c r="BK426" s="63"/>
      <c r="BL426" s="63"/>
      <c r="BM426" s="63"/>
      <c r="BN426" s="63"/>
      <c r="BP426" s="63"/>
      <c r="BQ426" s="63"/>
      <c r="BR426" s="63"/>
    </row>
    <row r="427" spans="2:92" ht="22.5" customHeight="1" outlineLevel="1" x14ac:dyDescent="0.35">
      <c r="B427" s="69"/>
      <c r="C427" s="212" t="s">
        <v>365</v>
      </c>
      <c r="D427" s="215"/>
      <c r="E427" s="213"/>
      <c r="F427" s="213"/>
      <c r="G427" s="213"/>
      <c r="H427" s="213"/>
      <c r="I427" s="214"/>
    </row>
    <row r="428" spans="2:92" ht="22.5" customHeight="1" outlineLevel="1" x14ac:dyDescent="0.35">
      <c r="B428" s="71" t="s">
        <v>228</v>
      </c>
      <c r="C428" s="115" t="s">
        <v>367</v>
      </c>
      <c r="D428" s="70"/>
      <c r="F428" s="161" t="str">
        <f>IF(F$399="Inget antal angivet","",IFERROR(INDEX($AN$400:$BZ$426,MATCH(F$396,$AL$400:$AL$426,0),MATCH($B428,$AN$400:$BZ$400,0)),""))</f>
        <v/>
      </c>
      <c r="G428" s="162">
        <f t="shared" ref="G428:I430" ca="1" si="355">IFERROR(INDEX($AN$400:$BZ$426,MATCH(G$396,$AL$400:$AL$426,0),MATCH($B428,$AN$400:$BZ$400,0)),"")</f>
        <v>570</v>
      </c>
      <c r="H428" s="162">
        <f t="shared" ca="1" si="355"/>
        <v>781</v>
      </c>
      <c r="I428" s="162">
        <f t="shared" ca="1" si="355"/>
        <v>514</v>
      </c>
    </row>
    <row r="429" spans="2:92" ht="22.5" customHeight="1" outlineLevel="1" x14ac:dyDescent="0.35">
      <c r="B429" s="71" t="s">
        <v>229</v>
      </c>
      <c r="C429" s="61" t="s">
        <v>369</v>
      </c>
      <c r="D429" s="70"/>
      <c r="F429" s="165" t="str">
        <f>IF(F$399="Inget antal angivet","",IFERROR(INDEX($AN$400:$BZ$426,MATCH(F$396,$AL$400:$AL$426,0),MATCH($B429,$AN$400:$BZ$400,0)),""))</f>
        <v/>
      </c>
      <c r="G429" s="166">
        <f t="shared" ca="1" si="355"/>
        <v>25</v>
      </c>
      <c r="H429" s="166">
        <f t="shared" ca="1" si="355"/>
        <v>50</v>
      </c>
      <c r="I429" s="166">
        <f t="shared" ca="1" si="355"/>
        <v>25</v>
      </c>
    </row>
    <row r="430" spans="2:92" ht="22.5" customHeight="1" outlineLevel="1" x14ac:dyDescent="0.35">
      <c r="B430" s="71" t="s">
        <v>230</v>
      </c>
      <c r="C430" s="96" t="s">
        <v>370</v>
      </c>
      <c r="D430" s="70"/>
      <c r="F430" s="163" t="str">
        <f>IF(F$399="Inget antal angivet","",IFERROR(INDEX($AN$400:$BZ$426,MATCH(F$396,$AL$400:$AL$426,0),MATCH($B430,$AN$400:$BZ$400,0)),""))</f>
        <v/>
      </c>
      <c r="G430" s="164">
        <f t="shared" ca="1" si="355"/>
        <v>25</v>
      </c>
      <c r="H430" s="164">
        <f t="shared" ca="1" si="355"/>
        <v>50</v>
      </c>
      <c r="I430" s="164">
        <f t="shared" ca="1" si="355"/>
        <v>25</v>
      </c>
    </row>
    <row r="431" spans="2:92" ht="22.5" customHeight="1" outlineLevel="1" x14ac:dyDescent="0.35"/>
    <row r="432" spans="2:92" ht="22.5" customHeight="1" x14ac:dyDescent="0.35"/>
    <row r="433" spans="3:9" ht="22.5" customHeight="1" x14ac:dyDescent="0.35">
      <c r="D433" s="72" t="s">
        <v>233</v>
      </c>
      <c r="F433" s="221" t="s">
        <v>252</v>
      </c>
      <c r="G433" s="221"/>
      <c r="H433" s="221"/>
      <c r="I433" s="222"/>
    </row>
    <row r="434" spans="3:9" ht="22.5" customHeight="1" x14ac:dyDescent="0.35">
      <c r="D434" s="74"/>
      <c r="F434" s="202" t="str">
        <f ca="1">IFERROR(INDEX($Z$401:$Z$424,MATCH(F396,$AA$401:$AA$424,0))*D434,"")</f>
        <v/>
      </c>
      <c r="G434" s="202">
        <f ca="1">IFERROR(P401 *D434,"")</f>
        <v>0</v>
      </c>
      <c r="H434" s="202">
        <f ca="1">IFERROR(P402 *D434,"")</f>
        <v>0</v>
      </c>
      <c r="I434" s="202">
        <f ca="1">IFERROR(P403 * D434,"")</f>
        <v>0</v>
      </c>
    </row>
    <row r="436" spans="3:9" ht="15" thickBot="1" x14ac:dyDescent="0.4">
      <c r="C436" s="174"/>
      <c r="D436" s="174"/>
      <c r="E436" s="174"/>
      <c r="F436" s="174"/>
      <c r="G436" s="174"/>
      <c r="H436" s="174"/>
      <c r="I436" s="174"/>
    </row>
    <row r="437" spans="3:9" ht="15" thickTop="1" x14ac:dyDescent="0.35"/>
  </sheetData>
  <sheetProtection algorithmName="SHA-512" hashValue="jWSSxdKtQqrEu6VbbF9IFLpfWw5QsJNsV0HuMlqew7xy8mLndEgm4AqoVOSEELBfY82lN3Zy6zs21bwl0uQzLw==" saltValue="O6krsWAcDl5rthdEeUeNrw==" spinCount="100000" sheet="1" formatRows="0"/>
  <autoFilter ref="K11:CT437" xr:uid="{00000000-0001-0000-0400-000000000000}"/>
  <mergeCells count="80">
    <mergeCell ref="G8:I8"/>
    <mergeCell ref="C38:I38"/>
    <mergeCell ref="C11:D11"/>
    <mergeCell ref="F9:I9"/>
    <mergeCell ref="F44:I44"/>
    <mergeCell ref="C12:D12"/>
    <mergeCell ref="C22:I22"/>
    <mergeCell ref="C9:D9"/>
    <mergeCell ref="C81:I81"/>
    <mergeCell ref="F87:I87"/>
    <mergeCell ref="G51:I51"/>
    <mergeCell ref="C52:D52"/>
    <mergeCell ref="F52:I52"/>
    <mergeCell ref="C54:D54"/>
    <mergeCell ref="C55:D55"/>
    <mergeCell ref="C65:I65"/>
    <mergeCell ref="C125:I125"/>
    <mergeCell ref="F131:I131"/>
    <mergeCell ref="G95:I95"/>
    <mergeCell ref="C96:D96"/>
    <mergeCell ref="F96:I96"/>
    <mergeCell ref="C98:D98"/>
    <mergeCell ref="C99:D99"/>
    <mergeCell ref="C109:I109"/>
    <mergeCell ref="C185:D185"/>
    <mergeCell ref="C186:D186"/>
    <mergeCell ref="C196:I196"/>
    <mergeCell ref="C212:I212"/>
    <mergeCell ref="F218:I218"/>
    <mergeCell ref="C183:D183"/>
    <mergeCell ref="F183:I183"/>
    <mergeCell ref="G138:I138"/>
    <mergeCell ref="C139:D139"/>
    <mergeCell ref="F139:I139"/>
    <mergeCell ref="C141:D141"/>
    <mergeCell ref="C142:D142"/>
    <mergeCell ref="C152:I152"/>
    <mergeCell ref="C168:I168"/>
    <mergeCell ref="F174:I174"/>
    <mergeCell ref="G182:I182"/>
    <mergeCell ref="C411:I411"/>
    <mergeCell ref="C427:I427"/>
    <mergeCell ref="F433:I433"/>
    <mergeCell ref="F389:I389"/>
    <mergeCell ref="G397:I397"/>
    <mergeCell ref="C398:D398"/>
    <mergeCell ref="F398:I398"/>
    <mergeCell ref="C400:D400"/>
    <mergeCell ref="C401:D401"/>
    <mergeCell ref="C383:I383"/>
    <mergeCell ref="C313:D313"/>
    <mergeCell ref="C314:D314"/>
    <mergeCell ref="C324:I324"/>
    <mergeCell ref="C340:I340"/>
    <mergeCell ref="F346:I346"/>
    <mergeCell ref="G353:I353"/>
    <mergeCell ref="C354:D354"/>
    <mergeCell ref="F354:I354"/>
    <mergeCell ref="C356:D356"/>
    <mergeCell ref="C357:D357"/>
    <mergeCell ref="C367:I367"/>
    <mergeCell ref="C311:D311"/>
    <mergeCell ref="F311:I311"/>
    <mergeCell ref="C253:I253"/>
    <mergeCell ref="F259:I259"/>
    <mergeCell ref="G266:I266"/>
    <mergeCell ref="C267:D267"/>
    <mergeCell ref="F267:I267"/>
    <mergeCell ref="C269:D269"/>
    <mergeCell ref="C270:D270"/>
    <mergeCell ref="C280:I280"/>
    <mergeCell ref="C296:I296"/>
    <mergeCell ref="F302:I302"/>
    <mergeCell ref="G310:I310"/>
    <mergeCell ref="C237:I237"/>
    <mergeCell ref="G223:I223"/>
    <mergeCell ref="C224:D224"/>
    <mergeCell ref="F224:I224"/>
    <mergeCell ref="C226:D226"/>
    <mergeCell ref="C227:D227"/>
  </mergeCells>
  <phoneticPr fontId="7" type="noConversion"/>
  <conditionalFormatting sqref="C9:D9">
    <cfRule type="expression" dxfId="62" priority="10">
      <formula>C9= ""</formula>
    </cfRule>
  </conditionalFormatting>
  <conditionalFormatting sqref="C52:D52">
    <cfRule type="expression" dxfId="61" priority="9">
      <formula>C52= ""</formula>
    </cfRule>
  </conditionalFormatting>
  <conditionalFormatting sqref="C96:D96">
    <cfRule type="expression" dxfId="60" priority="8">
      <formula>C96= ""</formula>
    </cfRule>
  </conditionalFormatting>
  <conditionalFormatting sqref="C139:D139">
    <cfRule type="expression" dxfId="59" priority="7">
      <formula>C139= ""</formula>
    </cfRule>
  </conditionalFormatting>
  <conditionalFormatting sqref="C183:D183">
    <cfRule type="expression" dxfId="58" priority="6">
      <formula>C183= ""</formula>
    </cfRule>
  </conditionalFormatting>
  <conditionalFormatting sqref="C224:D224">
    <cfRule type="expression" dxfId="57" priority="5">
      <formula>C224= ""</formula>
    </cfRule>
  </conditionalFormatting>
  <conditionalFormatting sqref="C267:D267">
    <cfRule type="expression" dxfId="56" priority="4">
      <formula>C267= ""</formula>
    </cfRule>
  </conditionalFormatting>
  <conditionalFormatting sqref="C311:D311">
    <cfRule type="expression" dxfId="55" priority="3">
      <formula>C311= ""</formula>
    </cfRule>
  </conditionalFormatting>
  <conditionalFormatting sqref="C354:D354">
    <cfRule type="expression" dxfId="54" priority="2">
      <formula>C354= ""</formula>
    </cfRule>
  </conditionalFormatting>
  <conditionalFormatting sqref="C398:D398">
    <cfRule type="expression" dxfId="53" priority="1">
      <formula>C398= ""</formula>
    </cfRule>
  </conditionalFormatting>
  <dataValidations count="12">
    <dataValidation type="list" allowBlank="1" showInputMessage="1" showErrorMessage="1" sqref="D20 D365 D63 D107 D150 D194 D235 D278 D322 D409" xr:uid="{00000000-0002-0000-0400-000000000000}">
      <formula1>$CH$12:$CH$16</formula1>
    </dataValidation>
    <dataValidation type="list" allowBlank="1" showInputMessage="1" showErrorMessage="1" sqref="D364 D19 D62 D106 D149 D193 D234 D277 D321 D408" xr:uid="{00000000-0002-0000-0400-000002000000}">
      <formula1>$CF$12:$CF$17</formula1>
    </dataValidation>
    <dataValidation type="list" allowBlank="1" showInputMessage="1" showErrorMessage="1" sqref="D16 D361 D59 D103 D146 D190 D231 D274 D318 D405" xr:uid="{00000000-0002-0000-0400-000003000000}">
      <formula1>$CB$12:$CB$13</formula1>
    </dataValidation>
    <dataValidation type="list" allowBlank="1" showInputMessage="1" showErrorMessage="1" sqref="D18 D363 D61 D105 D148 D192 D233 D276 D320 D407" xr:uid="{00000000-0002-0000-0400-000004000000}">
      <formula1>$CD$12:$CD$13</formula1>
    </dataValidation>
    <dataValidation type="whole" allowBlank="1" showInputMessage="1" showErrorMessage="1" sqref="D45 D88 D132 D175 D219 D260 D303 D347 D390 D434" xr:uid="{00000000-0002-0000-0400-000005000000}">
      <formula1>0</formula1>
      <formula2>10000</formula2>
    </dataValidation>
    <dataValidation type="list" allowBlank="1" showInputMessage="1" showErrorMessage="1" sqref="D21 D64 D108 D151 D195 D236 D279 D323 D366 D410" xr:uid="{00000000-0002-0000-0400-000006000000}">
      <formula1>$CN$12</formula1>
    </dataValidation>
    <dataValidation type="list" allowBlank="1" showInputMessage="1" showErrorMessage="1" sqref="D39:D41 D23 D26 D29 D32 D35 D82:D84 D66 D69 D72 D75 D78 D126:D128 D110 D113 D116 D119 D122 D169:D171 D153 D156 D159 D162 D165 D213:D215 D197 D200 D203 D206 D209 D254:D256 D238 D241 D244 D247 D250 D297:D299 D281 D284 D287 D290 D293 D341:D343 D325 D328 D331 D334 D337 D384:D386 D368 D371 D374 D377 D380 D428:D430 D412 D415 D418 D421 D424" xr:uid="{00000000-0002-0000-0400-000008000000}">
      <formula1>"Ska Ingå,"</formula1>
    </dataValidation>
    <dataValidation type="list" allowBlank="1" showInputMessage="1" showErrorMessage="1" sqref="D14 D359 D57 D101 D144 D188 D229 D272 D316 D403" xr:uid="{00000000-0002-0000-0400-000009000000}">
      <formula1>$CE$12:$CE$21</formula1>
    </dataValidation>
    <dataValidation type="list" allowBlank="1" showInputMessage="1" showErrorMessage="1" sqref="D15 D360 D58 D102 D145 D189 D230 D273 D317 D404" xr:uid="{00000000-0002-0000-0400-00000A000000}">
      <formula1>$CA$12:$CA$18</formula1>
    </dataValidation>
    <dataValidation type="list" allowBlank="1" showInputMessage="1" showErrorMessage="1" sqref="D431:D432 D42:D43 D46 D85:D86 D89 D129:D130 D133 D172:D173 D216:D217 D176 D261:D262 D257:D258 D220 D300:D301 D304 D344:D345 D348:D349 D387:D388 D391:D392 D435:D436" xr:uid="{00000000-0002-0000-0400-00000B000000}">
      <formula1>CA$12:CA$20</formula1>
    </dataValidation>
    <dataValidation type="list" allowBlank="1" showInputMessage="1" showErrorMessage="1" sqref="D13 D358 D315 D271 D228 D187 D143 D100 D56 D402" xr:uid="{00000000-0002-0000-0400-000001000000}">
      <formula1>$CG$12:$CG$17</formula1>
    </dataValidation>
    <dataValidation type="list" allowBlank="1" showInputMessage="1" showErrorMessage="1" sqref="D17 D60 D104 D147 D191 D232 D275 D319 D362 D406" xr:uid="{8ECA2F5D-27B0-4EBD-B2B6-767B02CB50EB}">
      <formula1>$CC$12:$CC$15</formula1>
    </dataValidation>
  </dataValidations>
  <pageMargins left="0.7" right="0.7" top="0.75" bottom="0.75" header="0.3" footer="0.3"/>
  <pageSetup scale="5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F2CC"/>
    <outlinePr summaryBelow="0" summaryRight="0"/>
    <pageSetUpPr fitToPage="1"/>
  </sheetPr>
  <dimension ref="B1:CD327"/>
  <sheetViews>
    <sheetView showGridLines="0" topLeftCell="A6" zoomScale="85" zoomScaleNormal="85" workbookViewId="0">
      <selection activeCell="A6" sqref="A6"/>
    </sheetView>
  </sheetViews>
  <sheetFormatPr defaultColWidth="9.1796875" defaultRowHeight="14.5" outlineLevelRow="1" x14ac:dyDescent="0.35"/>
  <cols>
    <col min="1" max="1" width="2.81640625" customWidth="1"/>
    <col min="2" max="2" width="18" hidden="1" customWidth="1"/>
    <col min="3" max="3" width="23.54296875" customWidth="1" collapsed="1"/>
    <col min="4" max="4" width="23.54296875" customWidth="1"/>
    <col min="5" max="5" width="2.81640625" customWidth="1"/>
    <col min="6" max="9" width="28.54296875" customWidth="1"/>
    <col min="10" max="10" width="11.54296875" customWidth="1"/>
    <col min="11" max="32" width="11.54296875" hidden="1" customWidth="1"/>
    <col min="33" max="33" width="29.453125" hidden="1" customWidth="1"/>
    <col min="34" max="76" width="11.54296875" hidden="1" customWidth="1"/>
    <col min="77" max="79" width="15.81640625" customWidth="1"/>
    <col min="80" max="81" width="9.1796875" customWidth="1"/>
    <col min="82" max="82" width="9.1796875" collapsed="1"/>
  </cols>
  <sheetData>
    <row r="1" spans="2:75" ht="20.25" hidden="1" customHeight="1" x14ac:dyDescent="0.35">
      <c r="M1" s="103" t="s">
        <v>162</v>
      </c>
      <c r="O1" s="196">
        <f t="shared" ref="O1:O6" ca="1" si="0">SUMIF($M:$M,M1,K:K)</f>
        <v>0</v>
      </c>
      <c r="P1" s="185" t="b">
        <f t="shared" ref="P1:P6" si="1">IF(COUNTIFS(L:L,FALSE,M:M,M1)&gt;0,FALSE,TRUE)</f>
        <v>1</v>
      </c>
    </row>
    <row r="2" spans="2:75" ht="20.25" hidden="1" customHeight="1" x14ac:dyDescent="0.35">
      <c r="M2" s="103" t="s">
        <v>150</v>
      </c>
      <c r="O2" s="196">
        <f t="shared" ca="1" si="0"/>
        <v>0</v>
      </c>
      <c r="P2" s="185" t="b">
        <f t="shared" si="1"/>
        <v>1</v>
      </c>
    </row>
    <row r="3" spans="2:75" ht="20.25" hidden="1" customHeight="1" x14ac:dyDescent="0.35">
      <c r="M3" s="103" t="s">
        <v>128</v>
      </c>
      <c r="O3" s="196">
        <f t="shared" ca="1" si="0"/>
        <v>0</v>
      </c>
      <c r="P3" s="185" t="b">
        <f t="shared" si="1"/>
        <v>1</v>
      </c>
    </row>
    <row r="4" spans="2:75" ht="20.25" hidden="1" customHeight="1" x14ac:dyDescent="0.35">
      <c r="M4" s="103" t="s">
        <v>169</v>
      </c>
      <c r="O4" s="196">
        <f t="shared" ca="1" si="0"/>
        <v>0</v>
      </c>
      <c r="P4" s="185" t="b">
        <f t="shared" si="1"/>
        <v>1</v>
      </c>
    </row>
    <row r="5" spans="2:75" ht="20.25" hidden="1" customHeight="1" x14ac:dyDescent="0.35">
      <c r="M5" s="103" t="s">
        <v>167</v>
      </c>
      <c r="O5" s="196">
        <f t="shared" ca="1" si="0"/>
        <v>0</v>
      </c>
      <c r="P5" s="185" t="b">
        <f t="shared" si="1"/>
        <v>1</v>
      </c>
    </row>
    <row r="6" spans="2:75" ht="20.25" customHeight="1" x14ac:dyDescent="0.35">
      <c r="M6" s="103" t="s">
        <v>546</v>
      </c>
      <c r="O6" s="196">
        <f t="shared" ca="1" si="0"/>
        <v>0</v>
      </c>
      <c r="P6" s="185" t="b">
        <f t="shared" si="1"/>
        <v>1</v>
      </c>
    </row>
    <row r="7" spans="2:75" ht="20.25" customHeight="1" collapsed="1" x14ac:dyDescent="0.35">
      <c r="C7" s="53"/>
      <c r="D7" s="53"/>
      <c r="F7" s="50" t="e">
        <f ca="1">N11</f>
        <v>#N/A</v>
      </c>
      <c r="G7" s="50" t="str">
        <f ca="1">INDEX(W12:W36,MATCH(P12,V12:V36,0))</f>
        <v>Offererad produktnr. 11Advania Sverige AB</v>
      </c>
      <c r="H7" s="50" t="str">
        <f ca="1">INDEX(W11:W35,MATCH(P13,V11:V35,0))</f>
        <v>Offererad produktnr. 11Atea Sverige AB</v>
      </c>
      <c r="I7" s="50" t="str">
        <f ca="1">INDEX(W11:W35,MATCH(P14,V11:V35,0))</f>
        <v>Offererad produktnr. 11Qlosr Göteborg AB</v>
      </c>
      <c r="AI7" s="12" t="s">
        <v>124</v>
      </c>
      <c r="AJ7" s="12" t="s">
        <v>124</v>
      </c>
      <c r="AK7" s="12" t="s">
        <v>124</v>
      </c>
      <c r="AL7" s="12" t="s">
        <v>124</v>
      </c>
      <c r="AM7" s="12" t="s">
        <v>124</v>
      </c>
      <c r="AN7" s="12" t="s">
        <v>124</v>
      </c>
      <c r="AO7" s="12" t="s">
        <v>124</v>
      </c>
      <c r="AP7" s="12" t="s">
        <v>124</v>
      </c>
      <c r="AQ7" s="12" t="s">
        <v>124</v>
      </c>
      <c r="AR7" s="12" t="s">
        <v>124</v>
      </c>
      <c r="AS7" s="12" t="s">
        <v>124</v>
      </c>
      <c r="AT7" s="12" t="s">
        <v>124</v>
      </c>
      <c r="AU7" s="12" t="s">
        <v>124</v>
      </c>
      <c r="AV7" s="12" t="s">
        <v>124</v>
      </c>
      <c r="AW7" s="12" t="s">
        <v>124</v>
      </c>
      <c r="AX7" s="12" t="s">
        <v>124</v>
      </c>
      <c r="AY7" s="12" t="s">
        <v>124</v>
      </c>
      <c r="AZ7" s="12" t="s">
        <v>124</v>
      </c>
      <c r="BA7" s="12" t="s">
        <v>124</v>
      </c>
      <c r="BB7" s="12" t="s">
        <v>124</v>
      </c>
      <c r="BC7" s="12" t="s">
        <v>124</v>
      </c>
      <c r="BD7" s="12" t="s">
        <v>124</v>
      </c>
      <c r="BE7" s="12" t="s">
        <v>124</v>
      </c>
      <c r="BF7" s="12" t="s">
        <v>124</v>
      </c>
      <c r="BG7" s="12" t="s">
        <v>124</v>
      </c>
      <c r="BH7" s="12" t="s">
        <v>124</v>
      </c>
      <c r="BI7" s="12" t="s">
        <v>124</v>
      </c>
      <c r="BJ7" s="12"/>
      <c r="BK7" s="12"/>
      <c r="BL7" s="12"/>
      <c r="BM7" s="12"/>
      <c r="BN7" s="12"/>
      <c r="BO7" s="12"/>
      <c r="BP7" s="12"/>
      <c r="BQ7" s="12"/>
      <c r="BR7" s="12"/>
      <c r="BS7" s="12"/>
      <c r="BT7" s="12"/>
      <c r="BU7" s="12"/>
      <c r="BV7" s="12"/>
      <c r="BW7" s="12"/>
    </row>
    <row r="8" spans="2:75" ht="26.25" customHeight="1" thickBot="1" x14ac:dyDescent="0.4">
      <c r="C8" s="53"/>
      <c r="D8" s="53"/>
      <c r="F8" s="140" t="s">
        <v>446</v>
      </c>
      <c r="G8" s="205" t="s">
        <v>447</v>
      </c>
      <c r="H8" s="205"/>
      <c r="I8" s="205"/>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row>
    <row r="9" spans="2:75" ht="22.5" customHeight="1" thickBot="1" x14ac:dyDescent="0.4">
      <c r="B9" t="str">
        <f ca="1" xml:space="preserve"> "Produkt "  &amp; B10</f>
        <v>Produkt 1</v>
      </c>
      <c r="C9" s="206" t="str">
        <f>IF(F10="Ingen produkt motsvarar","Felmeddelande",IF(COUNTIF($P$1:$P$6,TRUE)&gt;0,"","Felmeddelande"))</f>
        <v/>
      </c>
      <c r="D9" s="207"/>
      <c r="F9" s="218" t="s">
        <v>271</v>
      </c>
      <c r="G9" s="218"/>
      <c r="H9" s="218"/>
      <c r="I9" s="219"/>
      <c r="O9">
        <v>1</v>
      </c>
      <c r="AI9" s="13" t="str">
        <f>AI11</f>
        <v>Skärmstorlek (tum)</v>
      </c>
      <c r="AJ9" s="13" t="str">
        <f t="shared" ref="AJ9:AW9" si="2">AJ11</f>
        <v>Upplösning</v>
      </c>
      <c r="AK9" s="13" t="str">
        <f t="shared" si="2"/>
        <v>Portar USB</v>
      </c>
      <c r="AL9" s="13" t="str">
        <f t="shared" si="2"/>
        <v>Portar HDMI</v>
      </c>
      <c r="AM9" s="13" t="str">
        <f t="shared" si="2"/>
        <v>Portar Display</v>
      </c>
      <c r="AN9" s="13" t="str">
        <f>AN11</f>
        <v>Antal färger</v>
      </c>
      <c r="AO9" s="13" t="str">
        <f t="shared" si="2"/>
        <v>Ljusstyrka</v>
      </c>
      <c r="AP9" s="13" t="str">
        <f t="shared" si="2"/>
        <v>Energiprestanda</v>
      </c>
      <c r="AQ9" s="13" t="str">
        <f t="shared" si="2"/>
        <v>Låsskydd</v>
      </c>
      <c r="AR9" s="13" t="str">
        <f t="shared" si="2"/>
        <v>Kommunikation Bluetooth</v>
      </c>
      <c r="AS9" s="13" t="str">
        <f t="shared" si="2"/>
        <v>Batteritid (tim)</v>
      </c>
      <c r="AT9" s="13" t="str">
        <f t="shared" si="2"/>
        <v>Energiprestanda</v>
      </c>
      <c r="AU9" s="13" t="str">
        <f t="shared" si="2"/>
        <v>Låsskydd</v>
      </c>
      <c r="AV9" s="13" t="str">
        <f t="shared" si="2"/>
        <v>Operativsystem</v>
      </c>
      <c r="AW9" s="13" t="str">
        <f t="shared" si="2"/>
        <v>Modellbenämning</v>
      </c>
      <c r="AX9" t="s">
        <v>224</v>
      </c>
      <c r="AY9" s="56" t="s">
        <v>53</v>
      </c>
      <c r="AZ9" s="57" t="s">
        <v>228</v>
      </c>
      <c r="BA9" s="57" t="s">
        <v>229</v>
      </c>
      <c r="BB9" s="57" t="s">
        <v>230</v>
      </c>
      <c r="BC9" s="56" t="s">
        <v>340</v>
      </c>
      <c r="BD9" s="57" t="s">
        <v>345</v>
      </c>
      <c r="BE9" s="57"/>
      <c r="BF9" s="57"/>
      <c r="BG9" s="57"/>
      <c r="BH9" s="57" t="s">
        <v>6</v>
      </c>
      <c r="BI9" s="4" t="s">
        <v>51</v>
      </c>
      <c r="BJ9" s="13"/>
      <c r="BK9" s="13"/>
      <c r="BL9" s="13"/>
      <c r="BM9" s="13"/>
      <c r="BN9" s="13"/>
      <c r="BO9" s="13"/>
      <c r="BP9" s="13"/>
      <c r="BQ9" s="13"/>
      <c r="BR9" s="13"/>
      <c r="BS9" s="13"/>
      <c r="BT9" s="13"/>
      <c r="BU9" s="13"/>
      <c r="BV9" s="13"/>
      <c r="BW9" s="13"/>
    </row>
    <row r="10" spans="2:75" ht="22.5" customHeight="1" x14ac:dyDescent="0.35">
      <c r="B10">
        <f ca="1">COUNTIF($F$7:F13,"Produkt I varukorg*")</f>
        <v>1</v>
      </c>
      <c r="F10" s="51" t="str">
        <f>IF(D34&lt;1,"Inget antal angivet",IFERROR(INDEX($V$12:$V$23,MATCH(F7,$W$12:$W$23,0)),"Ingen produkt motsvarar"))</f>
        <v>Inget antal angivet</v>
      </c>
      <c r="G10" s="52">
        <f ca="1">IFERROR(P12,"Ingen produkt motsvarar")</f>
        <v>1981</v>
      </c>
      <c r="H10" s="52">
        <f ca="1">IFERROR(P13,"")</f>
        <v>2034</v>
      </c>
      <c r="I10" s="52">
        <f ca="1">IFERROR(P14,"")</f>
        <v>2076</v>
      </c>
      <c r="W10" t="str">
        <f>IF(COUNTIF(X10:AF10,FALSE)&gt;0,AG10,"")</f>
        <v/>
      </c>
      <c r="X10" t="b">
        <f>IF($D$13="",TRUE,IF(AI10=$D$13,TRUE,FALSE))</f>
        <v>1</v>
      </c>
      <c r="Y10" t="b">
        <f>IF(D12="",TRUE,IF(AJ10=$D$14,TRUE,FALSE))</f>
        <v>1</v>
      </c>
      <c r="Z10" t="b">
        <f>IF(D13="",TRUE,IF(AK10=D13,TRUE,FALSE))</f>
        <v>1</v>
      </c>
      <c r="AA10" t="b">
        <f>IF(D14="",TRUE,IF(AL10=D14,TRUE,FALSE))</f>
        <v>1</v>
      </c>
      <c r="AB10" t="b">
        <f>IF(D18="",TRUE,IF(AM10=D18,TRUE,FALSE))</f>
        <v>1</v>
      </c>
      <c r="AC10" t="b">
        <f>IF(D19="",TRUE,IF(AN10=D19,TRUE,FALSE))</f>
        <v>1</v>
      </c>
      <c r="AE10" t="b">
        <f>IF(D17="",TRUE,IF(AO10=D17,TRUE,FALSE))</f>
        <v>1</v>
      </c>
      <c r="AF10" t="b">
        <f>IFERROR(IF($D20="",TRUE,IF(MID(AT10,LEN(AT10)-2,1)*1&gt;=MID($D20,LEN($D20)-2,1)*1,TRUE,FALSE)),FALSE)</f>
        <v>1</v>
      </c>
      <c r="AG10" t="s">
        <v>126</v>
      </c>
      <c r="AI10" s="58" t="str">
        <f t="shared" ref="AI10:BI10" ca="1" si="3">IFERROR(INDEX(INDIRECT(AI$7&amp;"!$A$10:CC100000"),MATCH($AG10,INDIRECT(AI$7&amp;"!BH$10:BH100000"),0),MATCH(AI$9,INDIRECT(AI$7&amp;"!a10:CC10"),0)),"False")</f>
        <v>False</v>
      </c>
      <c r="AJ10" s="58" t="str">
        <f t="shared" ca="1" si="3"/>
        <v>False</v>
      </c>
      <c r="AK10" s="58" t="str">
        <f t="shared" ca="1" si="3"/>
        <v>False</v>
      </c>
      <c r="AL10" s="58" t="str">
        <f t="shared" ca="1" si="3"/>
        <v>False</v>
      </c>
      <c r="AM10" s="58" t="str">
        <f t="shared" ca="1" si="3"/>
        <v>False</v>
      </c>
      <c r="AN10" s="58" t="str">
        <f t="shared" ca="1" si="3"/>
        <v>False</v>
      </c>
      <c r="AO10" s="58" t="str">
        <f t="shared" ca="1" si="3"/>
        <v>False</v>
      </c>
      <c r="AP10" s="58" t="str">
        <f t="shared" ca="1" si="3"/>
        <v>False</v>
      </c>
      <c r="AQ10" s="58" t="str">
        <f t="shared" ca="1" si="3"/>
        <v>False</v>
      </c>
      <c r="AR10" s="58" t="str">
        <f t="shared" ca="1" si="3"/>
        <v>False</v>
      </c>
      <c r="AS10" s="58" t="str">
        <f t="shared" ca="1" si="3"/>
        <v>False</v>
      </c>
      <c r="AT10" s="58" t="str">
        <f t="shared" ca="1" si="3"/>
        <v>False</v>
      </c>
      <c r="AU10" s="58" t="str">
        <f t="shared" ca="1" si="3"/>
        <v>False</v>
      </c>
      <c r="AV10" s="58" t="str">
        <f t="shared" ca="1" si="3"/>
        <v>False</v>
      </c>
      <c r="AW10" s="58" t="str">
        <f t="shared" ca="1" si="3"/>
        <v>False</v>
      </c>
      <c r="AX10" s="58" t="str">
        <f t="shared" ca="1" si="3"/>
        <v>False</v>
      </c>
      <c r="AY10" s="58" t="str">
        <f t="shared" ca="1" si="3"/>
        <v>False</v>
      </c>
      <c r="AZ10" s="58" t="str">
        <f t="shared" ca="1" si="3"/>
        <v>False</v>
      </c>
      <c r="BA10" s="58" t="str">
        <f t="shared" ca="1" si="3"/>
        <v>False</v>
      </c>
      <c r="BB10" s="58" t="str">
        <f t="shared" ca="1" si="3"/>
        <v>False</v>
      </c>
      <c r="BC10" s="58" t="str">
        <f t="shared" ca="1" si="3"/>
        <v>False</v>
      </c>
      <c r="BD10" s="58" t="str">
        <f t="shared" ca="1" si="3"/>
        <v>False</v>
      </c>
      <c r="BE10" s="58" t="str">
        <f t="shared" ca="1" si="3"/>
        <v>False</v>
      </c>
      <c r="BF10" s="58" t="str">
        <f t="shared" ca="1" si="3"/>
        <v>False</v>
      </c>
      <c r="BG10" s="58" t="str">
        <f t="shared" ca="1" si="3"/>
        <v>False</v>
      </c>
      <c r="BH10" s="58" t="str">
        <f t="shared" ca="1" si="3"/>
        <v>False</v>
      </c>
      <c r="BI10" s="58" t="str">
        <f t="shared" ca="1" si="3"/>
        <v>False</v>
      </c>
      <c r="BJ10" s="58"/>
      <c r="BK10" s="58"/>
      <c r="BL10" s="58"/>
      <c r="BM10" s="58"/>
      <c r="BN10" s="58"/>
      <c r="BO10" s="58"/>
      <c r="BP10" s="58"/>
      <c r="BQ10" s="58"/>
      <c r="BR10" s="58"/>
      <c r="BS10" s="58"/>
      <c r="BT10" s="58"/>
      <c r="BU10" s="58"/>
      <c r="BV10" s="58"/>
      <c r="BW10" s="58"/>
    </row>
    <row r="11" spans="2:75" ht="22.5" customHeight="1" x14ac:dyDescent="0.35">
      <c r="C11" s="210" t="str">
        <f ca="1" xml:space="preserve"> "Bildskärm "  &amp; RIGHT("00" &amp; B10,2)</f>
        <v>Bildskärm 01</v>
      </c>
      <c r="D11" s="211"/>
      <c r="F11" s="103" t="str">
        <f>IF(F$10="Inget antal angivet","",IFERROR(INDEX($AI$11:$BI$36,MATCH(F$7,$AG$11:$AG$36,0),MATCH("Modellbenämning",$AI$11:$BI$11,0)),""))</f>
        <v/>
      </c>
      <c r="G11" s="103" t="str">
        <f ca="1">IFERROR(INDEX($AI$11:$BI$36,MATCH(G$7,$AG$11:$AG$36,0),MATCH("Modellbenämning",$AI$11:$BI$11,0)),"")</f>
        <v>HP E24i G4 - E-Series - LED-skärm</v>
      </c>
      <c r="H11" s="103" t="str">
        <f ca="1">IFERROR(INDEX($AI$11:$BI$36,MATCH(H$7,$AG$11:$AG$36,0),MATCH("Modellbenämning",$AI$11:$BI$11,0)),"")</f>
        <v>F24T450FQR</v>
      </c>
      <c r="I11" s="103" t="str">
        <f ca="1">IFERROR(INDEX($AI$11:$BI$36,MATCH(I$7,$AG$11:$AG$36,0),MATCH("Modellbenämning",$AI$11:$BI$11,0)),"")</f>
        <v>P2422h</v>
      </c>
      <c r="J11" s="93"/>
      <c r="K11" s="103"/>
      <c r="L11" s="103"/>
      <c r="M11" s="103"/>
      <c r="N11" s="103" t="e">
        <f ca="1">INDEX($N$12:$N$17,MATCH(Överblick!$L$2,$M$12:$M$17,0))</f>
        <v>#N/A</v>
      </c>
      <c r="O11" s="103"/>
      <c r="P11" s="103"/>
      <c r="Q11" s="103"/>
      <c r="R11" s="103">
        <v>1</v>
      </c>
      <c r="S11" s="103">
        <v>2</v>
      </c>
      <c r="T11" s="103">
        <v>3</v>
      </c>
      <c r="U11" s="103">
        <v>5</v>
      </c>
      <c r="V11" s="103"/>
      <c r="W11" s="103" t="s">
        <v>122</v>
      </c>
      <c r="X11" s="103" t="s">
        <v>7</v>
      </c>
      <c r="Y11" s="103" t="s">
        <v>2</v>
      </c>
      <c r="Z11" s="103" t="s">
        <v>67</v>
      </c>
      <c r="AA11" s="103" t="s">
        <v>68</v>
      </c>
      <c r="AB11" s="103" t="s">
        <v>73</v>
      </c>
      <c r="AC11" s="103" t="s">
        <v>13</v>
      </c>
      <c r="AD11" s="103"/>
      <c r="AE11" s="103" t="s">
        <v>14</v>
      </c>
      <c r="AF11" s="103" t="s">
        <v>38</v>
      </c>
      <c r="AG11" s="103" t="s">
        <v>222</v>
      </c>
      <c r="AH11" s="103">
        <v>1</v>
      </c>
      <c r="AI11" s="103" t="s">
        <v>7</v>
      </c>
      <c r="AJ11" s="103" t="s">
        <v>2</v>
      </c>
      <c r="AK11" s="103" t="s">
        <v>67</v>
      </c>
      <c r="AL11" s="103" t="s">
        <v>68</v>
      </c>
      <c r="AM11" s="103" t="s">
        <v>73</v>
      </c>
      <c r="AN11" s="103" t="s">
        <v>13</v>
      </c>
      <c r="AO11" s="103" t="s">
        <v>14</v>
      </c>
      <c r="AP11" s="103" t="s">
        <v>38</v>
      </c>
      <c r="AQ11" s="103" t="s">
        <v>37</v>
      </c>
      <c r="AR11" s="103" t="s">
        <v>75</v>
      </c>
      <c r="AS11" s="103" t="s">
        <v>120</v>
      </c>
      <c r="AT11" s="103" t="s">
        <v>38</v>
      </c>
      <c r="AU11" s="103" t="s">
        <v>37</v>
      </c>
      <c r="AV11" s="103" t="s">
        <v>3</v>
      </c>
      <c r="AW11" s="103" t="s">
        <v>52</v>
      </c>
      <c r="AX11" s="103" t="s">
        <v>25</v>
      </c>
      <c r="AY11" s="103" t="s">
        <v>53</v>
      </c>
      <c r="AZ11" s="103" t="s">
        <v>228</v>
      </c>
      <c r="BA11" s="103" t="s">
        <v>229</v>
      </c>
      <c r="BB11" s="103" t="s">
        <v>230</v>
      </c>
      <c r="BC11" s="103" t="s">
        <v>340</v>
      </c>
      <c r="BD11" s="103" t="s">
        <v>345</v>
      </c>
      <c r="BE11" s="103"/>
      <c r="BF11" s="103"/>
      <c r="BG11" s="103"/>
      <c r="BH11" s="103" t="s">
        <v>6</v>
      </c>
      <c r="BI11" s="103" t="s">
        <v>51</v>
      </c>
      <c r="BJ11" s="103" t="s">
        <v>7</v>
      </c>
      <c r="BK11" s="103" t="s">
        <v>2</v>
      </c>
      <c r="BL11" s="103" t="s">
        <v>67</v>
      </c>
      <c r="BM11" s="103" t="s">
        <v>68</v>
      </c>
      <c r="BN11" s="103" t="s">
        <v>73</v>
      </c>
      <c r="BO11" s="103" t="s">
        <v>13</v>
      </c>
      <c r="BP11" s="103" t="s">
        <v>14</v>
      </c>
      <c r="BQ11" s="103" t="s">
        <v>38</v>
      </c>
      <c r="BR11" s="103" t="s">
        <v>37</v>
      </c>
      <c r="BS11" s="103" t="s">
        <v>120</v>
      </c>
      <c r="BT11" s="103" t="s">
        <v>38</v>
      </c>
      <c r="BU11" s="103" t="s">
        <v>37</v>
      </c>
      <c r="BV11" s="103" t="s">
        <v>3</v>
      </c>
    </row>
    <row r="12" spans="2:75" ht="22.5" customHeight="1" outlineLevel="1" x14ac:dyDescent="0.35">
      <c r="C12" s="210" t="s">
        <v>261</v>
      </c>
      <c r="D12" s="211"/>
      <c r="F12" s="76" t="str">
        <f>IF(F$10="Inget antal angivet","",IFERROR(INDEX($AI$11:$BI$36,MATCH(F$7,$AG$11:$AG$36,0),MATCH("Varumärke",$AI$11:$BI$11,0)),""))</f>
        <v/>
      </c>
      <c r="G12" s="77" t="str">
        <f ca="1">IFERROR(INDEX($AI$11:$BI$36,MATCH(G$7,$AG$11:$AG$36,0),MATCH("Varumärke",$AI$11:$BI$11,0)),"")</f>
        <v>HP</v>
      </c>
      <c r="H12" s="77" t="str">
        <f ca="1">IFERROR(INDEX($AI$11:$BI$36,MATCH(H$7,$AG$11:$AG$36,0),MATCH("Varumärke",$AI$11:$BI$11,0)),"")</f>
        <v>Samsung</v>
      </c>
      <c r="I12" s="119" t="str">
        <f ca="1">IFERROR(INDEX($AI$11:$BI$36,MATCH(I$7,$AG$11:$AG$36,0),MATCH("Varumärke",$AI$11:$BI$11,0)),"")</f>
        <v>Dell</v>
      </c>
      <c r="K12" s="196">
        <f t="shared" ref="K12:K17" ca="1" si="4">O12*$D$34</f>
        <v>0</v>
      </c>
      <c r="L12" s="185" t="b">
        <f t="shared" ref="L12:L17" si="5">IF($D$34=0,TRUE,IF(K12=0,FALSE,TRUE))</f>
        <v>1</v>
      </c>
      <c r="M12" s="185" t="s">
        <v>162</v>
      </c>
      <c r="N12" s="185" t="str">
        <f t="shared" ref="N12:N17" ca="1" si="6">IFERROR(INDEX($W$12:$W$23,MATCH(O12,$V$12:$V$22,0)),"")</f>
        <v>Offererad produktnr. 11Advania Sverige AB</v>
      </c>
      <c r="O12" s="185" cm="1">
        <f t="array" aca="1" ref="O12" ca="1">MIN(IF(($BH$12:$BH$23=M12)*($AH$12:$AH$23=$O$9),$V$12:$V$23))</f>
        <v>1981</v>
      </c>
      <c r="P12" s="197">
        <f ca="1">IFERROR(SMALL($V$12:$V$36,1),"")</f>
        <v>1981</v>
      </c>
      <c r="Q12" s="185">
        <f t="shared" ref="Q12:Q19" si="7">SUM(R12:U12)</f>
        <v>0</v>
      </c>
      <c r="R12" s="185">
        <f>IF($D$24="",0,AY12)</f>
        <v>0</v>
      </c>
      <c r="S12" s="185">
        <f t="shared" ref="S12:S19" si="8">IF($D$28="",0,AZ12)</f>
        <v>0</v>
      </c>
      <c r="T12" s="185">
        <f t="shared" ref="T12:T19" si="9">IF($D$29="",0,BA12)</f>
        <v>0</v>
      </c>
      <c r="U12" s="185">
        <f t="shared" ref="U12:U19" si="10">IF($D$30="",0,BD12)</f>
        <v>0</v>
      </c>
      <c r="V12" s="196">
        <f t="shared" ref="V12:V19" ca="1" si="11">IF(W12="","",SUM(AX12,R12:U12))</f>
        <v>1981</v>
      </c>
      <c r="W12" s="185" t="str">
        <f t="shared" ref="W12:W19" si="12">IF(COUNTIF(X12:AF12,FALSE)&gt;0,"",AG12)</f>
        <v>Offererad produktnr. 11Advania Sverige AB</v>
      </c>
      <c r="X12" s="185" t="b">
        <f>IF($D$13="",TRUE,IF(COUNTIF(Processor!$I$2:$I$9,$D$13)&gt;0,AND(AI12&gt;INDEX(Processor!$J$2:$J$9,MATCH($D$13,Processor!$I$2:$I$9,0)),AI12&lt;INDEX(Processor!$K$2:$K$9,MATCH($D$13,Processor!$I$2:$I$9,0))),IF(AI12=$D$13,TRUE,FALSE)))</f>
        <v>1</v>
      </c>
      <c r="Y12" s="185" t="b">
        <f>IFERROR(IF($D$14="",TRUE,IF(AND(IF(LEFT(RIGHT($D$14,4),4)*1&lt;=1*LEFT(AJ12,4),TRUE,FALSE),IF(RIGHT(AJ12,LEN(AJ12)-FIND("x",AJ12))*1&gt;=1*RIGHT(RIGHT($D$14,4),4),TRUE,FALSE)),TRUE,FALSE)),0)</f>
        <v>1</v>
      </c>
      <c r="Z12" s="185" t="b">
        <f>IF($D$15="",TRUE,IF(AK12&gt;=$D$15,TRUE,FALSE))</f>
        <v>1</v>
      </c>
      <c r="AA12" s="185" t="b">
        <f>IF($D$16="",TRUE,IF(AL12&gt;=$D$16,TRUE,FALSE))</f>
        <v>1</v>
      </c>
      <c r="AB12" s="185" t="b">
        <f>IF($D$17="",TRUE,IF(AM12&gt;=$D$17,TRUE,FALSE))</f>
        <v>1</v>
      </c>
      <c r="AC12" s="185" t="b">
        <f>IF($D$18="",TRUE,IF(AN12&gt;=$D$18,TRUE,FALSE))</f>
        <v>1</v>
      </c>
      <c r="AD12" s="185"/>
      <c r="AE12" s="185" t="b">
        <f>IF($D$19="",TRUE,IF(AO12&gt;=$D$19,TRUE,FALSE))</f>
        <v>1</v>
      </c>
      <c r="AF12" s="185" t="b">
        <f>IFERROR(IF($D20="",TRUE,IF(MID(AT12,LEN(AT12)-2,1)*1&gt;=MID($D20,LEN($D20)-2,1)*1,TRUE,FALSE)),FALSE)</f>
        <v>1</v>
      </c>
      <c r="AG12" s="185" t="s">
        <v>208</v>
      </c>
      <c r="AH12" s="201">
        <v>1</v>
      </c>
      <c r="AI12" s="185">
        <f t="shared" ref="AI12:AR21" ca="1" si="13">IFERROR(INDEX(INDIRECT(AI$7&amp;"!$A$10:CC100000"),MATCH($AG12,INDIRECT(AI$7&amp;"!BH$10:BH100000"),0),MATCH(AI$9,INDIRECT(AI$7&amp;"!a10:CC10"),0)),"False")</f>
        <v>24</v>
      </c>
      <c r="AJ12" s="185" t="str">
        <f t="shared" ca="1" si="13"/>
        <v>1920x1080</v>
      </c>
      <c r="AK12" s="185">
        <f t="shared" ca="1" si="13"/>
        <v>4</v>
      </c>
      <c r="AL12" s="185">
        <f t="shared" ca="1" si="13"/>
        <v>0</v>
      </c>
      <c r="AM12" s="185">
        <f t="shared" ca="1" si="13"/>
        <v>1</v>
      </c>
      <c r="AN12" s="185">
        <f t="shared" ca="1" si="13"/>
        <v>16700000</v>
      </c>
      <c r="AO12" s="185">
        <f t="shared" ca="1" si="13"/>
        <v>250</v>
      </c>
      <c r="AP12" s="185" t="str">
        <f t="shared" ca="1" si="13"/>
        <v>Version 8.0</v>
      </c>
      <c r="AQ12" s="185" t="str">
        <f t="shared" ca="1" si="13"/>
        <v>Ja</v>
      </c>
      <c r="AR12" s="185">
        <f t="shared" ca="1" si="13"/>
        <v>0</v>
      </c>
      <c r="AS12" s="185">
        <f t="shared" ref="AS12:BI21" ca="1" si="14">IFERROR(INDEX(INDIRECT(AS$7&amp;"!$A$10:CC100000"),MATCH($AG12,INDIRECT(AS$7&amp;"!BH$10:BH100000"),0),MATCH(AS$9,INDIRECT(AS$7&amp;"!a10:CC10"),0)),"False")</f>
        <v>0</v>
      </c>
      <c r="AT12" s="185" t="str">
        <f t="shared" ca="1" si="14"/>
        <v>Version 8.0</v>
      </c>
      <c r="AU12" s="185" t="str">
        <f t="shared" ca="1" si="14"/>
        <v>Ja</v>
      </c>
      <c r="AV12" s="185">
        <f t="shared" ca="1" si="14"/>
        <v>0</v>
      </c>
      <c r="AW12" s="185" t="str">
        <f t="shared" ca="1" si="14"/>
        <v>HP E24i G4 - E-Series - LED-skärm</v>
      </c>
      <c r="AX12" s="185">
        <f t="shared" ca="1" si="14"/>
        <v>1981</v>
      </c>
      <c r="AY12" s="192">
        <f t="shared" ca="1" si="14"/>
        <v>639</v>
      </c>
      <c r="AZ12" s="192">
        <f t="shared" ca="1" si="14"/>
        <v>101</v>
      </c>
      <c r="BA12" s="192">
        <f t="shared" ca="1" si="14"/>
        <v>50</v>
      </c>
      <c r="BB12" s="192">
        <f t="shared" ca="1" si="14"/>
        <v>50</v>
      </c>
      <c r="BC12" s="192" t="str">
        <f t="shared" ca="1" si="14"/>
        <v>eSTUFF</v>
      </c>
      <c r="BD12" s="192" t="str">
        <f t="shared" ca="1" si="14"/>
        <v>GLBB24519325 -  Filter för personlig integritet - 2-vägs - 24" - svart</v>
      </c>
      <c r="BE12" s="192" t="str">
        <f t="shared" ca="1" si="14"/>
        <v>False</v>
      </c>
      <c r="BF12" s="192" t="str">
        <f t="shared" ca="1" si="14"/>
        <v>False</v>
      </c>
      <c r="BG12" s="192" t="str">
        <f t="shared" ca="1" si="14"/>
        <v>False</v>
      </c>
      <c r="BH12" s="192" t="str">
        <f t="shared" ca="1" si="14"/>
        <v>Advania Sverige AB</v>
      </c>
      <c r="BI12" s="192" t="str">
        <f t="shared" ca="1" si="14"/>
        <v>HP</v>
      </c>
      <c r="BJ12" s="199">
        <v>23.8</v>
      </c>
      <c r="BK12" s="185" t="s">
        <v>71</v>
      </c>
      <c r="BL12" s="185">
        <v>0</v>
      </c>
      <c r="BM12" s="185">
        <v>1</v>
      </c>
      <c r="BN12" s="185">
        <v>1</v>
      </c>
      <c r="BO12" s="185">
        <v>16700000</v>
      </c>
      <c r="BP12" s="185">
        <v>250</v>
      </c>
      <c r="BQ12" s="185" t="s">
        <v>352</v>
      </c>
      <c r="BR12" s="185" t="s">
        <v>69</v>
      </c>
      <c r="BS12" s="185"/>
      <c r="BT12" s="185"/>
      <c r="BU12" s="185" t="s">
        <v>352</v>
      </c>
      <c r="BV12" s="185" t="s">
        <v>69</v>
      </c>
    </row>
    <row r="13" spans="2:75" ht="22.5" customHeight="1" outlineLevel="1" x14ac:dyDescent="0.35">
      <c r="C13" s="61" t="s">
        <v>7</v>
      </c>
      <c r="D13" s="64"/>
      <c r="F13" s="78" t="str">
        <f t="shared" ref="F13:F21" si="15">IF(F$10="Inget antal angivet","",IFERROR(INDEX($AI$11:$BI$36,MATCH(F$7,$AG$11:$AG$36,0),MATCH($C13,$AI$11:$BI$11,0)),""))</f>
        <v/>
      </c>
      <c r="G13" s="79">
        <f t="shared" ref="G13:I21" ca="1" si="16">IFERROR(INDEX($AI$11:$BI$36,MATCH(G$7,$AG$11:$AG$36,0),MATCH($C13,$AI$11:$BI$11,0)),"")</f>
        <v>24</v>
      </c>
      <c r="H13" s="79">
        <f t="shared" ca="1" si="16"/>
        <v>23.8</v>
      </c>
      <c r="I13" s="120">
        <f t="shared" ca="1" si="16"/>
        <v>23.8</v>
      </c>
      <c r="J13" s="62"/>
      <c r="K13" s="196">
        <f t="shared" ca="1" si="4"/>
        <v>0</v>
      </c>
      <c r="L13" s="185" t="b">
        <f t="shared" si="5"/>
        <v>1</v>
      </c>
      <c r="M13" s="185" t="s">
        <v>150</v>
      </c>
      <c r="N13" s="185" t="str">
        <f t="shared" ca="1" si="6"/>
        <v>Offererad produktnr. 11Atea Sverige AB</v>
      </c>
      <c r="O13" s="185" cm="1">
        <f t="array" aca="1" ref="O13" ca="1">MIN(IF(($BH$12:$BH$23=M13)*($AH$12:$AH$23=$O$9),$V$12:$V$23))</f>
        <v>2034</v>
      </c>
      <c r="P13" s="197">
        <f ca="1">IFERROR(SMALL($V$12:$V$36,2),"")</f>
        <v>2034</v>
      </c>
      <c r="Q13" s="185">
        <f t="shared" si="7"/>
        <v>0</v>
      </c>
      <c r="R13" s="185">
        <f t="shared" ref="R13:R19" si="17">IF($D$24="",0,AY13)</f>
        <v>0</v>
      </c>
      <c r="S13" s="185">
        <f t="shared" si="8"/>
        <v>0</v>
      </c>
      <c r="T13" s="185">
        <f t="shared" si="9"/>
        <v>0</v>
      </c>
      <c r="U13" s="185">
        <f t="shared" si="10"/>
        <v>0</v>
      </c>
      <c r="V13" s="196">
        <f t="shared" ca="1" si="11"/>
        <v>3060</v>
      </c>
      <c r="W13" s="185" t="str">
        <f t="shared" si="12"/>
        <v>Offererad produktnr. 12Advania Sverige AB</v>
      </c>
      <c r="X13" s="185" t="b">
        <f>IF($D$13="",TRUE,IF(COUNTIF(Processor!$I$2:$I$9,$D$13)&gt;0,AND(AI13&gt;INDEX(Processor!$J$2:$J$9,MATCH($D$13,Processor!$I$2:$I$9,0)),AI13&lt;INDEX(Processor!$K$2:$K$9,MATCH($D$13,Processor!$I$2:$I$9,0))),IF(AI13=$D$13,TRUE,FALSE)))</f>
        <v>1</v>
      </c>
      <c r="Y13" s="185" t="b">
        <f t="shared" ref="Y13:Y21" si="18">IFERROR(IF($D$14="",TRUE,IF(AND(IF(LEFT(RIGHT($D$14,4),4)*1&lt;=1*LEFT(AJ13,4),TRUE,FALSE),IF(RIGHT(AJ13,LEN(AJ13)-FIND("x",AJ13))*1&gt;=1*RIGHT(RIGHT($D$14,4),4),TRUE,FALSE)),TRUE,FALSE)),0)</f>
        <v>1</v>
      </c>
      <c r="Z13" s="185" t="b">
        <f t="shared" ref="Z13:Z21" si="19">IF($D$15="",TRUE,IF(AK13&gt;=$D$15,TRUE,FALSE))</f>
        <v>1</v>
      </c>
      <c r="AA13" s="185" t="b">
        <f t="shared" ref="AA13:AA21" si="20">IF($D$16="",TRUE,IF(AL13&gt;=$D$16,TRUE,FALSE))</f>
        <v>1</v>
      </c>
      <c r="AB13" s="185" t="b">
        <f t="shared" ref="AB13:AB21" si="21">IF($D$17="",TRUE,IF(AM13&gt;=$D$17,TRUE,FALSE))</f>
        <v>1</v>
      </c>
      <c r="AC13" s="185" t="b">
        <f t="shared" ref="AC13:AC21" si="22">IF($D$18="",TRUE,IF(AN13&gt;=$D$18,TRUE,FALSE))</f>
        <v>1</v>
      </c>
      <c r="AD13" s="185"/>
      <c r="AE13" s="185" t="b">
        <f t="shared" ref="AE13:AE21" si="23">IF($D$19="",TRUE,IF(AO13&gt;=$D$19,TRUE,FALSE))</f>
        <v>1</v>
      </c>
      <c r="AF13" s="185" t="b">
        <f>IFERROR(IF($D20="",TRUE,IF(MID(AT13,LEN(AT13)-2,1)*1&gt;=MID($D20,LEN($D20)-2,1)*1,TRUE,FALSE)),FALSE)</f>
        <v>1</v>
      </c>
      <c r="AG13" s="185" t="s">
        <v>209</v>
      </c>
      <c r="AH13" s="201">
        <v>1</v>
      </c>
      <c r="AI13" s="185">
        <f t="shared" ca="1" si="13"/>
        <v>27</v>
      </c>
      <c r="AJ13" s="185" t="str">
        <f t="shared" ca="1" si="13"/>
        <v>2560x1440</v>
      </c>
      <c r="AK13" s="185">
        <f t="shared" ca="1" si="13"/>
        <v>4</v>
      </c>
      <c r="AL13" s="185">
        <f t="shared" ca="1" si="13"/>
        <v>0</v>
      </c>
      <c r="AM13" s="185">
        <f t="shared" ca="1" si="13"/>
        <v>1</v>
      </c>
      <c r="AN13" s="185">
        <f t="shared" ca="1" si="13"/>
        <v>16700000</v>
      </c>
      <c r="AO13" s="185">
        <f t="shared" ca="1" si="13"/>
        <v>350</v>
      </c>
      <c r="AP13" s="185" t="str">
        <f t="shared" ca="1" si="13"/>
        <v>Version 8.0</v>
      </c>
      <c r="AQ13" s="185" t="str">
        <f t="shared" ca="1" si="13"/>
        <v>Ja</v>
      </c>
      <c r="AR13" s="185">
        <f t="shared" ca="1" si="13"/>
        <v>0</v>
      </c>
      <c r="AS13" s="185">
        <f t="shared" ca="1" si="14"/>
        <v>0</v>
      </c>
      <c r="AT13" s="185" t="str">
        <f t="shared" ca="1" si="14"/>
        <v>Version 8.0</v>
      </c>
      <c r="AU13" s="185" t="str">
        <f t="shared" ca="1" si="14"/>
        <v>Ja</v>
      </c>
      <c r="AV13" s="185">
        <f t="shared" ca="1" si="14"/>
        <v>0</v>
      </c>
      <c r="AW13" s="185" t="str">
        <f t="shared" ca="1" si="14"/>
        <v>HP E27q G5 - E-Series</v>
      </c>
      <c r="AX13" s="185">
        <f t="shared" ca="1" si="14"/>
        <v>3060</v>
      </c>
      <c r="AY13" s="192">
        <f t="shared" ca="1" si="14"/>
        <v>815</v>
      </c>
      <c r="AZ13" s="192">
        <f t="shared" ca="1" si="14"/>
        <v>101</v>
      </c>
      <c r="BA13" s="192">
        <f t="shared" ca="1" si="14"/>
        <v>50</v>
      </c>
      <c r="BB13" s="192">
        <f t="shared" ca="1" si="14"/>
        <v>50</v>
      </c>
      <c r="BC13" s="192" t="str">
        <f t="shared" ca="1" si="14"/>
        <v>eSTUFF</v>
      </c>
      <c r="BD13" s="192" t="str">
        <f t="shared" ca="1" si="14"/>
        <v>GLBB27598337 - Filter för personlig integritet - 2-vägs - 27" - svart</v>
      </c>
      <c r="BE13" s="192" t="str">
        <f t="shared" ca="1" si="14"/>
        <v>False</v>
      </c>
      <c r="BF13" s="192" t="str">
        <f t="shared" ca="1" si="14"/>
        <v>False</v>
      </c>
      <c r="BG13" s="192" t="str">
        <f t="shared" ca="1" si="14"/>
        <v>False</v>
      </c>
      <c r="BH13" s="192" t="str">
        <f t="shared" ca="1" si="14"/>
        <v>Advania Sverige AB</v>
      </c>
      <c r="BI13" s="192" t="str">
        <f t="shared" ca="1" si="14"/>
        <v>HP</v>
      </c>
      <c r="BJ13" s="199">
        <v>24</v>
      </c>
      <c r="BK13" s="185" t="s">
        <v>92</v>
      </c>
      <c r="BL13" s="185">
        <v>2</v>
      </c>
      <c r="BM13" s="185">
        <v>2</v>
      </c>
      <c r="BN13" s="185"/>
      <c r="BO13" s="185">
        <v>1070000000</v>
      </c>
      <c r="BP13" s="185">
        <v>300</v>
      </c>
      <c r="BQ13" s="185"/>
      <c r="BR13" s="185"/>
      <c r="BS13" s="185"/>
      <c r="BT13" s="185"/>
      <c r="BU13" s="185"/>
      <c r="BV13" s="185"/>
    </row>
    <row r="14" spans="2:75" ht="22.5" customHeight="1" outlineLevel="1" x14ac:dyDescent="0.35">
      <c r="C14" s="61" t="s">
        <v>2</v>
      </c>
      <c r="D14" s="64"/>
      <c r="F14" s="78" t="str">
        <f t="shared" si="15"/>
        <v/>
      </c>
      <c r="G14" s="79" t="str">
        <f t="shared" ca="1" si="16"/>
        <v>1920x1080</v>
      </c>
      <c r="H14" s="79" t="str">
        <f t="shared" ca="1" si="16"/>
        <v>1920x1080</v>
      </c>
      <c r="I14" s="120" t="str">
        <f t="shared" ca="1" si="16"/>
        <v>1920x1080</v>
      </c>
      <c r="J14" s="62"/>
      <c r="K14" s="196">
        <f t="shared" ca="1" si="4"/>
        <v>0</v>
      </c>
      <c r="L14" s="185" t="b">
        <f t="shared" si="5"/>
        <v>1</v>
      </c>
      <c r="M14" s="185" t="s">
        <v>128</v>
      </c>
      <c r="N14" s="185" t="str">
        <f t="shared" ca="1" si="6"/>
        <v>Offererad produktnr. 11Dustin Sverige AB</v>
      </c>
      <c r="O14" s="185" cm="1">
        <f t="array" aca="1" ref="O14" ca="1">MIN(IF(($BH$12:$BH$23=M14)*($AH$12:$AH$23=$O$9),$V$12:$V$23))</f>
        <v>2190</v>
      </c>
      <c r="P14" s="197">
        <f ca="1">IFERROR(SMALL($V$12:$V$36,3),"")</f>
        <v>2076</v>
      </c>
      <c r="Q14" s="185">
        <f t="shared" si="7"/>
        <v>0</v>
      </c>
      <c r="R14" s="185">
        <f t="shared" si="17"/>
        <v>0</v>
      </c>
      <c r="S14" s="185">
        <f t="shared" si="8"/>
        <v>0</v>
      </c>
      <c r="T14" s="185">
        <f t="shared" si="9"/>
        <v>0</v>
      </c>
      <c r="U14" s="185">
        <f t="shared" si="10"/>
        <v>0</v>
      </c>
      <c r="V14" s="196">
        <f t="shared" ca="1" si="11"/>
        <v>2034</v>
      </c>
      <c r="W14" s="185" t="str">
        <f t="shared" si="12"/>
        <v>Offererad produktnr. 11Atea Sverige AB</v>
      </c>
      <c r="X14" s="185" t="b">
        <f>IF($D$13="",TRUE,IF(COUNTIF(Processor!$I$2:$I$9,$D$13)&gt;0,AND(AI14&gt;INDEX(Processor!$J$2:$J$9,MATCH($D$13,Processor!$I$2:$I$9,0)),AI14&lt;INDEX(Processor!$K$2:$K$9,MATCH($D$13,Processor!$I$2:$I$9,0))),IF(AI14=$D$13,TRUE,FALSE)))</f>
        <v>1</v>
      </c>
      <c r="Y14" s="185" t="b">
        <f t="shared" si="18"/>
        <v>1</v>
      </c>
      <c r="Z14" s="185" t="b">
        <f t="shared" si="19"/>
        <v>1</v>
      </c>
      <c r="AA14" s="185" t="b">
        <f t="shared" si="20"/>
        <v>1</v>
      </c>
      <c r="AB14" s="185" t="b">
        <f t="shared" si="21"/>
        <v>1</v>
      </c>
      <c r="AC14" s="185" t="b">
        <f t="shared" si="22"/>
        <v>1</v>
      </c>
      <c r="AD14" s="185"/>
      <c r="AE14" s="185" t="b">
        <f t="shared" si="23"/>
        <v>1</v>
      </c>
      <c r="AF14" s="185" t="b">
        <f>IFERROR(IF($D20="",TRUE,IF(MID(AT14,LEN(AT14)-2,1)*1&gt;=MID($D20,LEN($D20)-2,1)*1,TRUE,FALSE)),FALSE)</f>
        <v>1</v>
      </c>
      <c r="AG14" s="185" t="s">
        <v>196</v>
      </c>
      <c r="AH14" s="201">
        <v>1</v>
      </c>
      <c r="AI14" s="185">
        <f t="shared" ca="1" si="13"/>
        <v>23.8</v>
      </c>
      <c r="AJ14" s="185" t="str">
        <f t="shared" ca="1" si="13"/>
        <v>1920x1080</v>
      </c>
      <c r="AK14" s="185">
        <f t="shared" ca="1" si="13"/>
        <v>2</v>
      </c>
      <c r="AL14" s="185">
        <f t="shared" ca="1" si="13"/>
        <v>0</v>
      </c>
      <c r="AM14" s="185">
        <f t="shared" ca="1" si="13"/>
        <v>1</v>
      </c>
      <c r="AN14" s="185">
        <f t="shared" ca="1" si="13"/>
        <v>16700000</v>
      </c>
      <c r="AO14" s="185">
        <f t="shared" ca="1" si="13"/>
        <v>250</v>
      </c>
      <c r="AP14" s="185" t="str">
        <f t="shared" ca="1" si="13"/>
        <v>Version 8.0</v>
      </c>
      <c r="AQ14" s="185" t="str">
        <f t="shared" ca="1" si="13"/>
        <v>Ja</v>
      </c>
      <c r="AR14" s="185">
        <f t="shared" ca="1" si="13"/>
        <v>0</v>
      </c>
      <c r="AS14" s="185">
        <f t="shared" ca="1" si="14"/>
        <v>0</v>
      </c>
      <c r="AT14" s="185" t="str">
        <f t="shared" ca="1" si="14"/>
        <v>Version 8.0</v>
      </c>
      <c r="AU14" s="185" t="str">
        <f t="shared" ca="1" si="14"/>
        <v>Ja</v>
      </c>
      <c r="AV14" s="185">
        <f t="shared" ca="1" si="14"/>
        <v>0</v>
      </c>
      <c r="AW14" s="185" t="str">
        <f t="shared" ca="1" si="14"/>
        <v>F24T450FQR</v>
      </c>
      <c r="AX14" s="185">
        <f t="shared" ca="1" si="14"/>
        <v>2034</v>
      </c>
      <c r="AY14" s="192">
        <f t="shared" ca="1" si="14"/>
        <v>778</v>
      </c>
      <c r="AZ14" s="192">
        <f t="shared" ca="1" si="14"/>
        <v>94</v>
      </c>
      <c r="BA14" s="192">
        <f t="shared" ca="1" si="14"/>
        <v>85</v>
      </c>
      <c r="BB14" s="192">
        <f t="shared" ca="1" si="14"/>
        <v>100</v>
      </c>
      <c r="BC14" s="192" t="str">
        <f t="shared" ca="1" si="14"/>
        <v>Targus</v>
      </c>
      <c r="BD14" s="192" t="str">
        <f t="shared" ca="1" si="14"/>
        <v>Targus Privacy Screen - filter för personlig integritet - 23,8 tum bred</v>
      </c>
      <c r="BE14" s="192" t="str">
        <f t="shared" ca="1" si="14"/>
        <v>False</v>
      </c>
      <c r="BF14" s="192" t="str">
        <f t="shared" ca="1" si="14"/>
        <v>False</v>
      </c>
      <c r="BG14" s="192" t="str">
        <f t="shared" ca="1" si="14"/>
        <v>False</v>
      </c>
      <c r="BH14" s="192" t="str">
        <f t="shared" ca="1" si="14"/>
        <v>Atea Sverige AB</v>
      </c>
      <c r="BI14" s="192" t="str">
        <f t="shared" ca="1" si="14"/>
        <v>Samsung</v>
      </c>
      <c r="BJ14" s="199">
        <v>27</v>
      </c>
      <c r="BK14" s="185"/>
      <c r="BL14" s="185">
        <v>4</v>
      </c>
      <c r="BM14" s="185"/>
      <c r="BN14" s="185"/>
      <c r="BO14" s="185"/>
      <c r="BP14" s="185">
        <v>350</v>
      </c>
      <c r="BQ14" s="185"/>
      <c r="BR14" s="185"/>
      <c r="BS14" s="185"/>
      <c r="BT14" s="185"/>
      <c r="BU14" s="185"/>
      <c r="BV14" s="185"/>
    </row>
    <row r="15" spans="2:75" ht="22.5" customHeight="1" outlineLevel="1" x14ac:dyDescent="0.35">
      <c r="B15" t="s">
        <v>272</v>
      </c>
      <c r="C15" s="61" t="s">
        <v>67</v>
      </c>
      <c r="D15" s="64"/>
      <c r="F15" s="78" t="str">
        <f t="shared" si="15"/>
        <v/>
      </c>
      <c r="G15" s="79">
        <f t="shared" ca="1" si="16"/>
        <v>4</v>
      </c>
      <c r="H15" s="79">
        <f t="shared" ca="1" si="16"/>
        <v>2</v>
      </c>
      <c r="I15" s="120">
        <f t="shared" ca="1" si="16"/>
        <v>5</v>
      </c>
      <c r="J15" s="62"/>
      <c r="K15" s="196">
        <f t="shared" ca="1" si="4"/>
        <v>0</v>
      </c>
      <c r="L15" s="185" t="b">
        <f t="shared" si="5"/>
        <v>1</v>
      </c>
      <c r="M15" s="185" t="s">
        <v>169</v>
      </c>
      <c r="N15" s="185" t="str">
        <f t="shared" ca="1" si="6"/>
        <v>Offererad produktnr. 11Foxway Education AB</v>
      </c>
      <c r="O15" s="185" cm="1">
        <f t="array" aca="1" ref="O15" ca="1">MIN(IF(($BH$12:$BH$23=M15)*($AH$12:$AH$23=$O$9),$V$12:$V$23))</f>
        <v>2361</v>
      </c>
      <c r="P15" s="197"/>
      <c r="Q15" s="185">
        <f t="shared" si="7"/>
        <v>0</v>
      </c>
      <c r="R15" s="185">
        <f t="shared" si="17"/>
        <v>0</v>
      </c>
      <c r="S15" s="185">
        <f t="shared" si="8"/>
        <v>0</v>
      </c>
      <c r="T15" s="185">
        <f t="shared" si="9"/>
        <v>0</v>
      </c>
      <c r="U15" s="185">
        <f t="shared" si="10"/>
        <v>0</v>
      </c>
      <c r="V15" s="196">
        <f t="shared" ca="1" si="11"/>
        <v>3234</v>
      </c>
      <c r="W15" s="185" t="str">
        <f t="shared" si="12"/>
        <v>Offererad produktnr. 12Atea Sverige AB</v>
      </c>
      <c r="X15" s="185" t="b">
        <f>IF($D$13="",TRUE,IF(COUNTIF(Processor!$I$2:$I$9,$D$13)&gt;0,AND(AI15&gt;INDEX(Processor!$J$2:$J$9,MATCH($D$13,Processor!$I$2:$I$9,0)),AI15&lt;INDEX(Processor!$K$2:$K$9,MATCH($D$13,Processor!$I$2:$I$9,0))),IF(AI15=$D$13,TRUE,FALSE)))</f>
        <v>1</v>
      </c>
      <c r="Y15" s="185" t="b">
        <f t="shared" si="18"/>
        <v>1</v>
      </c>
      <c r="Z15" s="185" t="b">
        <f t="shared" si="19"/>
        <v>1</v>
      </c>
      <c r="AA15" s="185" t="b">
        <f t="shared" si="20"/>
        <v>1</v>
      </c>
      <c r="AB15" s="185" t="b">
        <f t="shared" si="21"/>
        <v>1</v>
      </c>
      <c r="AC15" s="185" t="b">
        <f t="shared" si="22"/>
        <v>1</v>
      </c>
      <c r="AD15" s="185"/>
      <c r="AE15" s="185" t="b">
        <f t="shared" si="23"/>
        <v>1</v>
      </c>
      <c r="AF15" s="185" t="b">
        <f>IFERROR(IF($D20="",TRUE,IF(MID(AT15,LEN(AT15)-2,1)*1&gt;=MID($D20,LEN($D20)-2,1)*1,TRUE,FALSE)),FALSE)</f>
        <v>1</v>
      </c>
      <c r="AG15" s="185" t="s">
        <v>197</v>
      </c>
      <c r="AH15" s="201">
        <v>1</v>
      </c>
      <c r="AI15" s="185">
        <f t="shared" ca="1" si="13"/>
        <v>27</v>
      </c>
      <c r="AJ15" s="185" t="str">
        <f t="shared" ca="1" si="13"/>
        <v>2560x1440</v>
      </c>
      <c r="AK15" s="185">
        <f t="shared" ca="1" si="13"/>
        <v>4</v>
      </c>
      <c r="AL15" s="185">
        <f t="shared" ca="1" si="13"/>
        <v>0</v>
      </c>
      <c r="AM15" s="185">
        <f t="shared" ca="1" si="13"/>
        <v>1</v>
      </c>
      <c r="AN15" s="185">
        <f t="shared" ca="1" si="13"/>
        <v>1070000000</v>
      </c>
      <c r="AO15" s="185">
        <f t="shared" ca="1" si="13"/>
        <v>300</v>
      </c>
      <c r="AP15" s="185" t="str">
        <f t="shared" ca="1" si="13"/>
        <v>Version 8.0</v>
      </c>
      <c r="AQ15" s="185" t="str">
        <f t="shared" ca="1" si="13"/>
        <v>Ja</v>
      </c>
      <c r="AR15" s="185">
        <f t="shared" ca="1" si="13"/>
        <v>0</v>
      </c>
      <c r="AS15" s="185">
        <f t="shared" ca="1" si="14"/>
        <v>0</v>
      </c>
      <c r="AT15" s="185" t="str">
        <f t="shared" ca="1" si="14"/>
        <v>Version 8.0</v>
      </c>
      <c r="AU15" s="185" t="str">
        <f t="shared" ca="1" si="14"/>
        <v>Ja</v>
      </c>
      <c r="AV15" s="185">
        <f t="shared" ca="1" si="14"/>
        <v>0</v>
      </c>
      <c r="AW15" s="185" t="str">
        <f t="shared" ca="1" si="14"/>
        <v>S27A600NAU</v>
      </c>
      <c r="AX15" s="185">
        <f t="shared" ca="1" si="14"/>
        <v>3234</v>
      </c>
      <c r="AY15" s="192">
        <f t="shared" ca="1" si="14"/>
        <v>1020</v>
      </c>
      <c r="AZ15" s="192">
        <f t="shared" ca="1" si="14"/>
        <v>164</v>
      </c>
      <c r="BA15" s="192">
        <f t="shared" ca="1" si="14"/>
        <v>85</v>
      </c>
      <c r="BB15" s="192">
        <f t="shared" ca="1" si="14"/>
        <v>100</v>
      </c>
      <c r="BC15" s="192" t="str">
        <f t="shared" ca="1" si="14"/>
        <v>Targus</v>
      </c>
      <c r="BD15" s="192" t="str">
        <f t="shared" ca="1" si="14"/>
        <v>Targus Privacy Screen 27" Widescreen (16:9) - filter för personlig integritet - 27 tum bred</v>
      </c>
      <c r="BE15" s="192" t="str">
        <f t="shared" ca="1" si="14"/>
        <v>False</v>
      </c>
      <c r="BF15" s="192" t="str">
        <f t="shared" ca="1" si="14"/>
        <v>False</v>
      </c>
      <c r="BG15" s="192" t="str">
        <f t="shared" ca="1" si="14"/>
        <v>False</v>
      </c>
      <c r="BH15" s="192" t="str">
        <f t="shared" ca="1" si="14"/>
        <v>Atea Sverige AB</v>
      </c>
      <c r="BI15" s="192" t="str">
        <f t="shared" ca="1" si="14"/>
        <v>Samsung</v>
      </c>
      <c r="BJ15" s="199"/>
      <c r="BK15" s="185"/>
      <c r="BL15" s="185">
        <v>5</v>
      </c>
      <c r="BM15" s="185"/>
      <c r="BN15" s="185"/>
      <c r="BO15" s="185"/>
      <c r="BP15" s="185"/>
      <c r="BQ15" s="185"/>
      <c r="BR15" s="185"/>
      <c r="BS15" s="185"/>
      <c r="BT15" s="185"/>
      <c r="BU15" s="185"/>
      <c r="BV15" s="185"/>
    </row>
    <row r="16" spans="2:75" ht="22.5" customHeight="1" outlineLevel="1" x14ac:dyDescent="0.35">
      <c r="C16" s="61" t="s">
        <v>68</v>
      </c>
      <c r="D16" s="64"/>
      <c r="F16" s="78" t="str">
        <f t="shared" si="15"/>
        <v/>
      </c>
      <c r="G16" s="79">
        <f t="shared" ca="1" si="16"/>
        <v>0</v>
      </c>
      <c r="H16" s="79">
        <f t="shared" ca="1" si="16"/>
        <v>0</v>
      </c>
      <c r="I16" s="120">
        <f t="shared" ca="1" si="16"/>
        <v>0</v>
      </c>
      <c r="J16" s="62"/>
      <c r="K16" s="196">
        <f t="shared" ca="1" si="4"/>
        <v>0</v>
      </c>
      <c r="L16" s="185" t="b">
        <f t="shared" si="5"/>
        <v>1</v>
      </c>
      <c r="M16" s="185" t="s">
        <v>167</v>
      </c>
      <c r="N16" s="185" t="str">
        <f t="shared" ca="1" si="6"/>
        <v/>
      </c>
      <c r="O16" s="185" cm="1">
        <f t="array" aca="1" ref="O16" ca="1">MIN(IF(($BH$12:$BH$23=M16)*($AH$12:$AH$23=$O$9),$V$12:$V$23))</f>
        <v>0</v>
      </c>
      <c r="P16" s="197"/>
      <c r="Q16" s="185">
        <f t="shared" si="7"/>
        <v>0</v>
      </c>
      <c r="R16" s="185">
        <f t="shared" si="17"/>
        <v>0</v>
      </c>
      <c r="S16" s="185">
        <f t="shared" si="8"/>
        <v>0</v>
      </c>
      <c r="T16" s="185">
        <f t="shared" si="9"/>
        <v>0</v>
      </c>
      <c r="U16" s="185">
        <f t="shared" si="10"/>
        <v>0</v>
      </c>
      <c r="V16" s="196">
        <f t="shared" ca="1" si="11"/>
        <v>2190</v>
      </c>
      <c r="W16" s="185" t="str">
        <f t="shared" si="12"/>
        <v>Offererad produktnr. 11Dustin Sverige AB</v>
      </c>
      <c r="X16" s="185" t="b">
        <f>IF($D$13="",TRUE,IF(COUNTIF(Processor!$I$2:$I$9,$D$13)&gt;0,AND(AI16&gt;INDEX(Processor!$J$2:$J$9,MATCH($D$13,Processor!$I$2:$I$9,0)),AI16&lt;INDEX(Processor!$K$2:$K$9,MATCH($D$13,Processor!$I$2:$I$9,0))),IF(AI16=$D$13,TRUE,FALSE)))</f>
        <v>1</v>
      </c>
      <c r="Y16" s="185" t="b">
        <f t="shared" si="18"/>
        <v>1</v>
      </c>
      <c r="Z16" s="185" t="b">
        <f t="shared" si="19"/>
        <v>1</v>
      </c>
      <c r="AA16" s="185" t="b">
        <f t="shared" si="20"/>
        <v>1</v>
      </c>
      <c r="AB16" s="185" t="b">
        <f t="shared" si="21"/>
        <v>1</v>
      </c>
      <c r="AC16" s="185" t="b">
        <f t="shared" si="22"/>
        <v>1</v>
      </c>
      <c r="AD16" s="185"/>
      <c r="AE16" s="185" t="b">
        <f t="shared" si="23"/>
        <v>1</v>
      </c>
      <c r="AF16" s="185" t="b">
        <f>IFERROR(IF($D20="",TRUE,IF(MID(AT16,LEN(AT16)-2,1)*1&gt;=MID($D20,LEN($D20)-2,1)*1,TRUE,FALSE)),FALSE)</f>
        <v>1</v>
      </c>
      <c r="AG16" s="185" t="s">
        <v>184</v>
      </c>
      <c r="AH16" s="201">
        <v>1</v>
      </c>
      <c r="AI16" s="185">
        <f t="shared" ca="1" si="13"/>
        <v>23.8</v>
      </c>
      <c r="AJ16" s="185" t="str">
        <f t="shared" ca="1" si="13"/>
        <v>1920x1080</v>
      </c>
      <c r="AK16" s="185">
        <f t="shared" ca="1" si="13"/>
        <v>0</v>
      </c>
      <c r="AL16" s="185">
        <f t="shared" ca="1" si="13"/>
        <v>0</v>
      </c>
      <c r="AM16" s="185">
        <f t="shared" ca="1" si="13"/>
        <v>1</v>
      </c>
      <c r="AN16" s="185">
        <f t="shared" ca="1" si="13"/>
        <v>16700000</v>
      </c>
      <c r="AO16" s="185">
        <f t="shared" ca="1" si="13"/>
        <v>250</v>
      </c>
      <c r="AP16" s="185" t="str">
        <f t="shared" ca="1" si="13"/>
        <v>Version 8.0</v>
      </c>
      <c r="AQ16" s="185" t="str">
        <f t="shared" ca="1" si="13"/>
        <v>Ja</v>
      </c>
      <c r="AR16" s="185">
        <f t="shared" ca="1" si="13"/>
        <v>0</v>
      </c>
      <c r="AS16" s="185">
        <f t="shared" ca="1" si="14"/>
        <v>0</v>
      </c>
      <c r="AT16" s="185" t="str">
        <f t="shared" ca="1" si="14"/>
        <v>Version 8.0</v>
      </c>
      <c r="AU16" s="185" t="str">
        <f t="shared" ca="1" si="14"/>
        <v>Ja</v>
      </c>
      <c r="AV16" s="185">
        <f t="shared" ca="1" si="14"/>
        <v>0</v>
      </c>
      <c r="AW16" s="185" t="str">
        <f t="shared" ca="1" si="14"/>
        <v>HP P24h G5</v>
      </c>
      <c r="AX16" s="185">
        <f t="shared" ca="1" si="14"/>
        <v>2190</v>
      </c>
      <c r="AY16" s="192">
        <f t="shared" ca="1" si="14"/>
        <v>620</v>
      </c>
      <c r="AZ16" s="192">
        <f t="shared" ca="1" si="14"/>
        <v>28</v>
      </c>
      <c r="BA16" s="192">
        <f t="shared" ca="1" si="14"/>
        <v>20</v>
      </c>
      <c r="BB16" s="192">
        <f t="shared" ca="1" si="14"/>
        <v>20</v>
      </c>
      <c r="BC16" s="192" t="str">
        <f t="shared" ca="1" si="14"/>
        <v>Cirafon</v>
      </c>
      <c r="BD16" s="192" t="str">
        <f t="shared" ca="1" si="14"/>
        <v>DPF23.8-9</v>
      </c>
      <c r="BE16" s="192" t="str">
        <f t="shared" ca="1" si="14"/>
        <v>False</v>
      </c>
      <c r="BF16" s="192" t="str">
        <f t="shared" ca="1" si="14"/>
        <v>False</v>
      </c>
      <c r="BG16" s="192" t="str">
        <f t="shared" ca="1" si="14"/>
        <v>False</v>
      </c>
      <c r="BH16" s="192" t="str">
        <f t="shared" ca="1" si="14"/>
        <v>Dustin Sverige AB</v>
      </c>
      <c r="BI16" s="192" t="str">
        <f t="shared" ca="1" si="14"/>
        <v>HP</v>
      </c>
    </row>
    <row r="17" spans="2:61" ht="22.5" customHeight="1" outlineLevel="1" x14ac:dyDescent="0.35">
      <c r="C17" s="61" t="s">
        <v>73</v>
      </c>
      <c r="D17" s="64"/>
      <c r="F17" s="78" t="str">
        <f t="shared" si="15"/>
        <v/>
      </c>
      <c r="G17" s="79">
        <f t="shared" ca="1" si="16"/>
        <v>1</v>
      </c>
      <c r="H17" s="79">
        <f t="shared" ca="1" si="16"/>
        <v>1</v>
      </c>
      <c r="I17" s="120">
        <f t="shared" ca="1" si="16"/>
        <v>1</v>
      </c>
      <c r="J17" s="62"/>
      <c r="K17" s="196">
        <f t="shared" ca="1" si="4"/>
        <v>0</v>
      </c>
      <c r="L17" s="185" t="b">
        <f t="shared" si="5"/>
        <v>1</v>
      </c>
      <c r="M17" s="185" t="s">
        <v>546</v>
      </c>
      <c r="N17" s="185" t="str">
        <f t="shared" ca="1" si="6"/>
        <v>Offererad produktnr. 11Qlosr Göteborg AB</v>
      </c>
      <c r="O17" s="185" cm="1">
        <f t="array" aca="1" ref="O17" ca="1">MIN(IF(($BH$12:$BH$23=M17)*($AH$12:$AH$23=$O$9),$V$12:$V$23))</f>
        <v>2076</v>
      </c>
      <c r="P17" s="197"/>
      <c r="Q17" s="185">
        <f t="shared" si="7"/>
        <v>0</v>
      </c>
      <c r="R17" s="185">
        <f t="shared" si="17"/>
        <v>0</v>
      </c>
      <c r="S17" s="185">
        <f t="shared" si="8"/>
        <v>0</v>
      </c>
      <c r="T17" s="185">
        <f t="shared" si="9"/>
        <v>0</v>
      </c>
      <c r="U17" s="185">
        <f t="shared" si="10"/>
        <v>0</v>
      </c>
      <c r="V17" s="196">
        <f t="shared" ca="1" si="11"/>
        <v>3010</v>
      </c>
      <c r="W17" s="185" t="str">
        <f t="shared" si="12"/>
        <v>Offererad produktnr. 12Dustin Sverige AB</v>
      </c>
      <c r="X17" s="185" t="b">
        <f>IF($D$13="",TRUE,IF(COUNTIF(Processor!$I$2:$I$9,$D$13)&gt;0,AND(AI17&gt;INDEX(Processor!$J$2:$J$9,MATCH($D$13,Processor!$I$2:$I$9,0)),AI17&lt;INDEX(Processor!$K$2:$K$9,MATCH($D$13,Processor!$I$2:$I$9,0))),IF(AI17=$D$13,TRUE,FALSE)))</f>
        <v>1</v>
      </c>
      <c r="Y17" s="185" t="b">
        <f t="shared" si="18"/>
        <v>1</v>
      </c>
      <c r="Z17" s="185" t="b">
        <f t="shared" si="19"/>
        <v>1</v>
      </c>
      <c r="AA17" s="185" t="b">
        <f t="shared" si="20"/>
        <v>1</v>
      </c>
      <c r="AB17" s="185" t="b">
        <f t="shared" si="21"/>
        <v>1</v>
      </c>
      <c r="AC17" s="185" t="b">
        <f t="shared" si="22"/>
        <v>1</v>
      </c>
      <c r="AD17" s="185"/>
      <c r="AE17" s="185" t="b">
        <f t="shared" si="23"/>
        <v>1</v>
      </c>
      <c r="AF17" s="185" t="b">
        <f>IFERROR(IF($D20="",TRUE,IF(MID(AT17,LEN(AT17)-2,1)*1&gt;=MID($D20,LEN($D20)-2,1)*1,TRUE,FALSE)),FALSE)</f>
        <v>1</v>
      </c>
      <c r="AG17" s="185" t="s">
        <v>185</v>
      </c>
      <c r="AH17" s="201">
        <v>1</v>
      </c>
      <c r="AI17" s="185">
        <f t="shared" ca="1" si="13"/>
        <v>27</v>
      </c>
      <c r="AJ17" s="185" t="str">
        <f t="shared" ca="1" si="13"/>
        <v>2560x1440</v>
      </c>
      <c r="AK17" s="185">
        <f t="shared" ca="1" si="13"/>
        <v>4</v>
      </c>
      <c r="AL17" s="185">
        <f t="shared" ca="1" si="13"/>
        <v>0</v>
      </c>
      <c r="AM17" s="185">
        <f t="shared" ca="1" si="13"/>
        <v>1</v>
      </c>
      <c r="AN17" s="185">
        <f t="shared" ca="1" si="13"/>
        <v>16700000</v>
      </c>
      <c r="AO17" s="185">
        <f t="shared" ca="1" si="13"/>
        <v>350</v>
      </c>
      <c r="AP17" s="185" t="str">
        <f t="shared" ca="1" si="13"/>
        <v>Version 8.0</v>
      </c>
      <c r="AQ17" s="185" t="str">
        <f t="shared" ca="1" si="13"/>
        <v>Ja</v>
      </c>
      <c r="AR17" s="185">
        <f t="shared" ca="1" si="13"/>
        <v>0</v>
      </c>
      <c r="AS17" s="185">
        <f t="shared" ca="1" si="14"/>
        <v>0</v>
      </c>
      <c r="AT17" s="185" t="str">
        <f t="shared" ca="1" si="14"/>
        <v>Version 8.0</v>
      </c>
      <c r="AU17" s="185" t="str">
        <f t="shared" ca="1" si="14"/>
        <v>Ja</v>
      </c>
      <c r="AV17" s="185">
        <f t="shared" ca="1" si="14"/>
        <v>0</v>
      </c>
      <c r="AW17" s="185" t="str">
        <f t="shared" ca="1" si="14"/>
        <v>HP E27Q G5 PVC Free </v>
      </c>
      <c r="AX17" s="185">
        <f t="shared" ca="1" si="14"/>
        <v>3010</v>
      </c>
      <c r="AY17" s="192">
        <f t="shared" ca="1" si="14"/>
        <v>700</v>
      </c>
      <c r="AZ17" s="192">
        <f t="shared" ca="1" si="14"/>
        <v>28</v>
      </c>
      <c r="BA17" s="192">
        <f t="shared" ca="1" si="14"/>
        <v>20</v>
      </c>
      <c r="BB17" s="192">
        <f t="shared" ca="1" si="14"/>
        <v>20</v>
      </c>
      <c r="BC17" s="192" t="str">
        <f t="shared" ca="1" si="14"/>
        <v>Cirafon</v>
      </c>
      <c r="BD17" s="192" t="str">
        <f t="shared" ca="1" si="14"/>
        <v>DPF27-9</v>
      </c>
      <c r="BE17" s="192" t="str">
        <f t="shared" ca="1" si="14"/>
        <v>False</v>
      </c>
      <c r="BF17" s="192" t="str">
        <f t="shared" ca="1" si="14"/>
        <v>False</v>
      </c>
      <c r="BG17" s="192" t="str">
        <f t="shared" ca="1" si="14"/>
        <v>False</v>
      </c>
      <c r="BH17" s="192" t="str">
        <f t="shared" ca="1" si="14"/>
        <v>Dustin Sverige AB</v>
      </c>
      <c r="BI17" s="192" t="str">
        <f t="shared" ca="1" si="14"/>
        <v>HP</v>
      </c>
    </row>
    <row r="18" spans="2:61" ht="22.5" customHeight="1" outlineLevel="1" x14ac:dyDescent="0.35">
      <c r="C18" s="61" t="s">
        <v>13</v>
      </c>
      <c r="D18" s="135"/>
      <c r="F18" s="176" t="str">
        <f t="shared" si="15"/>
        <v/>
      </c>
      <c r="G18" s="136">
        <f t="shared" ca="1" si="16"/>
        <v>16700000</v>
      </c>
      <c r="H18" s="136">
        <f t="shared" ca="1" si="16"/>
        <v>16700000</v>
      </c>
      <c r="I18" s="137">
        <f t="shared" ca="1" si="16"/>
        <v>16700000</v>
      </c>
      <c r="J18" s="62"/>
      <c r="Q18" s="185">
        <f t="shared" si="7"/>
        <v>0</v>
      </c>
      <c r="R18" s="185">
        <f t="shared" si="17"/>
        <v>0</v>
      </c>
      <c r="S18" s="185">
        <f t="shared" si="8"/>
        <v>0</v>
      </c>
      <c r="T18" s="185">
        <f t="shared" si="9"/>
        <v>0</v>
      </c>
      <c r="U18" s="185">
        <f t="shared" si="10"/>
        <v>0</v>
      </c>
      <c r="V18" s="196">
        <f t="shared" ca="1" si="11"/>
        <v>2361</v>
      </c>
      <c r="W18" s="185" t="str">
        <f t="shared" si="12"/>
        <v>Offererad produktnr. 11Foxway Education AB</v>
      </c>
      <c r="X18" s="185" t="b">
        <f>IF($D$13="",TRUE,IF(COUNTIF(Processor!$I$2:$I$9,$D$13)&gt;0,AND(AI18&gt;INDEX(Processor!$J$2:$J$9,MATCH($D$13,Processor!$I$2:$I$9,0)),AI18&lt;INDEX(Processor!$K$2:$K$9,MATCH($D$13,Processor!$I$2:$I$9,0))),IF(AI18=$D$13,TRUE,FALSE)))</f>
        <v>1</v>
      </c>
      <c r="Y18" s="185" t="b">
        <f t="shared" si="18"/>
        <v>1</v>
      </c>
      <c r="Z18" s="185" t="b">
        <f t="shared" si="19"/>
        <v>1</v>
      </c>
      <c r="AA18" s="185" t="b">
        <f t="shared" si="20"/>
        <v>1</v>
      </c>
      <c r="AB18" s="185" t="b">
        <f t="shared" si="21"/>
        <v>1</v>
      </c>
      <c r="AC18" s="185" t="b">
        <f t="shared" si="22"/>
        <v>1</v>
      </c>
      <c r="AD18" s="185"/>
      <c r="AE18" s="185" t="b">
        <f t="shared" si="23"/>
        <v>1</v>
      </c>
      <c r="AF18" s="185" t="b">
        <f>IFERROR(IF($D20="",TRUE,IF(MID(AT18,LEN(AT18)-2,1)*1&gt;=MID($D20,LEN($D20)-2,1)*1,TRUE,FALSE)),FALSE)</f>
        <v>1</v>
      </c>
      <c r="AG18" s="185" t="s">
        <v>220</v>
      </c>
      <c r="AH18" s="201">
        <v>1</v>
      </c>
      <c r="AI18" s="185">
        <f t="shared" ca="1" si="13"/>
        <v>23.8</v>
      </c>
      <c r="AJ18" s="185" t="str">
        <f t="shared" ca="1" si="13"/>
        <v>1920x1080</v>
      </c>
      <c r="AK18" s="185">
        <f t="shared" ca="1" si="13"/>
        <v>0</v>
      </c>
      <c r="AL18" s="185">
        <f t="shared" ca="1" si="13"/>
        <v>0</v>
      </c>
      <c r="AM18" s="185">
        <f t="shared" ca="1" si="13"/>
        <v>1</v>
      </c>
      <c r="AN18" s="185">
        <f t="shared" ca="1" si="13"/>
        <v>16700000</v>
      </c>
      <c r="AO18" s="185">
        <f t="shared" ca="1" si="13"/>
        <v>250</v>
      </c>
      <c r="AP18" s="185" t="str">
        <f t="shared" ca="1" si="13"/>
        <v>Version 8.0</v>
      </c>
      <c r="AQ18" s="185" t="str">
        <f t="shared" ca="1" si="13"/>
        <v>Ja</v>
      </c>
      <c r="AR18" s="185">
        <f t="shared" ca="1" si="13"/>
        <v>0</v>
      </c>
      <c r="AS18" s="185">
        <f t="shared" ca="1" si="14"/>
        <v>0</v>
      </c>
      <c r="AT18" s="185" t="str">
        <f t="shared" ca="1" si="14"/>
        <v>Version 8.0</v>
      </c>
      <c r="AU18" s="185" t="str">
        <f t="shared" ca="1" si="14"/>
        <v>Ja</v>
      </c>
      <c r="AV18" s="185">
        <f t="shared" ca="1" si="14"/>
        <v>0</v>
      </c>
      <c r="AW18" s="185" t="str">
        <f t="shared" ca="1" si="14"/>
        <v>E24-29</v>
      </c>
      <c r="AX18" s="185">
        <f t="shared" ca="1" si="14"/>
        <v>2361</v>
      </c>
      <c r="AY18" s="192">
        <f t="shared" ca="1" si="14"/>
        <v>516</v>
      </c>
      <c r="AZ18" s="192">
        <f t="shared" ca="1" si="14"/>
        <v>90</v>
      </c>
      <c r="BA18" s="192">
        <f t="shared" ca="1" si="14"/>
        <v>60</v>
      </c>
      <c r="BB18" s="192">
        <f t="shared" ca="1" si="14"/>
        <v>50</v>
      </c>
      <c r="BC18" s="192" t="str">
        <f t="shared" ca="1" si="14"/>
        <v>Targus</v>
      </c>
      <c r="BD18" s="192" t="str">
        <f t="shared" ca="1" si="14"/>
        <v>Targus Privacy Screen 23.8"</v>
      </c>
      <c r="BE18" s="192" t="str">
        <f t="shared" ca="1" si="14"/>
        <v>False</v>
      </c>
      <c r="BF18" s="192" t="str">
        <f t="shared" ca="1" si="14"/>
        <v>False</v>
      </c>
      <c r="BG18" s="192" t="str">
        <f t="shared" ca="1" si="14"/>
        <v>False</v>
      </c>
      <c r="BH18" s="192" t="str">
        <f t="shared" ca="1" si="14"/>
        <v>Foxway Education AB</v>
      </c>
      <c r="BI18" s="192" t="str">
        <f t="shared" ca="1" si="14"/>
        <v>Lenovo</v>
      </c>
    </row>
    <row r="19" spans="2:61" ht="22.5" customHeight="1" outlineLevel="1" x14ac:dyDescent="0.35">
      <c r="C19" s="61" t="s">
        <v>14</v>
      </c>
      <c r="D19" s="64"/>
      <c r="F19" s="78" t="str">
        <f t="shared" si="15"/>
        <v/>
      </c>
      <c r="G19" s="79">
        <f t="shared" ca="1" si="16"/>
        <v>250</v>
      </c>
      <c r="H19" s="79">
        <f t="shared" ca="1" si="16"/>
        <v>250</v>
      </c>
      <c r="I19" s="120">
        <f t="shared" ca="1" si="16"/>
        <v>250</v>
      </c>
      <c r="J19" s="62"/>
      <c r="Q19" s="185">
        <f t="shared" si="7"/>
        <v>0</v>
      </c>
      <c r="R19" s="185">
        <f t="shared" si="17"/>
        <v>0</v>
      </c>
      <c r="S19" s="185">
        <f t="shared" si="8"/>
        <v>0</v>
      </c>
      <c r="T19" s="185">
        <f t="shared" si="9"/>
        <v>0</v>
      </c>
      <c r="U19" s="185">
        <f t="shared" si="10"/>
        <v>0</v>
      </c>
      <c r="V19" s="196">
        <f t="shared" ca="1" si="11"/>
        <v>3002</v>
      </c>
      <c r="W19" s="185" t="str">
        <f t="shared" si="12"/>
        <v>Offererad produktnr. 12Foxway Education AB</v>
      </c>
      <c r="X19" s="185" t="b">
        <f>IF($D$13="",TRUE,IF(COUNTIF(Processor!$I$2:$I$9,$D$13)&gt;0,AND(AI19&gt;INDEX(Processor!$J$2:$J$9,MATCH($D$13,Processor!$I$2:$I$9,0)),AI19&lt;INDEX(Processor!$K$2:$K$9,MATCH($D$13,Processor!$I$2:$I$9,0))),IF(AI19=$D$13,TRUE,FALSE)))</f>
        <v>1</v>
      </c>
      <c r="Y19" s="185" t="b">
        <f t="shared" si="18"/>
        <v>1</v>
      </c>
      <c r="Z19" s="185" t="b">
        <f t="shared" si="19"/>
        <v>1</v>
      </c>
      <c r="AA19" s="185" t="b">
        <f t="shared" si="20"/>
        <v>1</v>
      </c>
      <c r="AB19" s="185" t="b">
        <f t="shared" si="21"/>
        <v>1</v>
      </c>
      <c r="AC19" s="185" t="b">
        <f t="shared" si="22"/>
        <v>1</v>
      </c>
      <c r="AD19" s="185"/>
      <c r="AE19" s="185" t="b">
        <f t="shared" si="23"/>
        <v>1</v>
      </c>
      <c r="AF19" s="185" t="b">
        <f>IFERROR(IF($D20="",TRUE,IF(MID(AT19,LEN(AT19)-2,1)*1&gt;=MID($D20,LEN($D20)-2,1)*1,TRUE,FALSE)),FALSE)</f>
        <v>1</v>
      </c>
      <c r="AG19" s="185" t="s">
        <v>221</v>
      </c>
      <c r="AH19" s="201">
        <v>1</v>
      </c>
      <c r="AI19" s="185">
        <f t="shared" ca="1" si="13"/>
        <v>27</v>
      </c>
      <c r="AJ19" s="185" t="str">
        <f t="shared" ca="1" si="13"/>
        <v>2560x1440</v>
      </c>
      <c r="AK19" s="185">
        <f t="shared" ca="1" si="13"/>
        <v>0</v>
      </c>
      <c r="AL19" s="185">
        <f t="shared" ca="1" si="13"/>
        <v>0</v>
      </c>
      <c r="AM19" s="185">
        <f t="shared" ca="1" si="13"/>
        <v>1</v>
      </c>
      <c r="AN19" s="185">
        <f t="shared" ca="1" si="13"/>
        <v>16700000</v>
      </c>
      <c r="AO19" s="185">
        <f t="shared" ca="1" si="13"/>
        <v>350</v>
      </c>
      <c r="AP19" s="185" t="str">
        <f t="shared" ca="1" si="13"/>
        <v>Version 8.0</v>
      </c>
      <c r="AQ19" s="185" t="str">
        <f t="shared" ca="1" si="13"/>
        <v>Ja</v>
      </c>
      <c r="AR19" s="185">
        <f t="shared" ca="1" si="13"/>
        <v>0</v>
      </c>
      <c r="AS19" s="185">
        <f t="shared" ca="1" si="14"/>
        <v>0</v>
      </c>
      <c r="AT19" s="185" t="str">
        <f t="shared" ca="1" si="14"/>
        <v>Version 8.0</v>
      </c>
      <c r="AU19" s="185" t="str">
        <f t="shared" ca="1" si="14"/>
        <v>Ja</v>
      </c>
      <c r="AV19" s="185">
        <f t="shared" ca="1" si="14"/>
        <v>0</v>
      </c>
      <c r="AW19" s="185" t="str">
        <f t="shared" ca="1" si="14"/>
        <v>E27q-20</v>
      </c>
      <c r="AX19" s="185">
        <f t="shared" ca="1" si="14"/>
        <v>3002</v>
      </c>
      <c r="AY19" s="192">
        <f t="shared" ca="1" si="14"/>
        <v>672</v>
      </c>
      <c r="AZ19" s="192">
        <f t="shared" ca="1" si="14"/>
        <v>90</v>
      </c>
      <c r="BA19" s="192">
        <f t="shared" ca="1" si="14"/>
        <v>60</v>
      </c>
      <c r="BB19" s="192">
        <f t="shared" ca="1" si="14"/>
        <v>50</v>
      </c>
      <c r="BC19" s="192" t="str">
        <f t="shared" ca="1" si="14"/>
        <v>Targus</v>
      </c>
      <c r="BD19" s="192" t="str">
        <f t="shared" ca="1" si="14"/>
        <v>Targus Privacy Screen 27"</v>
      </c>
      <c r="BE19" s="192" t="str">
        <f t="shared" ca="1" si="14"/>
        <v>False</v>
      </c>
      <c r="BF19" s="192" t="str">
        <f t="shared" ca="1" si="14"/>
        <v>False</v>
      </c>
      <c r="BG19" s="192" t="str">
        <f t="shared" ca="1" si="14"/>
        <v>False</v>
      </c>
      <c r="BH19" s="192" t="str">
        <f t="shared" ca="1" si="14"/>
        <v>Foxway Education AB</v>
      </c>
      <c r="BI19" s="192" t="str">
        <f t="shared" ca="1" si="14"/>
        <v>Lenovo</v>
      </c>
    </row>
    <row r="20" spans="2:61" ht="22.5" customHeight="1" outlineLevel="1" x14ac:dyDescent="0.35">
      <c r="C20" s="61" t="s">
        <v>38</v>
      </c>
      <c r="D20" s="64"/>
      <c r="F20" s="78" t="str">
        <f t="shared" si="15"/>
        <v/>
      </c>
      <c r="G20" s="79" t="str">
        <f t="shared" ca="1" si="16"/>
        <v>Version 8.0</v>
      </c>
      <c r="H20" s="79" t="str">
        <f t="shared" ca="1" si="16"/>
        <v>Version 8.0</v>
      </c>
      <c r="I20" s="120" t="str">
        <f t="shared" ca="1" si="16"/>
        <v>Version 8.0</v>
      </c>
      <c r="J20" s="62"/>
      <c r="Q20" s="185">
        <f t="shared" ref="Q20:Q21" si="24">SUM(R20:U20)</f>
        <v>0</v>
      </c>
      <c r="R20" s="185">
        <f t="shared" ref="R20:R21" si="25">IF($D$24="",0,AY20)</f>
        <v>0</v>
      </c>
      <c r="S20" s="185">
        <f t="shared" ref="S20:S21" si="26">IF($D$28="",0,AZ20)</f>
        <v>0</v>
      </c>
      <c r="T20" s="185">
        <f t="shared" ref="T20:T21" si="27">IF($D$29="",0,BA20)</f>
        <v>0</v>
      </c>
      <c r="U20" s="185">
        <f t="shared" ref="U20:U21" si="28">IF($D$30="",0,BD20)</f>
        <v>0</v>
      </c>
      <c r="V20" s="196">
        <f ca="1">IF(W20="","",SUM(AX20,R20:U20))</f>
        <v>2076</v>
      </c>
      <c r="W20" s="185" t="str">
        <f t="shared" ref="W20:W21" si="29">IF(COUNTIF(X20:AF20,FALSE)&gt;0,"",AG20)</f>
        <v>Offererad produktnr. 11Qlosr Göteborg AB</v>
      </c>
      <c r="X20" s="185" t="b">
        <f>IF($D$13="",TRUE,IF(COUNTIF(Processor!$I$2:$I$9,$D$13)&gt;0,AND(AI20&gt;INDEX(Processor!$J$2:$J$9,MATCH($D$13,Processor!$I$2:$I$9,0)),AI20&lt;INDEX(Processor!$K$2:$K$9,MATCH($D$13,Processor!$I$2:$I$9,0))),IF(AI20=$D$13,TRUE,FALSE)))</f>
        <v>1</v>
      </c>
      <c r="Y20" s="185" t="b">
        <f t="shared" si="18"/>
        <v>1</v>
      </c>
      <c r="Z20" s="185" t="b">
        <f t="shared" si="19"/>
        <v>1</v>
      </c>
      <c r="AA20" s="185" t="b">
        <f t="shared" si="20"/>
        <v>1</v>
      </c>
      <c r="AB20" s="185" t="b">
        <f t="shared" si="21"/>
        <v>1</v>
      </c>
      <c r="AC20" s="185" t="b">
        <f t="shared" si="22"/>
        <v>1</v>
      </c>
      <c r="AD20" s="185"/>
      <c r="AE20" s="185" t="b">
        <f t="shared" si="23"/>
        <v>1</v>
      </c>
      <c r="AF20" s="185" t="b">
        <f>IFERROR(IF($D20="",TRUE,IF(MID(AT20,LEN(AT20)-2,1)*1&gt;=MID($D20,LEN($D20)-2,1)*1,TRUE,FALSE)),FALSE)</f>
        <v>1</v>
      </c>
      <c r="AG20" s="185" t="s">
        <v>562</v>
      </c>
      <c r="AH20" s="201">
        <v>1</v>
      </c>
      <c r="AI20" s="185">
        <f t="shared" ca="1" si="13"/>
        <v>23.8</v>
      </c>
      <c r="AJ20" s="185" t="str">
        <f t="shared" ca="1" si="13"/>
        <v>1920x1080</v>
      </c>
      <c r="AK20" s="185">
        <f t="shared" ca="1" si="13"/>
        <v>5</v>
      </c>
      <c r="AL20" s="185">
        <f t="shared" ca="1" si="13"/>
        <v>0</v>
      </c>
      <c r="AM20" s="185">
        <f t="shared" ca="1" si="13"/>
        <v>1</v>
      </c>
      <c r="AN20" s="185">
        <f t="shared" ca="1" si="13"/>
        <v>16700000</v>
      </c>
      <c r="AO20" s="185">
        <f t="shared" ca="1" si="13"/>
        <v>250</v>
      </c>
      <c r="AP20" s="185" t="str">
        <f t="shared" ca="1" si="13"/>
        <v>Version 8.0</v>
      </c>
      <c r="AQ20" s="185" t="str">
        <f t="shared" ca="1" si="13"/>
        <v>Ja</v>
      </c>
      <c r="AR20" s="185">
        <f t="shared" ca="1" si="13"/>
        <v>0</v>
      </c>
      <c r="AS20" s="185">
        <f t="shared" ca="1" si="14"/>
        <v>0</v>
      </c>
      <c r="AT20" s="185" t="str">
        <f t="shared" ca="1" si="14"/>
        <v>Version 8.0</v>
      </c>
      <c r="AU20" s="185" t="str">
        <f t="shared" ca="1" si="14"/>
        <v>Ja</v>
      </c>
      <c r="AV20" s="185">
        <f t="shared" ca="1" si="14"/>
        <v>0</v>
      </c>
      <c r="AW20" s="185" t="str">
        <f t="shared" ca="1" si="14"/>
        <v>P2422h</v>
      </c>
      <c r="AX20" s="185">
        <f t="shared" ca="1" si="14"/>
        <v>2076</v>
      </c>
      <c r="AY20" s="192">
        <f t="shared" ca="1" si="14"/>
        <v>540</v>
      </c>
      <c r="AZ20" s="192">
        <f t="shared" ca="1" si="14"/>
        <v>89</v>
      </c>
      <c r="BA20" s="192">
        <f t="shared" ca="1" si="14"/>
        <v>25</v>
      </c>
      <c r="BB20" s="192">
        <f t="shared" ca="1" si="14"/>
        <v>25</v>
      </c>
      <c r="BC20" s="192" t="str">
        <f t="shared" ca="1" si="14"/>
        <v>Kapsolo</v>
      </c>
      <c r="BD20" s="192" t="str">
        <f t="shared" ca="1" si="14"/>
        <v>GBXKAP10786</v>
      </c>
      <c r="BE20" s="192" t="str">
        <f t="shared" ca="1" si="14"/>
        <v>False</v>
      </c>
      <c r="BF20" s="192" t="str">
        <f t="shared" ca="1" si="14"/>
        <v>False</v>
      </c>
      <c r="BG20" s="192" t="str">
        <f t="shared" ca="1" si="14"/>
        <v>False</v>
      </c>
      <c r="BH20" s="192" t="str">
        <f t="shared" ca="1" si="14"/>
        <v>Qlosr Göteborg AB</v>
      </c>
      <c r="BI20" s="192" t="str">
        <f t="shared" ca="1" si="14"/>
        <v>Dell</v>
      </c>
    </row>
    <row r="21" spans="2:61" ht="22.5" customHeight="1" outlineLevel="1" x14ac:dyDescent="0.35">
      <c r="C21" s="61" t="s">
        <v>37</v>
      </c>
      <c r="D21" s="64"/>
      <c r="F21" s="78" t="str">
        <f t="shared" si="15"/>
        <v/>
      </c>
      <c r="G21" s="79" t="str">
        <f t="shared" ca="1" si="16"/>
        <v>Ja</v>
      </c>
      <c r="H21" s="79" t="str">
        <f t="shared" ca="1" si="16"/>
        <v>Ja</v>
      </c>
      <c r="I21" s="120" t="str">
        <f t="shared" ca="1" si="16"/>
        <v>Ja</v>
      </c>
      <c r="J21" s="62"/>
      <c r="Q21" s="185">
        <f t="shared" si="24"/>
        <v>0</v>
      </c>
      <c r="R21" s="185">
        <f t="shared" si="25"/>
        <v>0</v>
      </c>
      <c r="S21" s="185">
        <f t="shared" si="26"/>
        <v>0</v>
      </c>
      <c r="T21" s="185">
        <f t="shared" si="27"/>
        <v>0</v>
      </c>
      <c r="U21" s="185">
        <f t="shared" si="28"/>
        <v>0</v>
      </c>
      <c r="V21" s="196">
        <f t="shared" ref="V21" ca="1" si="30">IF(W21="","",SUM(AX21,R21:U21))</f>
        <v>2430</v>
      </c>
      <c r="W21" s="185" t="str">
        <f t="shared" si="29"/>
        <v>Offererad produktnr. 12Qlosr Göteborg AB</v>
      </c>
      <c r="X21" s="185" t="b">
        <f>IF($D$13="",TRUE,IF(COUNTIF(Processor!$I$2:$I$9,$D$13)&gt;0,AND(AI21&gt;INDEX(Processor!$J$2:$J$9,MATCH($D$13,Processor!$I$2:$I$9,0)),AI21&lt;INDEX(Processor!$K$2:$K$9,MATCH($D$13,Processor!$I$2:$I$9,0))),IF(AI21=$D$13,TRUE,FALSE)))</f>
        <v>1</v>
      </c>
      <c r="Y21" s="185" t="b">
        <f t="shared" si="18"/>
        <v>1</v>
      </c>
      <c r="Z21" s="185" t="b">
        <f t="shared" si="19"/>
        <v>1</v>
      </c>
      <c r="AA21" s="185" t="b">
        <f t="shared" si="20"/>
        <v>1</v>
      </c>
      <c r="AB21" s="185" t="b">
        <f t="shared" si="21"/>
        <v>1</v>
      </c>
      <c r="AC21" s="185" t="b">
        <f t="shared" si="22"/>
        <v>1</v>
      </c>
      <c r="AD21" s="185"/>
      <c r="AE21" s="185" t="b">
        <f t="shared" si="23"/>
        <v>1</v>
      </c>
      <c r="AF21" s="185" t="b">
        <f>IFERROR(IF($D20="",TRUE,IF(MID(AT21,LEN(AT21)-2,1)*1&gt;=MID($D20,LEN($D20)-2,1)*1,TRUE,FALSE)),FALSE)</f>
        <v>1</v>
      </c>
      <c r="AG21" s="185" t="s">
        <v>563</v>
      </c>
      <c r="AH21" s="201">
        <v>1</v>
      </c>
      <c r="AI21" s="185">
        <f t="shared" ca="1" si="13"/>
        <v>27</v>
      </c>
      <c r="AJ21" s="185" t="str">
        <f t="shared" ca="1" si="13"/>
        <v>2560x1440</v>
      </c>
      <c r="AK21" s="185">
        <f t="shared" ca="1" si="13"/>
        <v>0</v>
      </c>
      <c r="AL21" s="185">
        <f t="shared" ca="1" si="13"/>
        <v>0</v>
      </c>
      <c r="AM21" s="185">
        <f t="shared" ca="1" si="13"/>
        <v>1</v>
      </c>
      <c r="AN21" s="185">
        <f t="shared" ca="1" si="13"/>
        <v>16700000</v>
      </c>
      <c r="AO21" s="185">
        <f t="shared" ca="1" si="13"/>
        <v>350</v>
      </c>
      <c r="AP21" s="185" t="str">
        <f t="shared" ca="1" si="13"/>
        <v>Version 8.0</v>
      </c>
      <c r="AQ21" s="185" t="str">
        <f t="shared" ca="1" si="13"/>
        <v>Ja</v>
      </c>
      <c r="AR21" s="185">
        <f t="shared" ca="1" si="13"/>
        <v>0</v>
      </c>
      <c r="AS21" s="185">
        <f t="shared" ca="1" si="14"/>
        <v>0</v>
      </c>
      <c r="AT21" s="185" t="str">
        <f t="shared" ca="1" si="14"/>
        <v>Version 8.0</v>
      </c>
      <c r="AU21" s="185" t="str">
        <f t="shared" ca="1" si="14"/>
        <v>Ja</v>
      </c>
      <c r="AV21" s="185">
        <f t="shared" ca="1" si="14"/>
        <v>0</v>
      </c>
      <c r="AW21" s="185" t="str">
        <f t="shared" ca="1" si="14"/>
        <v>E27q-20</v>
      </c>
      <c r="AX21" s="185">
        <f t="shared" ca="1" si="14"/>
        <v>2430</v>
      </c>
      <c r="AY21" s="192">
        <f t="shared" ca="1" si="14"/>
        <v>669</v>
      </c>
      <c r="AZ21" s="192">
        <f t="shared" ca="1" si="14"/>
        <v>89</v>
      </c>
      <c r="BA21" s="192">
        <f t="shared" ca="1" si="14"/>
        <v>25</v>
      </c>
      <c r="BB21" s="192">
        <f t="shared" ca="1" si="14"/>
        <v>25</v>
      </c>
      <c r="BC21" s="192" t="str">
        <f t="shared" ca="1" si="14"/>
        <v>Kapsolo</v>
      </c>
      <c r="BD21" s="192" t="str">
        <f t="shared" ca="1" si="14"/>
        <v>GBXKAP11019</v>
      </c>
      <c r="BE21" s="192" t="str">
        <f t="shared" ca="1" si="14"/>
        <v>False</v>
      </c>
      <c r="BF21" s="192" t="str">
        <f t="shared" ca="1" si="14"/>
        <v>False</v>
      </c>
      <c r="BG21" s="192" t="str">
        <f t="shared" ca="1" si="14"/>
        <v>False</v>
      </c>
      <c r="BH21" s="192" t="str">
        <f t="shared" ca="1" si="14"/>
        <v>Qlosr Göteborg AB</v>
      </c>
      <c r="BI21" s="192" t="str">
        <f t="shared" ca="1" si="14"/>
        <v>Lenovo</v>
      </c>
    </row>
    <row r="22" spans="2:61" ht="22.5" customHeight="1" outlineLevel="1" x14ac:dyDescent="0.35">
      <c r="C22" s="66"/>
      <c r="D22" s="67"/>
      <c r="G22" s="62"/>
      <c r="H22" s="62"/>
      <c r="I22" s="62"/>
      <c r="J22" s="94"/>
      <c r="V22" s="175"/>
      <c r="AH22" s="50"/>
      <c r="AY22" s="63"/>
      <c r="AZ22" s="63"/>
      <c r="BA22" s="63"/>
      <c r="BB22" s="63"/>
      <c r="BC22" s="63"/>
      <c r="BD22" s="63"/>
      <c r="BE22" s="63"/>
      <c r="BF22" s="63"/>
      <c r="BG22" s="63"/>
      <c r="BH22" s="63"/>
      <c r="BI22" s="63"/>
    </row>
    <row r="23" spans="2:61" ht="22.5" customHeight="1" outlineLevel="1" x14ac:dyDescent="0.35">
      <c r="C23" s="212" t="s">
        <v>366</v>
      </c>
      <c r="D23" s="213"/>
      <c r="E23" s="213"/>
      <c r="F23" s="213"/>
      <c r="G23" s="213"/>
      <c r="H23" s="213"/>
      <c r="I23" s="214"/>
      <c r="J23" s="62"/>
      <c r="V23" s="175"/>
      <c r="AH23" s="50"/>
      <c r="AY23" s="63"/>
      <c r="AZ23" s="63"/>
      <c r="BA23" s="63"/>
      <c r="BB23" s="63"/>
      <c r="BC23" s="63"/>
      <c r="BD23" s="63"/>
      <c r="BE23" s="63"/>
      <c r="BF23" s="63"/>
      <c r="BG23" s="63"/>
      <c r="BH23" s="63"/>
      <c r="BI23" s="63"/>
    </row>
    <row r="24" spans="2:61" ht="22.5" customHeight="1" outlineLevel="1" x14ac:dyDescent="0.35">
      <c r="B24" s="69" t="s">
        <v>53</v>
      </c>
      <c r="C24" s="115" t="s">
        <v>77</v>
      </c>
      <c r="D24" s="70"/>
      <c r="F24" s="161" t="str">
        <f>IF(F$10="Inget antal angivet","",IFERROR(INDEX($AI$11:$BI$36,MATCH(F$7,$AG$11:$AG$36,0),MATCH($B24,$AI$11:$BI$11,0)),""))</f>
        <v/>
      </c>
      <c r="G24" s="162">
        <f ca="1">IFERROR(INDEX($AI$11:$BI$36,MATCH(G$7,$AG$11:$AG$36,0),MATCH($B24,$AI$11:$BI$11,0)),"")</f>
        <v>639</v>
      </c>
      <c r="H24" s="162">
        <f ca="1">IFERROR(INDEX($AI$11:$BI$36,MATCH(H$7,$AG$11:$AG$36,0),MATCH($B24,$AI$11:$BI$11,0)),"")</f>
        <v>778</v>
      </c>
      <c r="I24" s="162">
        <f ca="1">IFERROR(INDEX($AI$11:$BI$36,MATCH(I$7,$AG$11:$AG$36,0),MATCH($B24,$AI$11:$BI$11,0)),"")</f>
        <v>540</v>
      </c>
      <c r="J24" s="62"/>
      <c r="AY24" s="63"/>
      <c r="AZ24" s="63"/>
      <c r="BA24" s="63"/>
      <c r="BB24" s="63"/>
      <c r="BC24" s="63"/>
      <c r="BD24" s="63"/>
      <c r="BE24" s="63"/>
      <c r="BF24" s="63"/>
      <c r="BG24" s="63"/>
      <c r="BH24" s="63"/>
      <c r="BI24" s="63"/>
    </row>
    <row r="25" spans="2:61" ht="22.5" customHeight="1" outlineLevel="1" x14ac:dyDescent="0.35">
      <c r="B25" s="69" t="s">
        <v>340</v>
      </c>
      <c r="C25" s="96" t="s">
        <v>51</v>
      </c>
      <c r="D25" s="131" t="str">
        <f>IF("Ska Ingå"=D24,"Ska Ingå","")</f>
        <v/>
      </c>
      <c r="F25" s="84" t="str">
        <f>IF(F$10="Inget antal angivet","",IFERROR(INDEX($AI$11:$BI$36,MATCH(F$7,$AG$11:$AG$36,0),MATCH($B25,$AI$11:$BI$11,0)),""))</f>
        <v/>
      </c>
      <c r="G25" s="85" t="str">
        <f ca="1">IFERROR(INDEX($AI$11:$BI$36,MATCH(G$7,$AG$11:$AG$36,0),MATCH($B25,$AI$11:$BI$11,0)),"")</f>
        <v>eSTUFF</v>
      </c>
      <c r="H25" s="85" t="str">
        <f ca="1">IFERROR(INDEX($AI$11:$BI$36,MATCH(H$7,$AG$11:$AG$36,0),MATCH($B25,$AI$11:$BI$11,0)),"")</f>
        <v>Targus</v>
      </c>
      <c r="I25" s="85" t="str">
        <f ca="1">IFERROR(INDEX($AI$11:$BI$36,MATCH(I$7,$AG$11:$AG$36,0),MATCH($C25,$AI$11:$BI$11,0)),"")</f>
        <v>Dell</v>
      </c>
      <c r="J25" s="62"/>
      <c r="AY25" s="63"/>
      <c r="AZ25" s="63"/>
      <c r="BA25" s="63"/>
      <c r="BB25" s="63"/>
      <c r="BC25" s="63"/>
      <c r="BD25" s="63"/>
      <c r="BE25" s="63"/>
      <c r="BF25" s="63"/>
      <c r="BG25" s="63"/>
      <c r="BH25" s="63"/>
      <c r="BI25" s="63"/>
    </row>
    <row r="26" spans="2:61" ht="64.5" customHeight="1" outlineLevel="1" x14ac:dyDescent="0.35">
      <c r="B26" s="71" t="s">
        <v>345</v>
      </c>
      <c r="C26" s="116" t="s">
        <v>52</v>
      </c>
      <c r="D26" s="132" t="str">
        <f>IF("Ska Ingå"=D24,"Ska Ingå","")</f>
        <v/>
      </c>
      <c r="F26" s="117" t="str">
        <f>IF(F$10="Inget antal angivet","",IFERROR(INDEX($AI$11:$BI$36,MATCH(F$7,$AG$11:$AG$36,0),MATCH($B26,$AI$11:$BI$11,0)),""))</f>
        <v/>
      </c>
      <c r="G26" s="118" t="str">
        <f ca="1">IFERROR(INDEX($AI$11:$BI$36,MATCH(G$7,$AG$11:$AG$36,0),MATCH($B26,$AI$11:$BI$11,0)),"")</f>
        <v>GLBB24519325 -  Filter för personlig integritet - 2-vägs - 24" - svart</v>
      </c>
      <c r="H26" s="118" t="str">
        <f ca="1">IFERROR(INDEX($AI$11:$BI$36,MATCH(H$7,$AG$11:$AG$36,0),MATCH($B26,$AI$11:$BI$11,0)),"")</f>
        <v>Targus Privacy Screen - filter för personlig integritet - 23,8 tum bred</v>
      </c>
      <c r="I26" s="118" t="str">
        <f ca="1">IFERROR(INDEX($AI$11:$BI$36,MATCH(I$7,$AG$11:$AG$36,0),MATCH($C26,$AI$11:$BI$11,0)),"")</f>
        <v>P2422h</v>
      </c>
      <c r="J26" s="62"/>
      <c r="AY26" s="63"/>
      <c r="AZ26" s="63"/>
      <c r="BA26" s="63"/>
      <c r="BB26" s="63"/>
      <c r="BC26" s="63"/>
      <c r="BD26" s="63"/>
      <c r="BE26" s="63"/>
      <c r="BF26" s="63"/>
      <c r="BG26" s="63"/>
      <c r="BH26" s="63"/>
      <c r="BI26" s="63"/>
    </row>
    <row r="27" spans="2:61" ht="22.5" customHeight="1" outlineLevel="1" x14ac:dyDescent="0.35">
      <c r="B27" s="71"/>
      <c r="C27" s="212" t="s">
        <v>365</v>
      </c>
      <c r="D27" s="215"/>
      <c r="E27" s="213"/>
      <c r="F27" s="213"/>
      <c r="G27" s="213"/>
      <c r="H27" s="213"/>
      <c r="I27" s="214"/>
      <c r="J27" s="62"/>
      <c r="AY27" s="63"/>
      <c r="AZ27" s="63"/>
      <c r="BA27" s="63"/>
      <c r="BB27" s="63"/>
      <c r="BC27" s="63"/>
      <c r="BD27" s="63"/>
      <c r="BE27" s="63"/>
      <c r="BF27" s="63"/>
      <c r="BG27" s="63"/>
      <c r="BH27" s="63"/>
      <c r="BI27" s="63"/>
    </row>
    <row r="28" spans="2:61" ht="22.5" customHeight="1" outlineLevel="1" x14ac:dyDescent="0.35">
      <c r="B28" s="71" t="s">
        <v>228</v>
      </c>
      <c r="C28" s="115" t="s">
        <v>367</v>
      </c>
      <c r="D28" s="70"/>
      <c r="F28" s="161" t="str">
        <f>IF(F$10="Inget antal angivet","",IFERROR(INDEX($AI$11:$BI$36,MATCH(F$7,$AG$11:$AG$36,0),MATCH($B28,$AI$11:$BI$11,0)),""))</f>
        <v/>
      </c>
      <c r="G28" s="162">
        <f t="shared" ref="G28:I30" ca="1" si="31">IFERROR(INDEX($AI$11:$BI$36,MATCH(G$7,$AG$11:$AG$36,0),MATCH($B28,$AI$11:$BI$11,0)),"")</f>
        <v>101</v>
      </c>
      <c r="H28" s="162">
        <f t="shared" ca="1" si="31"/>
        <v>94</v>
      </c>
      <c r="I28" s="162">
        <f t="shared" ca="1" si="31"/>
        <v>89</v>
      </c>
      <c r="J28" s="62"/>
      <c r="AY28" s="63"/>
      <c r="AZ28" s="63"/>
      <c r="BA28" s="63"/>
      <c r="BB28" s="63"/>
      <c r="BC28" s="63"/>
      <c r="BD28" s="63"/>
      <c r="BE28" s="63"/>
      <c r="BF28" s="63"/>
      <c r="BG28" s="63"/>
      <c r="BH28" s="63"/>
      <c r="BI28" s="63"/>
    </row>
    <row r="29" spans="2:61" ht="22.5" customHeight="1" outlineLevel="1" x14ac:dyDescent="0.35">
      <c r="B29" s="71" t="s">
        <v>229</v>
      </c>
      <c r="C29" s="61" t="s">
        <v>368</v>
      </c>
      <c r="D29" s="70"/>
      <c r="F29" s="165" t="str">
        <f>IF(F$10="Inget antal angivet","",IFERROR(INDEX($AI$11:$BI$36,MATCH(F$7,$AG$11:$AG$36,0),MATCH($B29,$AI$11:$BI$11,0)),""))</f>
        <v/>
      </c>
      <c r="G29" s="166">
        <f t="shared" ca="1" si="31"/>
        <v>50</v>
      </c>
      <c r="H29" s="166">
        <f t="shared" ca="1" si="31"/>
        <v>85</v>
      </c>
      <c r="I29" s="166">
        <f t="shared" ca="1" si="31"/>
        <v>25</v>
      </c>
      <c r="J29" s="73"/>
      <c r="AY29" s="63"/>
      <c r="AZ29" s="63"/>
      <c r="BA29" s="63"/>
      <c r="BB29" s="63"/>
      <c r="BC29" s="63"/>
      <c r="BD29" s="63"/>
      <c r="BE29" s="63"/>
      <c r="BF29" s="63"/>
      <c r="BG29" s="63"/>
      <c r="BH29" s="63"/>
      <c r="BI29" s="63"/>
    </row>
    <row r="30" spans="2:61" ht="22.5" customHeight="1" outlineLevel="1" x14ac:dyDescent="0.35">
      <c r="B30" s="71" t="s">
        <v>230</v>
      </c>
      <c r="C30" s="96" t="s">
        <v>369</v>
      </c>
      <c r="D30" s="70"/>
      <c r="F30" s="163" t="str">
        <f>IF(F$10="Inget antal angivet","",IFERROR(INDEX($AI$11:$BI$36,MATCH(F$7,$AG$11:$AG$36,0),MATCH($B30,$AI$11:$BI$11,0)),""))</f>
        <v/>
      </c>
      <c r="G30" s="164">
        <f t="shared" ca="1" si="31"/>
        <v>50</v>
      </c>
      <c r="H30" s="164">
        <f t="shared" ca="1" si="31"/>
        <v>100</v>
      </c>
      <c r="I30" s="164">
        <f t="shared" ca="1" si="31"/>
        <v>25</v>
      </c>
      <c r="J30" s="54"/>
      <c r="AY30" s="63"/>
      <c r="AZ30" s="63"/>
      <c r="BA30" s="63"/>
      <c r="BB30" s="63"/>
      <c r="BC30" s="63"/>
      <c r="BD30" s="63"/>
      <c r="BE30" s="63"/>
      <c r="BF30" s="63"/>
      <c r="BG30" s="63"/>
      <c r="BH30" s="63"/>
      <c r="BI30" s="63"/>
    </row>
    <row r="31" spans="2:61" ht="22.5" customHeight="1" outlineLevel="1" x14ac:dyDescent="0.35">
      <c r="J31" s="73"/>
      <c r="AY31" s="63"/>
      <c r="AZ31" s="63"/>
      <c r="BA31" s="63"/>
      <c r="BB31" s="63"/>
      <c r="BC31" s="63"/>
      <c r="BD31" s="63"/>
      <c r="BE31" s="63"/>
      <c r="BF31" s="63"/>
      <c r="BG31" s="63"/>
      <c r="BH31" s="63"/>
      <c r="BI31" s="63"/>
    </row>
    <row r="32" spans="2:61" ht="22.5" customHeight="1" x14ac:dyDescent="0.35">
      <c r="J32" s="54"/>
      <c r="AY32" s="63"/>
      <c r="AZ32" s="63"/>
      <c r="BA32" s="63"/>
      <c r="BB32" s="63"/>
      <c r="BC32" s="63"/>
      <c r="BD32" s="63"/>
      <c r="BE32" s="63"/>
      <c r="BF32" s="63"/>
      <c r="BG32" s="63"/>
      <c r="BH32" s="63"/>
      <c r="BI32" s="63"/>
    </row>
    <row r="33" spans="2:75" ht="22.5" customHeight="1" x14ac:dyDescent="0.35">
      <c r="D33" s="72" t="s">
        <v>233</v>
      </c>
      <c r="F33" s="221" t="s">
        <v>252</v>
      </c>
      <c r="G33" s="221"/>
      <c r="H33" s="221"/>
      <c r="I33" s="222"/>
      <c r="J33" s="73"/>
      <c r="AY33" s="63"/>
      <c r="AZ33" s="63"/>
      <c r="BA33" s="63"/>
      <c r="BB33" s="63"/>
      <c r="BC33" s="63"/>
      <c r="BD33" s="63"/>
      <c r="BE33" s="63"/>
      <c r="BF33" s="63"/>
      <c r="BG33" s="63"/>
      <c r="BH33" s="63"/>
      <c r="BI33" s="63"/>
    </row>
    <row r="34" spans="2:75" ht="22.5" customHeight="1" x14ac:dyDescent="0.35">
      <c r="D34" s="74"/>
      <c r="F34" s="202" t="str">
        <f ca="1">IFERROR(INDEX($V$12:$V$23,MATCH(F7,$W$12:$W$23,0))*D34,"")</f>
        <v/>
      </c>
      <c r="G34" s="202">
        <f ca="1">IFERROR(P12 *D34,"")</f>
        <v>0</v>
      </c>
      <c r="H34" s="202">
        <f ca="1">IFERROR(P13 *D34,"")</f>
        <v>0</v>
      </c>
      <c r="I34" s="202">
        <f ca="1">IFERROR(P14 * D34,"")</f>
        <v>0</v>
      </c>
      <c r="J34" s="54"/>
      <c r="AY34" s="63"/>
      <c r="AZ34" s="63"/>
      <c r="BA34" s="63"/>
      <c r="BB34" s="63"/>
      <c r="BC34" s="63"/>
      <c r="BD34" s="63"/>
      <c r="BE34" s="63"/>
      <c r="BF34" s="63"/>
      <c r="BG34" s="63"/>
      <c r="BH34" s="63"/>
      <c r="BI34" s="63"/>
    </row>
    <row r="35" spans="2:75" x14ac:dyDescent="0.35">
      <c r="AY35" s="63"/>
      <c r="AZ35" s="63"/>
      <c r="BA35" s="63"/>
      <c r="BB35" s="63"/>
      <c r="BC35" s="63"/>
      <c r="BD35" s="63"/>
      <c r="BE35" s="63"/>
      <c r="BF35" s="63"/>
      <c r="BG35" s="63"/>
      <c r="BH35" s="63"/>
      <c r="BI35" s="63"/>
    </row>
    <row r="36" spans="2:75" ht="15" thickBot="1" x14ac:dyDescent="0.4">
      <c r="C36" s="174"/>
      <c r="D36" s="174"/>
      <c r="E36" s="174"/>
      <c r="F36" s="174"/>
      <c r="G36" s="174"/>
      <c r="H36" s="174"/>
      <c r="I36" s="174"/>
      <c r="AY36" s="63"/>
      <c r="AZ36" s="63"/>
      <c r="BA36" s="63"/>
      <c r="BB36" s="63"/>
      <c r="BC36" s="63"/>
      <c r="BD36" s="63"/>
      <c r="BE36" s="63"/>
      <c r="BF36" s="63"/>
      <c r="BG36" s="63"/>
      <c r="BH36" s="63"/>
      <c r="BI36" s="63"/>
    </row>
    <row r="37" spans="2:75" ht="15" thickTop="1" x14ac:dyDescent="0.35"/>
    <row r="38" spans="2:75" ht="71.25" customHeight="1" collapsed="1" x14ac:dyDescent="0.35">
      <c r="C38" s="53"/>
      <c r="D38" s="53"/>
      <c r="F38" s="50" t="e">
        <f ca="1">N42</f>
        <v>#N/A</v>
      </c>
      <c r="G38" s="50" t="str">
        <f ca="1">INDEX(W43:W67,MATCH(P43,V43:V67,0))</f>
        <v>Offererad produktnr. 11Advania Sverige AB</v>
      </c>
      <c r="H38" s="50" t="str">
        <f ca="1">INDEX(W42:W66,MATCH(P44,V42:V66,0))</f>
        <v>Offererad produktnr. 11Atea Sverige AB</v>
      </c>
      <c r="I38" s="50" t="str">
        <f ca="1">INDEX(W42:W66,MATCH(P45,V42:V66,0))</f>
        <v>Offererad produktnr. 11Qlosr Göteborg AB</v>
      </c>
      <c r="AI38" s="12" t="s">
        <v>124</v>
      </c>
      <c r="AJ38" s="12" t="s">
        <v>124</v>
      </c>
      <c r="AK38" s="12" t="s">
        <v>124</v>
      </c>
      <c r="AL38" s="12" t="s">
        <v>124</v>
      </c>
      <c r="AM38" s="12" t="s">
        <v>124</v>
      </c>
      <c r="AN38" s="12" t="s">
        <v>124</v>
      </c>
      <c r="AO38" s="12" t="s">
        <v>124</v>
      </c>
      <c r="AP38" s="12" t="s">
        <v>124</v>
      </c>
      <c r="AQ38" s="12" t="s">
        <v>124</v>
      </c>
      <c r="AR38" s="12" t="s">
        <v>124</v>
      </c>
      <c r="AS38" s="12" t="s">
        <v>124</v>
      </c>
      <c r="AT38" s="12" t="s">
        <v>124</v>
      </c>
      <c r="AU38" s="12" t="s">
        <v>124</v>
      </c>
      <c r="AV38" s="12" t="s">
        <v>124</v>
      </c>
      <c r="AW38" s="12" t="s">
        <v>124</v>
      </c>
      <c r="AX38" s="12" t="s">
        <v>124</v>
      </c>
      <c r="AY38" s="12" t="s">
        <v>124</v>
      </c>
      <c r="AZ38" s="12" t="s">
        <v>124</v>
      </c>
      <c r="BA38" s="12" t="s">
        <v>124</v>
      </c>
      <c r="BB38" s="12" t="s">
        <v>124</v>
      </c>
      <c r="BC38" s="12" t="s">
        <v>124</v>
      </c>
      <c r="BD38" s="12" t="s">
        <v>124</v>
      </c>
      <c r="BE38" s="12" t="s">
        <v>124</v>
      </c>
      <c r="BF38" s="12" t="s">
        <v>124</v>
      </c>
      <c r="BG38" s="12" t="s">
        <v>124</v>
      </c>
      <c r="BH38" s="12" t="s">
        <v>124</v>
      </c>
      <c r="BI38" s="12" t="s">
        <v>124</v>
      </c>
      <c r="BJ38" s="12"/>
      <c r="BK38" s="12"/>
      <c r="BL38" s="12"/>
      <c r="BM38" s="12"/>
      <c r="BN38" s="12"/>
      <c r="BO38" s="12"/>
      <c r="BP38" s="12"/>
      <c r="BQ38" s="12"/>
      <c r="BR38" s="12"/>
      <c r="BS38" s="12"/>
      <c r="BT38" s="12"/>
      <c r="BU38" s="12"/>
      <c r="BV38" s="12"/>
      <c r="BW38" s="12"/>
    </row>
    <row r="39" spans="2:75" ht="26.25" customHeight="1" thickBot="1" x14ac:dyDescent="0.4">
      <c r="C39" s="53"/>
      <c r="D39" s="53"/>
      <c r="F39" s="140" t="s">
        <v>446</v>
      </c>
      <c r="G39" s="205" t="s">
        <v>447</v>
      </c>
      <c r="H39" s="205"/>
      <c r="I39" s="205"/>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row>
    <row r="40" spans="2:75" ht="22.5" customHeight="1" thickBot="1" x14ac:dyDescent="0.4">
      <c r="B40" t="str">
        <f ca="1" xml:space="preserve"> "Produkt "  &amp; B41</f>
        <v>Produkt 2</v>
      </c>
      <c r="C40" s="206" t="str">
        <f>IF(F41="Ingen produkt motsvarar","Felmeddelande",IF(COUNTIF($P$1:$P$6,TRUE)&gt;0,"","Felmeddelande"))</f>
        <v/>
      </c>
      <c r="D40" s="207"/>
      <c r="F40" s="218" t="s">
        <v>271</v>
      </c>
      <c r="G40" s="218"/>
      <c r="H40" s="218"/>
      <c r="I40" s="219"/>
      <c r="O40">
        <v>1</v>
      </c>
      <c r="AI40" s="13" t="str">
        <f t="shared" ref="AI40:AW40" si="32">AI42</f>
        <v>Skärmstorlek (tum)</v>
      </c>
      <c r="AJ40" s="13" t="str">
        <f t="shared" si="32"/>
        <v>Upplösning</v>
      </c>
      <c r="AK40" s="13" t="str">
        <f t="shared" si="32"/>
        <v>Portar USB</v>
      </c>
      <c r="AL40" s="13" t="str">
        <f t="shared" si="32"/>
        <v>Portar HDMI</v>
      </c>
      <c r="AM40" s="13" t="str">
        <f t="shared" si="32"/>
        <v>Portar Display</v>
      </c>
      <c r="AN40" s="13" t="str">
        <f t="shared" si="32"/>
        <v>Antal färger</v>
      </c>
      <c r="AO40" s="13" t="str">
        <f t="shared" si="32"/>
        <v>Ljusstyrka</v>
      </c>
      <c r="AP40" s="13" t="str">
        <f t="shared" si="32"/>
        <v>Energiprestanda</v>
      </c>
      <c r="AQ40" s="13" t="str">
        <f t="shared" si="32"/>
        <v>Låsskydd</v>
      </c>
      <c r="AR40" s="13" t="str">
        <f t="shared" si="32"/>
        <v>Kommunikation Bluetooth</v>
      </c>
      <c r="AS40" s="13" t="str">
        <f t="shared" si="32"/>
        <v>Batteritid (tim)</v>
      </c>
      <c r="AT40" s="13" t="str">
        <f t="shared" si="32"/>
        <v>Energiprestanda</v>
      </c>
      <c r="AU40" s="13" t="str">
        <f t="shared" si="32"/>
        <v>Låsskydd</v>
      </c>
      <c r="AV40" s="13" t="str">
        <f t="shared" si="32"/>
        <v>Operativsystem</v>
      </c>
      <c r="AW40" s="13" t="str">
        <f t="shared" si="32"/>
        <v>Modellbenämning</v>
      </c>
      <c r="AX40" t="s">
        <v>224</v>
      </c>
      <c r="AY40" s="56" t="s">
        <v>53</v>
      </c>
      <c r="AZ40" s="57" t="s">
        <v>228</v>
      </c>
      <c r="BA40" s="57" t="s">
        <v>229</v>
      </c>
      <c r="BB40" s="57" t="s">
        <v>230</v>
      </c>
      <c r="BC40" s="56" t="s">
        <v>340</v>
      </c>
      <c r="BD40" s="57" t="s">
        <v>345</v>
      </c>
      <c r="BE40" s="57"/>
      <c r="BF40" s="57"/>
      <c r="BG40" s="57"/>
      <c r="BH40" s="57" t="s">
        <v>6</v>
      </c>
      <c r="BI40" s="4" t="s">
        <v>51</v>
      </c>
      <c r="BJ40" s="13"/>
      <c r="BK40" s="13"/>
      <c r="BL40" s="13"/>
      <c r="BM40" s="13"/>
      <c r="BN40" s="13"/>
      <c r="BO40" s="13"/>
      <c r="BP40" s="13"/>
      <c r="BQ40" s="13"/>
      <c r="BR40" s="13"/>
      <c r="BS40" s="13"/>
      <c r="BT40" s="13"/>
      <c r="BU40" s="13"/>
      <c r="BV40" s="13"/>
      <c r="BW40" s="13"/>
    </row>
    <row r="41" spans="2:75" ht="22.5" customHeight="1" x14ac:dyDescent="0.35">
      <c r="B41">
        <f ca="1">COUNTIF($F$7:F44,"Produkt I varukorg*")</f>
        <v>2</v>
      </c>
      <c r="F41" s="51" t="str">
        <f>IF(D65&lt;1,"Inget antal angivet",IFERROR(INDEX($V$43:$V$54,MATCH(F38,$W$43:$W$54,0)),"Ingen produkt motsvarar"))</f>
        <v>Inget antal angivet</v>
      </c>
      <c r="G41" s="52">
        <f ca="1">IFERROR(P43,"Ingen produkt motsvarar")</f>
        <v>1981</v>
      </c>
      <c r="H41" s="52">
        <f ca="1">IFERROR(P44,"")</f>
        <v>2034</v>
      </c>
      <c r="I41" s="52">
        <f ca="1">IFERROR(P45,"")</f>
        <v>2076</v>
      </c>
      <c r="W41" t="str">
        <f>IF(COUNTIF(X41:AF41,FALSE)&gt;0,AG41,"")</f>
        <v/>
      </c>
      <c r="X41" t="b">
        <f>IF($D$44="",TRUE,IF(AI41=$D$44,TRUE,FALSE))</f>
        <v>1</v>
      </c>
      <c r="Y41" t="b">
        <f>IF(D43="",TRUE,IF(AJ41=$D$45,TRUE,FALSE))</f>
        <v>1</v>
      </c>
      <c r="Z41" t="b">
        <f>IF(D44="",TRUE,IF(AK41=D44,TRUE,FALSE))</f>
        <v>1</v>
      </c>
      <c r="AA41" t="b">
        <f>IF(D45="",TRUE,IF(AL41=D45,TRUE,FALSE))</f>
        <v>1</v>
      </c>
      <c r="AB41" t="b">
        <f>IF(D49="",TRUE,IF(AM41=D49,TRUE,FALSE))</f>
        <v>1</v>
      </c>
      <c r="AC41" t="b">
        <f>IF(D50="",TRUE,IF(AN41=D50,TRUE,FALSE))</f>
        <v>1</v>
      </c>
      <c r="AE41" t="b">
        <f>IF(D48="",TRUE,IF(AO41=D48,TRUE,FALSE))</f>
        <v>1</v>
      </c>
      <c r="AF41" t="b">
        <f>IFERROR(IF($D51="",TRUE,IF(MID(AT41,LEN(AT41)-2,1)*1&gt;=MID($D51,LEN($D51)-2,1)*1,TRUE,FALSE)),FALSE)</f>
        <v>1</v>
      </c>
      <c r="AG41" t="s">
        <v>126</v>
      </c>
      <c r="AI41" s="58" t="str">
        <f t="shared" ref="AI41:BI41" ca="1" si="33">IFERROR(INDEX(INDIRECT(AI$38&amp;"!$A$10:CC100000"),MATCH($AG41,INDIRECT(AI$38&amp;"!BH$10:BH100000"),0),MATCH(AI$40,INDIRECT(AI$38&amp;"!a10:CC10"),0)),"False")</f>
        <v>False</v>
      </c>
      <c r="AJ41" s="58" t="str">
        <f t="shared" ca="1" si="33"/>
        <v>False</v>
      </c>
      <c r="AK41" s="58" t="str">
        <f t="shared" ca="1" si="33"/>
        <v>False</v>
      </c>
      <c r="AL41" s="58" t="str">
        <f t="shared" ca="1" si="33"/>
        <v>False</v>
      </c>
      <c r="AM41" s="58" t="str">
        <f t="shared" ca="1" si="33"/>
        <v>False</v>
      </c>
      <c r="AN41" s="58" t="str">
        <f t="shared" ca="1" si="33"/>
        <v>False</v>
      </c>
      <c r="AO41" s="58" t="str">
        <f t="shared" ca="1" si="33"/>
        <v>False</v>
      </c>
      <c r="AP41" s="58" t="str">
        <f t="shared" ca="1" si="33"/>
        <v>False</v>
      </c>
      <c r="AQ41" s="58" t="str">
        <f t="shared" ca="1" si="33"/>
        <v>False</v>
      </c>
      <c r="AR41" s="58" t="str">
        <f t="shared" ca="1" si="33"/>
        <v>False</v>
      </c>
      <c r="AS41" s="58" t="str">
        <f t="shared" ca="1" si="33"/>
        <v>False</v>
      </c>
      <c r="AT41" s="58" t="str">
        <f t="shared" ca="1" si="33"/>
        <v>False</v>
      </c>
      <c r="AU41" s="58" t="str">
        <f t="shared" ca="1" si="33"/>
        <v>False</v>
      </c>
      <c r="AV41" s="58" t="str">
        <f t="shared" ca="1" si="33"/>
        <v>False</v>
      </c>
      <c r="AW41" s="58" t="str">
        <f t="shared" ca="1" si="33"/>
        <v>False</v>
      </c>
      <c r="AX41" s="58" t="str">
        <f t="shared" ca="1" si="33"/>
        <v>False</v>
      </c>
      <c r="AY41" s="58" t="str">
        <f t="shared" ca="1" si="33"/>
        <v>False</v>
      </c>
      <c r="AZ41" s="58" t="str">
        <f t="shared" ca="1" si="33"/>
        <v>False</v>
      </c>
      <c r="BA41" s="58" t="str">
        <f t="shared" ca="1" si="33"/>
        <v>False</v>
      </c>
      <c r="BB41" s="58" t="str">
        <f t="shared" ca="1" si="33"/>
        <v>False</v>
      </c>
      <c r="BC41" s="58" t="str">
        <f t="shared" ca="1" si="33"/>
        <v>False</v>
      </c>
      <c r="BD41" s="58" t="str">
        <f t="shared" ca="1" si="33"/>
        <v>False</v>
      </c>
      <c r="BE41" s="58" t="str">
        <f t="shared" ca="1" si="33"/>
        <v>False</v>
      </c>
      <c r="BF41" s="58" t="str">
        <f t="shared" ca="1" si="33"/>
        <v>False</v>
      </c>
      <c r="BG41" s="58" t="str">
        <f t="shared" ca="1" si="33"/>
        <v>False</v>
      </c>
      <c r="BH41" s="58" t="str">
        <f t="shared" ca="1" si="33"/>
        <v>False</v>
      </c>
      <c r="BI41" s="58" t="str">
        <f t="shared" ca="1" si="33"/>
        <v>False</v>
      </c>
      <c r="BJ41" s="58"/>
      <c r="BK41" s="58"/>
      <c r="BL41" s="58"/>
      <c r="BM41" s="58"/>
      <c r="BN41" s="58"/>
      <c r="BO41" s="58"/>
      <c r="BP41" s="58"/>
      <c r="BQ41" s="58"/>
      <c r="BR41" s="58"/>
      <c r="BS41" s="58"/>
      <c r="BT41" s="58"/>
      <c r="BU41" s="58"/>
      <c r="BV41" s="58"/>
      <c r="BW41" s="58"/>
    </row>
    <row r="42" spans="2:75" ht="22.5" customHeight="1" x14ac:dyDescent="0.35">
      <c r="C42" s="210" t="str">
        <f ca="1" xml:space="preserve"> "Bildskärm "  &amp; RIGHT("00" &amp; B41,2)</f>
        <v>Bildskärm 02</v>
      </c>
      <c r="D42" s="211"/>
      <c r="F42" s="103" t="str">
        <f>IF(F$41="Inget antal angivet","",IFERROR(INDEX($AI$42:$BI$67,MATCH(F$38,$AG$42:$AG$67,0),MATCH("Modellbenämning",$AI$42:$BI$42,0)),""))</f>
        <v/>
      </c>
      <c r="G42" s="103" t="str">
        <f ca="1">IFERROR(INDEX($AI$42:$BI$67,MATCH(G$38,$AG$42:$AG$67,0),MATCH("Modellbenämning",$AI$42:$BI$42,0)),"")</f>
        <v>HP E24i G4 - E-Series - LED-skärm</v>
      </c>
      <c r="H42" s="103" t="str">
        <f ca="1">IFERROR(INDEX($AI$42:$BI$67,MATCH(H$38,$AG$42:$AG$67,0),MATCH("Modellbenämning",$AI$42:$BI$42,0)),"")</f>
        <v>F24T450FQR</v>
      </c>
      <c r="I42" s="103" t="str">
        <f ca="1">IFERROR(INDEX($AI$42:$BI$67,MATCH(I$38,$AG$42:$AG$67,0),MATCH("Modellbenämning",$AI$42:$BI$42,0)),"")</f>
        <v>P2422h</v>
      </c>
      <c r="J42" s="93"/>
      <c r="K42" s="103"/>
      <c r="L42" s="103"/>
      <c r="M42" s="103"/>
      <c r="N42" s="103" t="e">
        <f ca="1">INDEX($N$43:$N$48,MATCH(Överblick!$L$2,$M$43:$M$48,0))</f>
        <v>#N/A</v>
      </c>
      <c r="O42" s="103"/>
      <c r="P42" s="103"/>
      <c r="Q42" s="103"/>
      <c r="R42" s="103">
        <v>1</v>
      </c>
      <c r="S42" s="103">
        <v>2</v>
      </c>
      <c r="T42" s="103">
        <v>3</v>
      </c>
      <c r="U42" s="103">
        <v>5</v>
      </c>
      <c r="V42" s="103"/>
      <c r="W42" s="103" t="s">
        <v>122</v>
      </c>
      <c r="X42" s="103" t="s">
        <v>7</v>
      </c>
      <c r="Y42" s="103" t="s">
        <v>2</v>
      </c>
      <c r="Z42" s="103" t="s">
        <v>67</v>
      </c>
      <c r="AA42" s="103" t="s">
        <v>68</v>
      </c>
      <c r="AB42" s="103" t="s">
        <v>73</v>
      </c>
      <c r="AC42" s="103" t="s">
        <v>13</v>
      </c>
      <c r="AD42" s="103"/>
      <c r="AE42" s="103" t="s">
        <v>14</v>
      </c>
      <c r="AF42" s="103" t="s">
        <v>38</v>
      </c>
      <c r="AG42" s="103" t="s">
        <v>222</v>
      </c>
      <c r="AH42" s="103">
        <v>1</v>
      </c>
      <c r="AI42" s="103" t="s">
        <v>7</v>
      </c>
      <c r="AJ42" s="103" t="s">
        <v>2</v>
      </c>
      <c r="AK42" s="103" t="s">
        <v>67</v>
      </c>
      <c r="AL42" s="103" t="s">
        <v>68</v>
      </c>
      <c r="AM42" s="103" t="s">
        <v>73</v>
      </c>
      <c r="AN42" s="103" t="s">
        <v>13</v>
      </c>
      <c r="AO42" s="103" t="s">
        <v>14</v>
      </c>
      <c r="AP42" s="103" t="s">
        <v>38</v>
      </c>
      <c r="AQ42" s="103" t="s">
        <v>37</v>
      </c>
      <c r="AR42" s="103" t="s">
        <v>75</v>
      </c>
      <c r="AS42" s="103" t="s">
        <v>120</v>
      </c>
      <c r="AT42" s="103" t="s">
        <v>38</v>
      </c>
      <c r="AU42" s="103" t="s">
        <v>37</v>
      </c>
      <c r="AV42" s="103" t="s">
        <v>3</v>
      </c>
      <c r="AW42" s="103" t="s">
        <v>52</v>
      </c>
      <c r="AX42" s="103" t="s">
        <v>25</v>
      </c>
      <c r="AY42" s="103" t="s">
        <v>53</v>
      </c>
      <c r="AZ42" s="103" t="s">
        <v>228</v>
      </c>
      <c r="BA42" s="103" t="s">
        <v>229</v>
      </c>
      <c r="BB42" s="103" t="s">
        <v>230</v>
      </c>
      <c r="BC42" s="103" t="s">
        <v>340</v>
      </c>
      <c r="BD42" s="103" t="s">
        <v>345</v>
      </c>
      <c r="BE42" s="103"/>
      <c r="BF42" s="103"/>
      <c r="BG42" s="103"/>
      <c r="BH42" s="103" t="s">
        <v>6</v>
      </c>
      <c r="BI42" s="103" t="s">
        <v>51</v>
      </c>
      <c r="BJ42" s="103" t="s">
        <v>7</v>
      </c>
      <c r="BK42" s="103" t="s">
        <v>2</v>
      </c>
      <c r="BL42" s="103" t="s">
        <v>67</v>
      </c>
      <c r="BM42" s="103" t="s">
        <v>68</v>
      </c>
      <c r="BN42" s="103" t="s">
        <v>73</v>
      </c>
      <c r="BO42" s="103" t="s">
        <v>13</v>
      </c>
      <c r="BP42" s="103" t="s">
        <v>14</v>
      </c>
      <c r="BQ42" s="103" t="s">
        <v>38</v>
      </c>
      <c r="BR42" s="103" t="s">
        <v>37</v>
      </c>
      <c r="BS42" s="103" t="s">
        <v>120</v>
      </c>
      <c r="BT42" s="103" t="s">
        <v>38</v>
      </c>
      <c r="BU42" s="103" t="s">
        <v>37</v>
      </c>
      <c r="BV42" s="103" t="s">
        <v>3</v>
      </c>
    </row>
    <row r="43" spans="2:75" ht="22.5" customHeight="1" outlineLevel="1" x14ac:dyDescent="0.35">
      <c r="C43" s="210" t="s">
        <v>261</v>
      </c>
      <c r="D43" s="211"/>
      <c r="F43" s="76" t="str">
        <f>IF(F$41="Inget antal angivet","",IFERROR(INDEX($AI$42:$BI$67,MATCH(F$38,$AG$42:$AG$67,0),MATCH("Varumärke",$AI$42:$BI$42,0)),""))</f>
        <v/>
      </c>
      <c r="G43" s="77" t="str">
        <f ca="1">IFERROR(INDEX($AI$42:$BI$67,MATCH(G$38,$AG$42:$AG$67,0),MATCH("Varumärke",$AI$42:$BI$42,0)),"")</f>
        <v>HP</v>
      </c>
      <c r="H43" s="77" t="str">
        <f ca="1">IFERROR(INDEX($AI$42:$BI$67,MATCH(H$38,$AG$42:$AG$67,0),MATCH("Varumärke",$AI$42:$BI$42,0)),"")</f>
        <v>Samsung</v>
      </c>
      <c r="I43" s="119" t="str">
        <f ca="1">IFERROR(INDEX($AI$42:$BI$67,MATCH(I$38,$AG$42:$AG$67,0),MATCH("Varumärke",$AI$42:$BI$42,0)),"")</f>
        <v>Dell</v>
      </c>
      <c r="K43" s="196">
        <f t="shared" ref="K43:K48" ca="1" si="34">O43*$D$65</f>
        <v>0</v>
      </c>
      <c r="L43" s="185" t="b">
        <f t="shared" ref="L43:L48" si="35">IF($D$65=0,TRUE,IF(K43=0,FALSE,TRUE))</f>
        <v>1</v>
      </c>
      <c r="M43" s="185" t="s">
        <v>162</v>
      </c>
      <c r="N43" s="185" t="str">
        <f t="shared" ref="N43:N48" ca="1" si="36">IFERROR(INDEX($W$43:$W$54,MATCH(O43,$V$43:$V$53,0)),"")</f>
        <v>Offererad produktnr. 11Advania Sverige AB</v>
      </c>
      <c r="O43" s="185" cm="1">
        <f t="array" aca="1" ref="O43" ca="1">MIN(IF(($BH$43:$BH$54=M43)*($AH$43:$AH$54=$O$40),$V$43:$V$54))</f>
        <v>1981</v>
      </c>
      <c r="P43" s="197">
        <f ca="1">IFERROR(SMALL($V$43:$V$67,1),"")</f>
        <v>1981</v>
      </c>
      <c r="Q43" s="185">
        <f t="shared" ref="Q43:Q52" si="37">SUM(R43:U43)</f>
        <v>0</v>
      </c>
      <c r="R43" s="185">
        <f t="shared" ref="R43:R52" si="38">IF($D$55="",0,AY43)</f>
        <v>0</v>
      </c>
      <c r="S43" s="185">
        <f t="shared" ref="S43:S52" si="39">IF($D$59="",0,AZ43)</f>
        <v>0</v>
      </c>
      <c r="T43" s="185">
        <f t="shared" ref="T43:T52" si="40">IF($D$60="",0,BA43)</f>
        <v>0</v>
      </c>
      <c r="U43" s="185">
        <f t="shared" ref="U43:U52" si="41">IF($D$61="",0,BD43)</f>
        <v>0</v>
      </c>
      <c r="V43" s="196">
        <f t="shared" ref="V43:V52" ca="1" si="42">IF(W43="","",SUM(AX43,R43:U43))</f>
        <v>1981</v>
      </c>
      <c r="W43" s="185" t="str">
        <f t="shared" ref="W43:W52" si="43">IF(COUNTIF(X43:AF43,FALSE)&gt;0,"",AG43)</f>
        <v>Offererad produktnr. 11Advania Sverige AB</v>
      </c>
      <c r="X43" s="185" t="b">
        <f>IF($D$44="",TRUE,IF(COUNTIF(Processor!$I$2:$I$9,$D$44)&gt;0,AND(AI43&gt;INDEX(Processor!$J$2:$J$9,MATCH($D$44,Processor!$I$2:$I$9,0)),AI43&lt;INDEX(Processor!$K$2:$K$9,MATCH($D$44,Processor!$I$2:$I$9,0))),IF(AI43=$D$44,TRUE,FALSE)))</f>
        <v>1</v>
      </c>
      <c r="Y43" s="185" t="b">
        <f t="shared" ref="Y43:Y52" si="44">IFERROR(IF($D$45="",TRUE,IF(AND(IF(LEFT(RIGHT($D$45,4),4)*1&lt;=1*LEFT(AJ43,4),TRUE,FALSE),IF(RIGHT(AJ43,LEN(AJ43)-FIND("x",AJ43))*1&gt;=1*RIGHT(RIGHT($D$45,4),4),TRUE,FALSE)),TRUE,FALSE)),0)</f>
        <v>1</v>
      </c>
      <c r="Z43" s="185" t="b">
        <f t="shared" ref="Z43:Z52" si="45">IF($D$46="",TRUE,IF(AK43&gt;=$D$46,TRUE,FALSE))</f>
        <v>1</v>
      </c>
      <c r="AA43" s="185" t="b">
        <f t="shared" ref="AA43:AA52" si="46">IF($D$47="",TRUE,IF(AL43&gt;=$D$47,TRUE,FALSE))</f>
        <v>1</v>
      </c>
      <c r="AB43" s="185" t="b">
        <f t="shared" ref="AB43:AB52" si="47">IF($D$48="",TRUE,IF(AM43&gt;=$D$48,TRUE,FALSE))</f>
        <v>1</v>
      </c>
      <c r="AC43" s="185" t="b">
        <f t="shared" ref="AC43:AC52" si="48">IF($D$49="",TRUE,IF(AN43&gt;=$D$49,TRUE,FALSE))</f>
        <v>1</v>
      </c>
      <c r="AD43" s="185"/>
      <c r="AE43" s="185" t="b">
        <f t="shared" ref="AE43:AE52" si="49">IF($D$50="",TRUE,IF(AO43&gt;=$D$50,TRUE,FALSE))</f>
        <v>1</v>
      </c>
      <c r="AF43" s="185" t="b">
        <f>IFERROR(IF($D51="",TRUE,IF(MID(AT43,LEN(AT43)-2,1)*1&gt;=MID($D51,LEN($D51)-2,1)*1,TRUE,FALSE)),FALSE)</f>
        <v>1</v>
      </c>
      <c r="AG43" s="185" t="s">
        <v>208</v>
      </c>
      <c r="AH43" s="201">
        <v>1</v>
      </c>
      <c r="AI43" s="185">
        <f t="shared" ref="AI43:AR52" ca="1" si="50">IFERROR(INDEX(INDIRECT(AI$38&amp;"!$A$10:CC100000"),MATCH($AG43,INDIRECT(AI$38&amp;"!BH$10:BH100000"),0),MATCH(AI$40,INDIRECT(AI$38&amp;"!a10:CC10"),0)),"False")</f>
        <v>24</v>
      </c>
      <c r="AJ43" s="185" t="str">
        <f t="shared" ca="1" si="50"/>
        <v>1920x1080</v>
      </c>
      <c r="AK43" s="185">
        <f t="shared" ca="1" si="50"/>
        <v>4</v>
      </c>
      <c r="AL43" s="185">
        <f t="shared" ca="1" si="50"/>
        <v>0</v>
      </c>
      <c r="AM43" s="185">
        <f t="shared" ca="1" si="50"/>
        <v>1</v>
      </c>
      <c r="AN43" s="185">
        <f t="shared" ca="1" si="50"/>
        <v>16700000</v>
      </c>
      <c r="AO43" s="185">
        <f t="shared" ca="1" si="50"/>
        <v>250</v>
      </c>
      <c r="AP43" s="185" t="str">
        <f t="shared" ca="1" si="50"/>
        <v>Version 8.0</v>
      </c>
      <c r="AQ43" s="185" t="str">
        <f t="shared" ca="1" si="50"/>
        <v>Ja</v>
      </c>
      <c r="AR43" s="185">
        <f t="shared" ca="1" si="50"/>
        <v>0</v>
      </c>
      <c r="AS43" s="185">
        <f t="shared" ref="AS43:BB52" ca="1" si="51">IFERROR(INDEX(INDIRECT(AS$38&amp;"!$A$10:CC100000"),MATCH($AG43,INDIRECT(AS$38&amp;"!BH$10:BH100000"),0),MATCH(AS$40,INDIRECT(AS$38&amp;"!a10:CC10"),0)),"False")</f>
        <v>0</v>
      </c>
      <c r="AT43" s="185" t="str">
        <f t="shared" ca="1" si="51"/>
        <v>Version 8.0</v>
      </c>
      <c r="AU43" s="185" t="str">
        <f t="shared" ca="1" si="51"/>
        <v>Ja</v>
      </c>
      <c r="AV43" s="185">
        <f t="shared" ca="1" si="51"/>
        <v>0</v>
      </c>
      <c r="AW43" s="185" t="str">
        <f t="shared" ca="1" si="51"/>
        <v>HP E24i G4 - E-Series - LED-skärm</v>
      </c>
      <c r="AX43" s="185">
        <f t="shared" ca="1" si="51"/>
        <v>1981</v>
      </c>
      <c r="AY43" s="192">
        <f t="shared" ca="1" si="51"/>
        <v>639</v>
      </c>
      <c r="AZ43" s="192">
        <f t="shared" ca="1" si="51"/>
        <v>101</v>
      </c>
      <c r="BA43" s="192">
        <f t="shared" ca="1" si="51"/>
        <v>50</v>
      </c>
      <c r="BB43" s="192">
        <f t="shared" ca="1" si="51"/>
        <v>50</v>
      </c>
      <c r="BC43" s="192" t="str">
        <f t="shared" ref="BC43:BI52" ca="1" si="52">IFERROR(INDEX(INDIRECT(BC$38&amp;"!$A$10:CC100000"),MATCH($AG43,INDIRECT(BC$38&amp;"!BH$10:BH100000"),0),MATCH(BC$40,INDIRECT(BC$38&amp;"!a10:CC10"),0)),"False")</f>
        <v>eSTUFF</v>
      </c>
      <c r="BD43" s="192" t="str">
        <f t="shared" ca="1" si="52"/>
        <v>GLBB24519325 -  Filter för personlig integritet - 2-vägs - 24" - svart</v>
      </c>
      <c r="BE43" s="192" t="str">
        <f t="shared" ca="1" si="52"/>
        <v>False</v>
      </c>
      <c r="BF43" s="192" t="str">
        <f t="shared" ca="1" si="52"/>
        <v>False</v>
      </c>
      <c r="BG43" s="192" t="str">
        <f t="shared" ca="1" si="52"/>
        <v>False</v>
      </c>
      <c r="BH43" s="192" t="str">
        <f t="shared" ca="1" si="52"/>
        <v>Advania Sverige AB</v>
      </c>
      <c r="BI43" s="192" t="str">
        <f t="shared" ca="1" si="52"/>
        <v>HP</v>
      </c>
      <c r="BJ43" s="199">
        <v>23.8</v>
      </c>
      <c r="BK43" s="185" t="s">
        <v>71</v>
      </c>
      <c r="BL43" s="185">
        <v>0</v>
      </c>
      <c r="BM43" s="185">
        <v>1</v>
      </c>
      <c r="BN43" s="185">
        <v>1</v>
      </c>
      <c r="BO43" s="185">
        <v>16700000</v>
      </c>
      <c r="BP43" s="185">
        <v>250</v>
      </c>
      <c r="BQ43" s="185" t="s">
        <v>352</v>
      </c>
      <c r="BR43" s="185" t="s">
        <v>69</v>
      </c>
      <c r="BS43" s="185"/>
      <c r="BT43" s="185"/>
      <c r="BU43" s="185" t="s">
        <v>352</v>
      </c>
      <c r="BV43" s="185" t="s">
        <v>69</v>
      </c>
      <c r="BW43">
        <v>0</v>
      </c>
    </row>
    <row r="44" spans="2:75" ht="22.5" customHeight="1" outlineLevel="1" x14ac:dyDescent="0.35">
      <c r="C44" s="61" t="s">
        <v>7</v>
      </c>
      <c r="D44" s="64"/>
      <c r="F44" s="78" t="str">
        <f t="shared" ref="F44:F52" si="53">IF(F$41="Inget antal angivet","",IFERROR(INDEX($AI$42:$BI$67,MATCH(F$38,$AG$42:$AG$67,0),MATCH($C44,$AI$42:$BI$42,0)),""))</f>
        <v/>
      </c>
      <c r="G44" s="79">
        <f t="shared" ref="G44:I52" ca="1" si="54">IFERROR(INDEX($AI$42:$BI$67,MATCH(G$38,$AG$42:$AG$67,0),MATCH($C44,$AI$42:$BI$42,0)),"")</f>
        <v>24</v>
      </c>
      <c r="H44" s="79">
        <f t="shared" ca="1" si="54"/>
        <v>23.8</v>
      </c>
      <c r="I44" s="120">
        <f t="shared" ca="1" si="54"/>
        <v>23.8</v>
      </c>
      <c r="J44" s="62"/>
      <c r="K44" s="196">
        <f t="shared" ca="1" si="34"/>
        <v>0</v>
      </c>
      <c r="L44" s="185" t="b">
        <f t="shared" si="35"/>
        <v>1</v>
      </c>
      <c r="M44" s="185" t="s">
        <v>150</v>
      </c>
      <c r="N44" s="185" t="str">
        <f t="shared" ca="1" si="36"/>
        <v>Offererad produktnr. 11Atea Sverige AB</v>
      </c>
      <c r="O44" s="185" cm="1">
        <f t="array" aca="1" ref="O44" ca="1">MIN(IF(($BH$43:$BH$54=M44)*($AH$43:$AH$54=$O$40),$V$43:$V$54))</f>
        <v>2034</v>
      </c>
      <c r="P44" s="197">
        <f ca="1">IFERROR(SMALL($V$43:$V$67,2),"")</f>
        <v>2034</v>
      </c>
      <c r="Q44" s="185">
        <f t="shared" si="37"/>
        <v>0</v>
      </c>
      <c r="R44" s="185">
        <f t="shared" si="38"/>
        <v>0</v>
      </c>
      <c r="S44" s="185">
        <f t="shared" si="39"/>
        <v>0</v>
      </c>
      <c r="T44" s="185">
        <f t="shared" si="40"/>
        <v>0</v>
      </c>
      <c r="U44" s="185">
        <f t="shared" si="41"/>
        <v>0</v>
      </c>
      <c r="V44" s="196">
        <f t="shared" ca="1" si="42"/>
        <v>3060</v>
      </c>
      <c r="W44" s="185" t="str">
        <f t="shared" si="43"/>
        <v>Offererad produktnr. 12Advania Sverige AB</v>
      </c>
      <c r="X44" s="185" t="b">
        <f>IF($D$44="",TRUE,IF(COUNTIF(Processor!$I$2:$I$9,$D$44)&gt;0,AND(AI44&gt;INDEX(Processor!$J$2:$J$9,MATCH($D$44,Processor!$I$2:$I$9,0)),AI44&lt;INDEX(Processor!$K$2:$K$9,MATCH($D$44,Processor!$I$2:$I$9,0))),IF(AI44=$D$44,TRUE,FALSE)))</f>
        <v>1</v>
      </c>
      <c r="Y44" s="185" t="b">
        <f t="shared" si="44"/>
        <v>1</v>
      </c>
      <c r="Z44" s="185" t="b">
        <f t="shared" si="45"/>
        <v>1</v>
      </c>
      <c r="AA44" s="185" t="b">
        <f t="shared" si="46"/>
        <v>1</v>
      </c>
      <c r="AB44" s="185" t="b">
        <f t="shared" si="47"/>
        <v>1</v>
      </c>
      <c r="AC44" s="185" t="b">
        <f t="shared" si="48"/>
        <v>1</v>
      </c>
      <c r="AD44" s="185"/>
      <c r="AE44" s="185" t="b">
        <f t="shared" si="49"/>
        <v>1</v>
      </c>
      <c r="AF44" s="185" t="b">
        <f>IFERROR(IF($D51="",TRUE,IF(MID(AT44,LEN(AT44)-2,1)*1&gt;=MID($D51,LEN($D51)-2,1)*1,TRUE,FALSE)),FALSE)</f>
        <v>1</v>
      </c>
      <c r="AG44" s="185" t="s">
        <v>209</v>
      </c>
      <c r="AH44" s="201">
        <v>1</v>
      </c>
      <c r="AI44" s="185">
        <f t="shared" ca="1" si="50"/>
        <v>27</v>
      </c>
      <c r="AJ44" s="185" t="str">
        <f t="shared" ca="1" si="50"/>
        <v>2560x1440</v>
      </c>
      <c r="AK44" s="185">
        <f t="shared" ca="1" si="50"/>
        <v>4</v>
      </c>
      <c r="AL44" s="185">
        <f t="shared" ca="1" si="50"/>
        <v>0</v>
      </c>
      <c r="AM44" s="185">
        <f t="shared" ca="1" si="50"/>
        <v>1</v>
      </c>
      <c r="AN44" s="185">
        <f t="shared" ca="1" si="50"/>
        <v>16700000</v>
      </c>
      <c r="AO44" s="185">
        <f t="shared" ca="1" si="50"/>
        <v>350</v>
      </c>
      <c r="AP44" s="185" t="str">
        <f t="shared" ca="1" si="50"/>
        <v>Version 8.0</v>
      </c>
      <c r="AQ44" s="185" t="str">
        <f t="shared" ca="1" si="50"/>
        <v>Ja</v>
      </c>
      <c r="AR44" s="185">
        <f t="shared" ca="1" si="50"/>
        <v>0</v>
      </c>
      <c r="AS44" s="185">
        <f t="shared" ca="1" si="51"/>
        <v>0</v>
      </c>
      <c r="AT44" s="185" t="str">
        <f t="shared" ca="1" si="51"/>
        <v>Version 8.0</v>
      </c>
      <c r="AU44" s="185" t="str">
        <f t="shared" ca="1" si="51"/>
        <v>Ja</v>
      </c>
      <c r="AV44" s="185">
        <f t="shared" ca="1" si="51"/>
        <v>0</v>
      </c>
      <c r="AW44" s="185" t="str">
        <f t="shared" ca="1" si="51"/>
        <v>HP E27q G5 - E-Series</v>
      </c>
      <c r="AX44" s="185">
        <f t="shared" ca="1" si="51"/>
        <v>3060</v>
      </c>
      <c r="AY44" s="192">
        <f t="shared" ca="1" si="51"/>
        <v>815</v>
      </c>
      <c r="AZ44" s="192">
        <f t="shared" ca="1" si="51"/>
        <v>101</v>
      </c>
      <c r="BA44" s="192">
        <f t="shared" ca="1" si="51"/>
        <v>50</v>
      </c>
      <c r="BB44" s="192">
        <f t="shared" ca="1" si="51"/>
        <v>50</v>
      </c>
      <c r="BC44" s="192" t="str">
        <f t="shared" ca="1" si="52"/>
        <v>eSTUFF</v>
      </c>
      <c r="BD44" s="192" t="str">
        <f t="shared" ca="1" si="52"/>
        <v>GLBB27598337 - Filter för personlig integritet - 2-vägs - 27" - svart</v>
      </c>
      <c r="BE44" s="192" t="str">
        <f t="shared" ca="1" si="52"/>
        <v>False</v>
      </c>
      <c r="BF44" s="192" t="str">
        <f t="shared" ca="1" si="52"/>
        <v>False</v>
      </c>
      <c r="BG44" s="192" t="str">
        <f t="shared" ca="1" si="52"/>
        <v>False</v>
      </c>
      <c r="BH44" s="192" t="str">
        <f t="shared" ca="1" si="52"/>
        <v>Advania Sverige AB</v>
      </c>
      <c r="BI44" s="192" t="str">
        <f t="shared" ca="1" si="52"/>
        <v>HP</v>
      </c>
      <c r="BJ44" s="199">
        <v>24</v>
      </c>
      <c r="BK44" s="185" t="s">
        <v>92</v>
      </c>
      <c r="BL44" s="185">
        <v>2</v>
      </c>
      <c r="BM44" s="185">
        <v>2</v>
      </c>
      <c r="BN44" s="185"/>
      <c r="BO44" s="185">
        <v>1070000000</v>
      </c>
      <c r="BP44" s="185">
        <v>300</v>
      </c>
      <c r="BQ44" s="185"/>
      <c r="BR44" s="185"/>
      <c r="BS44" s="185"/>
      <c r="BT44" s="185"/>
      <c r="BU44" s="185"/>
      <c r="BV44" s="185"/>
      <c r="BW44">
        <v>0</v>
      </c>
    </row>
    <row r="45" spans="2:75" ht="22.5" customHeight="1" outlineLevel="1" x14ac:dyDescent="0.35">
      <c r="C45" s="61" t="s">
        <v>2</v>
      </c>
      <c r="D45" s="64"/>
      <c r="F45" s="78" t="str">
        <f t="shared" si="53"/>
        <v/>
      </c>
      <c r="G45" s="79" t="str">
        <f t="shared" ca="1" si="54"/>
        <v>1920x1080</v>
      </c>
      <c r="H45" s="79" t="str">
        <f t="shared" ca="1" si="54"/>
        <v>1920x1080</v>
      </c>
      <c r="I45" s="120" t="str">
        <f t="shared" ca="1" si="54"/>
        <v>1920x1080</v>
      </c>
      <c r="J45" s="62"/>
      <c r="K45" s="196">
        <f t="shared" ca="1" si="34"/>
        <v>0</v>
      </c>
      <c r="L45" s="185" t="b">
        <f t="shared" si="35"/>
        <v>1</v>
      </c>
      <c r="M45" s="185" t="s">
        <v>128</v>
      </c>
      <c r="N45" s="185" t="str">
        <f t="shared" ca="1" si="36"/>
        <v>Offererad produktnr. 11Dustin Sverige AB</v>
      </c>
      <c r="O45" s="185" cm="1">
        <f t="array" aca="1" ref="O45" ca="1">MIN(IF(($BH$43:$BH$54=M45)*($AH$43:$AH$54=$O$40),$V$43:$V$54))</f>
        <v>2190</v>
      </c>
      <c r="P45" s="197">
        <f ca="1">IFERROR(SMALL($V$43:$V$67,3),"")</f>
        <v>2076</v>
      </c>
      <c r="Q45" s="185">
        <f t="shared" si="37"/>
        <v>0</v>
      </c>
      <c r="R45" s="185">
        <f t="shared" si="38"/>
        <v>0</v>
      </c>
      <c r="S45" s="185">
        <f t="shared" si="39"/>
        <v>0</v>
      </c>
      <c r="T45" s="185">
        <f t="shared" si="40"/>
        <v>0</v>
      </c>
      <c r="U45" s="185">
        <f t="shared" si="41"/>
        <v>0</v>
      </c>
      <c r="V45" s="196">
        <f t="shared" ca="1" si="42"/>
        <v>2034</v>
      </c>
      <c r="W45" s="185" t="str">
        <f t="shared" si="43"/>
        <v>Offererad produktnr. 11Atea Sverige AB</v>
      </c>
      <c r="X45" s="185" t="b">
        <f>IF($D$44="",TRUE,IF(COUNTIF(Processor!$I$2:$I$9,$D$44)&gt;0,AND(AI45&gt;INDEX(Processor!$J$2:$J$9,MATCH($D$44,Processor!$I$2:$I$9,0)),AI45&lt;INDEX(Processor!$K$2:$K$9,MATCH($D$44,Processor!$I$2:$I$9,0))),IF(AI45=$D$44,TRUE,FALSE)))</f>
        <v>1</v>
      </c>
      <c r="Y45" s="185" t="b">
        <f t="shared" si="44"/>
        <v>1</v>
      </c>
      <c r="Z45" s="185" t="b">
        <f t="shared" si="45"/>
        <v>1</v>
      </c>
      <c r="AA45" s="185" t="b">
        <f t="shared" si="46"/>
        <v>1</v>
      </c>
      <c r="AB45" s="185" t="b">
        <f t="shared" si="47"/>
        <v>1</v>
      </c>
      <c r="AC45" s="185" t="b">
        <f t="shared" si="48"/>
        <v>1</v>
      </c>
      <c r="AD45" s="185"/>
      <c r="AE45" s="185" t="b">
        <f t="shared" si="49"/>
        <v>1</v>
      </c>
      <c r="AF45" s="185" t="b">
        <f>IFERROR(IF($D51="",TRUE,IF(MID(AT45,LEN(AT45)-2,1)*1&gt;=MID($D51,LEN($D51)-2,1)*1,TRUE,FALSE)),FALSE)</f>
        <v>1</v>
      </c>
      <c r="AG45" s="185" t="s">
        <v>196</v>
      </c>
      <c r="AH45" s="201">
        <v>1</v>
      </c>
      <c r="AI45" s="185">
        <f t="shared" ca="1" si="50"/>
        <v>23.8</v>
      </c>
      <c r="AJ45" s="185" t="str">
        <f t="shared" ca="1" si="50"/>
        <v>1920x1080</v>
      </c>
      <c r="AK45" s="185">
        <f t="shared" ca="1" si="50"/>
        <v>2</v>
      </c>
      <c r="AL45" s="185">
        <f t="shared" ca="1" si="50"/>
        <v>0</v>
      </c>
      <c r="AM45" s="185">
        <f t="shared" ca="1" si="50"/>
        <v>1</v>
      </c>
      <c r="AN45" s="185">
        <f t="shared" ca="1" si="50"/>
        <v>16700000</v>
      </c>
      <c r="AO45" s="185">
        <f t="shared" ca="1" si="50"/>
        <v>250</v>
      </c>
      <c r="AP45" s="185" t="str">
        <f t="shared" ca="1" si="50"/>
        <v>Version 8.0</v>
      </c>
      <c r="AQ45" s="185" t="str">
        <f t="shared" ca="1" si="50"/>
        <v>Ja</v>
      </c>
      <c r="AR45" s="185">
        <f t="shared" ca="1" si="50"/>
        <v>0</v>
      </c>
      <c r="AS45" s="185">
        <f t="shared" ca="1" si="51"/>
        <v>0</v>
      </c>
      <c r="AT45" s="185" t="str">
        <f t="shared" ca="1" si="51"/>
        <v>Version 8.0</v>
      </c>
      <c r="AU45" s="185" t="str">
        <f t="shared" ca="1" si="51"/>
        <v>Ja</v>
      </c>
      <c r="AV45" s="185">
        <f t="shared" ca="1" si="51"/>
        <v>0</v>
      </c>
      <c r="AW45" s="185" t="str">
        <f t="shared" ca="1" si="51"/>
        <v>F24T450FQR</v>
      </c>
      <c r="AX45" s="185">
        <f t="shared" ca="1" si="51"/>
        <v>2034</v>
      </c>
      <c r="AY45" s="192">
        <f t="shared" ca="1" si="51"/>
        <v>778</v>
      </c>
      <c r="AZ45" s="192">
        <f t="shared" ca="1" si="51"/>
        <v>94</v>
      </c>
      <c r="BA45" s="192">
        <f t="shared" ca="1" si="51"/>
        <v>85</v>
      </c>
      <c r="BB45" s="192">
        <f t="shared" ca="1" si="51"/>
        <v>100</v>
      </c>
      <c r="BC45" s="192" t="str">
        <f t="shared" ca="1" si="52"/>
        <v>Targus</v>
      </c>
      <c r="BD45" s="192" t="str">
        <f t="shared" ca="1" si="52"/>
        <v>Targus Privacy Screen - filter för personlig integritet - 23,8 tum bred</v>
      </c>
      <c r="BE45" s="192" t="str">
        <f t="shared" ca="1" si="52"/>
        <v>False</v>
      </c>
      <c r="BF45" s="192" t="str">
        <f t="shared" ca="1" si="52"/>
        <v>False</v>
      </c>
      <c r="BG45" s="192" t="str">
        <f t="shared" ca="1" si="52"/>
        <v>False</v>
      </c>
      <c r="BH45" s="192" t="str">
        <f t="shared" ca="1" si="52"/>
        <v>Atea Sverige AB</v>
      </c>
      <c r="BI45" s="192" t="str">
        <f t="shared" ca="1" si="52"/>
        <v>Samsung</v>
      </c>
      <c r="BJ45" s="199">
        <v>27</v>
      </c>
      <c r="BK45" s="185"/>
      <c r="BL45" s="185">
        <v>4</v>
      </c>
      <c r="BM45" s="185"/>
      <c r="BN45" s="185"/>
      <c r="BO45" s="185"/>
      <c r="BP45" s="185">
        <v>350</v>
      </c>
      <c r="BQ45" s="185"/>
      <c r="BR45" s="185"/>
      <c r="BS45" s="185"/>
      <c r="BT45" s="185"/>
      <c r="BU45" s="185"/>
      <c r="BV45" s="185"/>
    </row>
    <row r="46" spans="2:75" ht="22.5" customHeight="1" outlineLevel="1" x14ac:dyDescent="0.35">
      <c r="B46" t="s">
        <v>272</v>
      </c>
      <c r="C46" s="61" t="s">
        <v>67</v>
      </c>
      <c r="D46" s="64"/>
      <c r="F46" s="78" t="str">
        <f t="shared" si="53"/>
        <v/>
      </c>
      <c r="G46" s="79">
        <f t="shared" ca="1" si="54"/>
        <v>4</v>
      </c>
      <c r="H46" s="79">
        <f t="shared" ca="1" si="54"/>
        <v>2</v>
      </c>
      <c r="I46" s="120">
        <f t="shared" ca="1" si="54"/>
        <v>5</v>
      </c>
      <c r="J46" s="62"/>
      <c r="K46" s="196">
        <f t="shared" ca="1" si="34"/>
        <v>0</v>
      </c>
      <c r="L46" s="185" t="b">
        <f t="shared" si="35"/>
        <v>1</v>
      </c>
      <c r="M46" s="185" t="s">
        <v>169</v>
      </c>
      <c r="N46" s="185" t="str">
        <f t="shared" ca="1" si="36"/>
        <v>Offererad produktnr. 11Foxway Education AB</v>
      </c>
      <c r="O46" s="185" cm="1">
        <f t="array" aca="1" ref="O46" ca="1">MIN(IF(($BH$43:$BH$54=M46)*($AH$43:$AH$54=$O$40),$V$43:$V$54))</f>
        <v>2361</v>
      </c>
      <c r="P46" s="197"/>
      <c r="Q46" s="185">
        <f t="shared" si="37"/>
        <v>0</v>
      </c>
      <c r="R46" s="185">
        <f t="shared" si="38"/>
        <v>0</v>
      </c>
      <c r="S46" s="185">
        <f t="shared" si="39"/>
        <v>0</v>
      </c>
      <c r="T46" s="185">
        <f t="shared" si="40"/>
        <v>0</v>
      </c>
      <c r="U46" s="185">
        <f t="shared" si="41"/>
        <v>0</v>
      </c>
      <c r="V46" s="196">
        <f t="shared" ca="1" si="42"/>
        <v>3234</v>
      </c>
      <c r="W46" s="185" t="str">
        <f t="shared" si="43"/>
        <v>Offererad produktnr. 12Atea Sverige AB</v>
      </c>
      <c r="X46" s="185" t="b">
        <f>IF($D$44="",TRUE,IF(COUNTIF(Processor!$I$2:$I$9,$D$44)&gt;0,AND(AI46&gt;INDEX(Processor!$J$2:$J$9,MATCH($D$44,Processor!$I$2:$I$9,0)),AI46&lt;INDEX(Processor!$K$2:$K$9,MATCH($D$44,Processor!$I$2:$I$9,0))),IF(AI46=$D$44,TRUE,FALSE)))</f>
        <v>1</v>
      </c>
      <c r="Y46" s="185" t="b">
        <f t="shared" si="44"/>
        <v>1</v>
      </c>
      <c r="Z46" s="185" t="b">
        <f t="shared" si="45"/>
        <v>1</v>
      </c>
      <c r="AA46" s="185" t="b">
        <f t="shared" si="46"/>
        <v>1</v>
      </c>
      <c r="AB46" s="185" t="b">
        <f t="shared" si="47"/>
        <v>1</v>
      </c>
      <c r="AC46" s="185" t="b">
        <f t="shared" si="48"/>
        <v>1</v>
      </c>
      <c r="AD46" s="185"/>
      <c r="AE46" s="185" t="b">
        <f t="shared" si="49"/>
        <v>1</v>
      </c>
      <c r="AF46" s="185" t="b">
        <f>IFERROR(IF($D51="",TRUE,IF(MID(AT46,LEN(AT46)-2,1)*1&gt;=MID($D51,LEN($D51)-2,1)*1,TRUE,FALSE)),FALSE)</f>
        <v>1</v>
      </c>
      <c r="AG46" s="185" t="s">
        <v>197</v>
      </c>
      <c r="AH46" s="201">
        <v>1</v>
      </c>
      <c r="AI46" s="185">
        <f t="shared" ca="1" si="50"/>
        <v>27</v>
      </c>
      <c r="AJ46" s="185" t="str">
        <f t="shared" ca="1" si="50"/>
        <v>2560x1440</v>
      </c>
      <c r="AK46" s="185">
        <f t="shared" ca="1" si="50"/>
        <v>4</v>
      </c>
      <c r="AL46" s="185">
        <f t="shared" ca="1" si="50"/>
        <v>0</v>
      </c>
      <c r="AM46" s="185">
        <f t="shared" ca="1" si="50"/>
        <v>1</v>
      </c>
      <c r="AN46" s="185">
        <f t="shared" ca="1" si="50"/>
        <v>1070000000</v>
      </c>
      <c r="AO46" s="185">
        <f t="shared" ca="1" si="50"/>
        <v>300</v>
      </c>
      <c r="AP46" s="185" t="str">
        <f t="shared" ca="1" si="50"/>
        <v>Version 8.0</v>
      </c>
      <c r="AQ46" s="185" t="str">
        <f t="shared" ca="1" si="50"/>
        <v>Ja</v>
      </c>
      <c r="AR46" s="185">
        <f t="shared" ca="1" si="50"/>
        <v>0</v>
      </c>
      <c r="AS46" s="185">
        <f t="shared" ca="1" si="51"/>
        <v>0</v>
      </c>
      <c r="AT46" s="185" t="str">
        <f t="shared" ca="1" si="51"/>
        <v>Version 8.0</v>
      </c>
      <c r="AU46" s="185" t="str">
        <f t="shared" ca="1" si="51"/>
        <v>Ja</v>
      </c>
      <c r="AV46" s="185">
        <f t="shared" ca="1" si="51"/>
        <v>0</v>
      </c>
      <c r="AW46" s="185" t="str">
        <f t="shared" ca="1" si="51"/>
        <v>S27A600NAU</v>
      </c>
      <c r="AX46" s="185">
        <f t="shared" ca="1" si="51"/>
        <v>3234</v>
      </c>
      <c r="AY46" s="192">
        <f t="shared" ca="1" si="51"/>
        <v>1020</v>
      </c>
      <c r="AZ46" s="192">
        <f t="shared" ca="1" si="51"/>
        <v>164</v>
      </c>
      <c r="BA46" s="192">
        <f t="shared" ca="1" si="51"/>
        <v>85</v>
      </c>
      <c r="BB46" s="192">
        <f t="shared" ca="1" si="51"/>
        <v>100</v>
      </c>
      <c r="BC46" s="192" t="str">
        <f t="shared" ca="1" si="52"/>
        <v>Targus</v>
      </c>
      <c r="BD46" s="192" t="str">
        <f t="shared" ca="1" si="52"/>
        <v>Targus Privacy Screen 27" Widescreen (16:9) - filter för personlig integritet - 27 tum bred</v>
      </c>
      <c r="BE46" s="192" t="str">
        <f t="shared" ca="1" si="52"/>
        <v>False</v>
      </c>
      <c r="BF46" s="192" t="str">
        <f t="shared" ca="1" si="52"/>
        <v>False</v>
      </c>
      <c r="BG46" s="192" t="str">
        <f t="shared" ca="1" si="52"/>
        <v>False</v>
      </c>
      <c r="BH46" s="192" t="str">
        <f t="shared" ca="1" si="52"/>
        <v>Atea Sverige AB</v>
      </c>
      <c r="BI46" s="192" t="str">
        <f t="shared" ca="1" si="52"/>
        <v>Samsung</v>
      </c>
      <c r="BJ46" s="199"/>
      <c r="BK46" s="185"/>
      <c r="BL46" s="185">
        <v>5</v>
      </c>
      <c r="BM46" s="185"/>
      <c r="BN46" s="185"/>
      <c r="BO46" s="185"/>
      <c r="BP46" s="185"/>
      <c r="BQ46" s="185"/>
      <c r="BR46" s="185"/>
      <c r="BS46" s="185"/>
      <c r="BT46" s="185"/>
      <c r="BU46" s="185"/>
      <c r="BV46" s="185"/>
    </row>
    <row r="47" spans="2:75" ht="22.5" customHeight="1" outlineLevel="1" x14ac:dyDescent="0.35">
      <c r="C47" s="61" t="s">
        <v>68</v>
      </c>
      <c r="D47" s="64"/>
      <c r="F47" s="78" t="str">
        <f t="shared" si="53"/>
        <v/>
      </c>
      <c r="G47" s="79">
        <f t="shared" ca="1" si="54"/>
        <v>0</v>
      </c>
      <c r="H47" s="79">
        <f t="shared" ca="1" si="54"/>
        <v>0</v>
      </c>
      <c r="I47" s="120">
        <f t="shared" ca="1" si="54"/>
        <v>0</v>
      </c>
      <c r="J47" s="62"/>
      <c r="K47" s="196">
        <f t="shared" ca="1" si="34"/>
        <v>0</v>
      </c>
      <c r="L47" s="185" t="b">
        <f t="shared" si="35"/>
        <v>1</v>
      </c>
      <c r="M47" s="185" t="s">
        <v>167</v>
      </c>
      <c r="N47" s="185" t="str">
        <f t="shared" ca="1" si="36"/>
        <v/>
      </c>
      <c r="O47" s="185" cm="1">
        <f t="array" aca="1" ref="O47" ca="1">MIN(IF(($BH$43:$BH$54=M47)*($AH$43:$AH$54=$O$40),$V$43:$V$54))</f>
        <v>0</v>
      </c>
      <c r="P47" s="197"/>
      <c r="Q47" s="185">
        <f t="shared" si="37"/>
        <v>0</v>
      </c>
      <c r="R47" s="185">
        <f t="shared" si="38"/>
        <v>0</v>
      </c>
      <c r="S47" s="185">
        <f t="shared" si="39"/>
        <v>0</v>
      </c>
      <c r="T47" s="185">
        <f t="shared" si="40"/>
        <v>0</v>
      </c>
      <c r="U47" s="185">
        <f t="shared" si="41"/>
        <v>0</v>
      </c>
      <c r="V47" s="196">
        <f t="shared" ca="1" si="42"/>
        <v>2190</v>
      </c>
      <c r="W47" s="185" t="str">
        <f t="shared" si="43"/>
        <v>Offererad produktnr. 11Dustin Sverige AB</v>
      </c>
      <c r="X47" s="185" t="b">
        <f>IF($D$44="",TRUE,IF(COUNTIF(Processor!$I$2:$I$9,$D$44)&gt;0,AND(AI47&gt;INDEX(Processor!$J$2:$J$9,MATCH($D$44,Processor!$I$2:$I$9,0)),AI47&lt;INDEX(Processor!$K$2:$K$9,MATCH($D$44,Processor!$I$2:$I$9,0))),IF(AI47=$D$44,TRUE,FALSE)))</f>
        <v>1</v>
      </c>
      <c r="Y47" s="185" t="b">
        <f t="shared" si="44"/>
        <v>1</v>
      </c>
      <c r="Z47" s="185" t="b">
        <f t="shared" si="45"/>
        <v>1</v>
      </c>
      <c r="AA47" s="185" t="b">
        <f t="shared" si="46"/>
        <v>1</v>
      </c>
      <c r="AB47" s="185" t="b">
        <f t="shared" si="47"/>
        <v>1</v>
      </c>
      <c r="AC47" s="185" t="b">
        <f t="shared" si="48"/>
        <v>1</v>
      </c>
      <c r="AD47" s="185"/>
      <c r="AE47" s="185" t="b">
        <f t="shared" si="49"/>
        <v>1</v>
      </c>
      <c r="AF47" s="185" t="b">
        <f>IFERROR(IF($D51="",TRUE,IF(MID(AT47,LEN(AT47)-2,1)*1&gt;=MID($D51,LEN($D51)-2,1)*1,TRUE,FALSE)),FALSE)</f>
        <v>1</v>
      </c>
      <c r="AG47" s="185" t="s">
        <v>184</v>
      </c>
      <c r="AH47" s="201">
        <v>1</v>
      </c>
      <c r="AI47" s="185">
        <f t="shared" ca="1" si="50"/>
        <v>23.8</v>
      </c>
      <c r="AJ47" s="185" t="str">
        <f t="shared" ca="1" si="50"/>
        <v>1920x1080</v>
      </c>
      <c r="AK47" s="185">
        <f t="shared" ca="1" si="50"/>
        <v>0</v>
      </c>
      <c r="AL47" s="185">
        <f t="shared" ca="1" si="50"/>
        <v>0</v>
      </c>
      <c r="AM47" s="185">
        <f t="shared" ca="1" si="50"/>
        <v>1</v>
      </c>
      <c r="AN47" s="185">
        <f t="shared" ca="1" si="50"/>
        <v>16700000</v>
      </c>
      <c r="AO47" s="185">
        <f t="shared" ca="1" si="50"/>
        <v>250</v>
      </c>
      <c r="AP47" s="185" t="str">
        <f t="shared" ca="1" si="50"/>
        <v>Version 8.0</v>
      </c>
      <c r="AQ47" s="185" t="str">
        <f t="shared" ca="1" si="50"/>
        <v>Ja</v>
      </c>
      <c r="AR47" s="185">
        <f t="shared" ca="1" si="50"/>
        <v>0</v>
      </c>
      <c r="AS47" s="185">
        <f t="shared" ca="1" si="51"/>
        <v>0</v>
      </c>
      <c r="AT47" s="185" t="str">
        <f t="shared" ca="1" si="51"/>
        <v>Version 8.0</v>
      </c>
      <c r="AU47" s="185" t="str">
        <f t="shared" ca="1" si="51"/>
        <v>Ja</v>
      </c>
      <c r="AV47" s="185">
        <f t="shared" ca="1" si="51"/>
        <v>0</v>
      </c>
      <c r="AW47" s="185" t="str">
        <f t="shared" ca="1" si="51"/>
        <v>HP P24h G5</v>
      </c>
      <c r="AX47" s="185">
        <f t="shared" ca="1" si="51"/>
        <v>2190</v>
      </c>
      <c r="AY47" s="192">
        <f t="shared" ca="1" si="51"/>
        <v>620</v>
      </c>
      <c r="AZ47" s="192">
        <f t="shared" ca="1" si="51"/>
        <v>28</v>
      </c>
      <c r="BA47" s="192">
        <f t="shared" ca="1" si="51"/>
        <v>20</v>
      </c>
      <c r="BB47" s="192">
        <f t="shared" ca="1" si="51"/>
        <v>20</v>
      </c>
      <c r="BC47" s="192" t="str">
        <f t="shared" ca="1" si="52"/>
        <v>Cirafon</v>
      </c>
      <c r="BD47" s="192" t="str">
        <f t="shared" ca="1" si="52"/>
        <v>DPF23.8-9</v>
      </c>
      <c r="BE47" s="192" t="str">
        <f t="shared" ca="1" si="52"/>
        <v>False</v>
      </c>
      <c r="BF47" s="192" t="str">
        <f t="shared" ca="1" si="52"/>
        <v>False</v>
      </c>
      <c r="BG47" s="192" t="str">
        <f t="shared" ca="1" si="52"/>
        <v>False</v>
      </c>
      <c r="BH47" s="192" t="str">
        <f t="shared" ca="1" si="52"/>
        <v>Dustin Sverige AB</v>
      </c>
      <c r="BI47" s="192" t="str">
        <f t="shared" ca="1" si="52"/>
        <v>HP</v>
      </c>
    </row>
    <row r="48" spans="2:75" ht="22.5" customHeight="1" outlineLevel="1" x14ac:dyDescent="0.35">
      <c r="C48" s="61" t="s">
        <v>73</v>
      </c>
      <c r="D48" s="64"/>
      <c r="F48" s="78" t="str">
        <f t="shared" si="53"/>
        <v/>
      </c>
      <c r="G48" s="79">
        <f t="shared" ca="1" si="54"/>
        <v>1</v>
      </c>
      <c r="H48" s="79">
        <f t="shared" ca="1" si="54"/>
        <v>1</v>
      </c>
      <c r="I48" s="120">
        <f t="shared" ca="1" si="54"/>
        <v>1</v>
      </c>
      <c r="J48" s="62"/>
      <c r="K48" s="196">
        <f t="shared" ca="1" si="34"/>
        <v>0</v>
      </c>
      <c r="L48" s="185" t="b">
        <f t="shared" si="35"/>
        <v>1</v>
      </c>
      <c r="M48" s="185" t="s">
        <v>546</v>
      </c>
      <c r="N48" s="185" t="str">
        <f t="shared" ca="1" si="36"/>
        <v>Offererad produktnr. 11Qlosr Göteborg AB</v>
      </c>
      <c r="O48" s="185" cm="1">
        <f t="array" aca="1" ref="O48" ca="1">MIN(IF(($BH$43:$BH$54=M48)*($AH$43:$AH$54=$O$40),$V$43:$V$54))</f>
        <v>2076</v>
      </c>
      <c r="P48" s="197"/>
      <c r="Q48" s="185">
        <f t="shared" si="37"/>
        <v>0</v>
      </c>
      <c r="R48" s="185">
        <f t="shared" si="38"/>
        <v>0</v>
      </c>
      <c r="S48" s="185">
        <f t="shared" si="39"/>
        <v>0</v>
      </c>
      <c r="T48" s="185">
        <f t="shared" si="40"/>
        <v>0</v>
      </c>
      <c r="U48" s="185">
        <f t="shared" si="41"/>
        <v>0</v>
      </c>
      <c r="V48" s="196">
        <f t="shared" ca="1" si="42"/>
        <v>3010</v>
      </c>
      <c r="W48" s="185" t="str">
        <f t="shared" si="43"/>
        <v>Offererad produktnr. 12Dustin Sverige AB</v>
      </c>
      <c r="X48" s="185" t="b">
        <f>IF($D$44="",TRUE,IF(COUNTIF(Processor!$I$2:$I$9,$D$44)&gt;0,AND(AI48&gt;INDEX(Processor!$J$2:$J$9,MATCH($D$44,Processor!$I$2:$I$9,0)),AI48&lt;INDEX(Processor!$K$2:$K$9,MATCH($D$44,Processor!$I$2:$I$9,0))),IF(AI48=$D$44,TRUE,FALSE)))</f>
        <v>1</v>
      </c>
      <c r="Y48" s="185" t="b">
        <f t="shared" si="44"/>
        <v>1</v>
      </c>
      <c r="Z48" s="185" t="b">
        <f t="shared" si="45"/>
        <v>1</v>
      </c>
      <c r="AA48" s="185" t="b">
        <f t="shared" si="46"/>
        <v>1</v>
      </c>
      <c r="AB48" s="185" t="b">
        <f t="shared" si="47"/>
        <v>1</v>
      </c>
      <c r="AC48" s="185" t="b">
        <f t="shared" si="48"/>
        <v>1</v>
      </c>
      <c r="AD48" s="185"/>
      <c r="AE48" s="185" t="b">
        <f t="shared" si="49"/>
        <v>1</v>
      </c>
      <c r="AF48" s="185" t="b">
        <f>IFERROR(IF($D51="",TRUE,IF(MID(AT48,LEN(AT48)-2,1)*1&gt;=MID($D51,LEN($D51)-2,1)*1,TRUE,FALSE)),FALSE)</f>
        <v>1</v>
      </c>
      <c r="AG48" s="185" t="s">
        <v>185</v>
      </c>
      <c r="AH48" s="201">
        <v>1</v>
      </c>
      <c r="AI48" s="185">
        <f t="shared" ca="1" si="50"/>
        <v>27</v>
      </c>
      <c r="AJ48" s="185" t="str">
        <f t="shared" ca="1" si="50"/>
        <v>2560x1440</v>
      </c>
      <c r="AK48" s="185">
        <f t="shared" ca="1" si="50"/>
        <v>4</v>
      </c>
      <c r="AL48" s="185">
        <f t="shared" ca="1" si="50"/>
        <v>0</v>
      </c>
      <c r="AM48" s="185">
        <f t="shared" ca="1" si="50"/>
        <v>1</v>
      </c>
      <c r="AN48" s="185">
        <f t="shared" ca="1" si="50"/>
        <v>16700000</v>
      </c>
      <c r="AO48" s="185">
        <f t="shared" ca="1" si="50"/>
        <v>350</v>
      </c>
      <c r="AP48" s="185" t="str">
        <f t="shared" ca="1" si="50"/>
        <v>Version 8.0</v>
      </c>
      <c r="AQ48" s="185" t="str">
        <f t="shared" ca="1" si="50"/>
        <v>Ja</v>
      </c>
      <c r="AR48" s="185">
        <f t="shared" ca="1" si="50"/>
        <v>0</v>
      </c>
      <c r="AS48" s="185">
        <f t="shared" ca="1" si="51"/>
        <v>0</v>
      </c>
      <c r="AT48" s="185" t="str">
        <f t="shared" ca="1" si="51"/>
        <v>Version 8.0</v>
      </c>
      <c r="AU48" s="185" t="str">
        <f t="shared" ca="1" si="51"/>
        <v>Ja</v>
      </c>
      <c r="AV48" s="185">
        <f t="shared" ca="1" si="51"/>
        <v>0</v>
      </c>
      <c r="AW48" s="185" t="str">
        <f t="shared" ca="1" si="51"/>
        <v>HP E27Q G5 PVC Free </v>
      </c>
      <c r="AX48" s="185">
        <f t="shared" ca="1" si="51"/>
        <v>3010</v>
      </c>
      <c r="AY48" s="192">
        <f t="shared" ca="1" si="51"/>
        <v>700</v>
      </c>
      <c r="AZ48" s="192">
        <f t="shared" ca="1" si="51"/>
        <v>28</v>
      </c>
      <c r="BA48" s="192">
        <f t="shared" ca="1" si="51"/>
        <v>20</v>
      </c>
      <c r="BB48" s="192">
        <f t="shared" ca="1" si="51"/>
        <v>20</v>
      </c>
      <c r="BC48" s="192" t="str">
        <f t="shared" ca="1" si="52"/>
        <v>Cirafon</v>
      </c>
      <c r="BD48" s="192" t="str">
        <f t="shared" ca="1" si="52"/>
        <v>DPF27-9</v>
      </c>
      <c r="BE48" s="192" t="str">
        <f t="shared" ca="1" si="52"/>
        <v>False</v>
      </c>
      <c r="BF48" s="192" t="str">
        <f t="shared" ca="1" si="52"/>
        <v>False</v>
      </c>
      <c r="BG48" s="192" t="str">
        <f t="shared" ca="1" si="52"/>
        <v>False</v>
      </c>
      <c r="BH48" s="192" t="str">
        <f t="shared" ca="1" si="52"/>
        <v>Dustin Sverige AB</v>
      </c>
      <c r="BI48" s="192" t="str">
        <f t="shared" ca="1" si="52"/>
        <v>HP</v>
      </c>
    </row>
    <row r="49" spans="2:61" ht="22.5" customHeight="1" outlineLevel="1" x14ac:dyDescent="0.35">
      <c r="C49" s="61" t="s">
        <v>13</v>
      </c>
      <c r="D49" s="135"/>
      <c r="F49" s="78" t="str">
        <f t="shared" si="53"/>
        <v/>
      </c>
      <c r="G49" s="136">
        <f t="shared" ca="1" si="54"/>
        <v>16700000</v>
      </c>
      <c r="H49" s="136">
        <f t="shared" ca="1" si="54"/>
        <v>16700000</v>
      </c>
      <c r="I49" s="137">
        <f t="shared" ca="1" si="54"/>
        <v>16700000</v>
      </c>
      <c r="J49" s="62"/>
      <c r="Q49" s="185">
        <f t="shared" si="37"/>
        <v>0</v>
      </c>
      <c r="R49" s="185">
        <f t="shared" si="38"/>
        <v>0</v>
      </c>
      <c r="S49" s="185">
        <f t="shared" si="39"/>
        <v>0</v>
      </c>
      <c r="T49" s="185">
        <f t="shared" si="40"/>
        <v>0</v>
      </c>
      <c r="U49" s="185">
        <f t="shared" si="41"/>
        <v>0</v>
      </c>
      <c r="V49" s="196">
        <f t="shared" ca="1" si="42"/>
        <v>2361</v>
      </c>
      <c r="W49" s="185" t="str">
        <f t="shared" si="43"/>
        <v>Offererad produktnr. 11Foxway Education AB</v>
      </c>
      <c r="X49" s="185" t="b">
        <f>IF($D$44="",TRUE,IF(COUNTIF(Processor!$I$2:$I$9,$D$44)&gt;0,AND(AI49&gt;INDEX(Processor!$J$2:$J$9,MATCH($D$44,Processor!$I$2:$I$9,0)),AI49&lt;INDEX(Processor!$K$2:$K$9,MATCH($D$44,Processor!$I$2:$I$9,0))),IF(AI49=$D$44,TRUE,FALSE)))</f>
        <v>1</v>
      </c>
      <c r="Y49" s="185" t="b">
        <f t="shared" si="44"/>
        <v>1</v>
      </c>
      <c r="Z49" s="185" t="b">
        <f t="shared" si="45"/>
        <v>1</v>
      </c>
      <c r="AA49" s="185" t="b">
        <f t="shared" si="46"/>
        <v>1</v>
      </c>
      <c r="AB49" s="185" t="b">
        <f t="shared" si="47"/>
        <v>1</v>
      </c>
      <c r="AC49" s="185" t="b">
        <f t="shared" si="48"/>
        <v>1</v>
      </c>
      <c r="AD49" s="185"/>
      <c r="AE49" s="185" t="b">
        <f t="shared" si="49"/>
        <v>1</v>
      </c>
      <c r="AF49" s="185" t="b">
        <f>IFERROR(IF($D51="",TRUE,IF(MID(AT49,LEN(AT49)-2,1)*1&gt;=MID($D51,LEN($D51)-2,1)*1,TRUE,FALSE)),FALSE)</f>
        <v>1</v>
      </c>
      <c r="AG49" s="185" t="s">
        <v>220</v>
      </c>
      <c r="AH49" s="201">
        <v>1</v>
      </c>
      <c r="AI49" s="185">
        <f t="shared" ca="1" si="50"/>
        <v>23.8</v>
      </c>
      <c r="AJ49" s="185" t="str">
        <f t="shared" ca="1" si="50"/>
        <v>1920x1080</v>
      </c>
      <c r="AK49" s="185">
        <f t="shared" ca="1" si="50"/>
        <v>0</v>
      </c>
      <c r="AL49" s="185">
        <f t="shared" ca="1" si="50"/>
        <v>0</v>
      </c>
      <c r="AM49" s="185">
        <f t="shared" ca="1" si="50"/>
        <v>1</v>
      </c>
      <c r="AN49" s="185">
        <f t="shared" ca="1" si="50"/>
        <v>16700000</v>
      </c>
      <c r="AO49" s="185">
        <f t="shared" ca="1" si="50"/>
        <v>250</v>
      </c>
      <c r="AP49" s="185" t="str">
        <f t="shared" ca="1" si="50"/>
        <v>Version 8.0</v>
      </c>
      <c r="AQ49" s="185" t="str">
        <f t="shared" ca="1" si="50"/>
        <v>Ja</v>
      </c>
      <c r="AR49" s="185">
        <f t="shared" ca="1" si="50"/>
        <v>0</v>
      </c>
      <c r="AS49" s="185">
        <f t="shared" ca="1" si="51"/>
        <v>0</v>
      </c>
      <c r="AT49" s="185" t="str">
        <f t="shared" ca="1" si="51"/>
        <v>Version 8.0</v>
      </c>
      <c r="AU49" s="185" t="str">
        <f t="shared" ca="1" si="51"/>
        <v>Ja</v>
      </c>
      <c r="AV49" s="185">
        <f t="shared" ca="1" si="51"/>
        <v>0</v>
      </c>
      <c r="AW49" s="185" t="str">
        <f t="shared" ca="1" si="51"/>
        <v>E24-29</v>
      </c>
      <c r="AX49" s="185">
        <f t="shared" ca="1" si="51"/>
        <v>2361</v>
      </c>
      <c r="AY49" s="192">
        <f t="shared" ca="1" si="51"/>
        <v>516</v>
      </c>
      <c r="AZ49" s="192">
        <f t="shared" ca="1" si="51"/>
        <v>90</v>
      </c>
      <c r="BA49" s="192">
        <f t="shared" ca="1" si="51"/>
        <v>60</v>
      </c>
      <c r="BB49" s="192">
        <f t="shared" ca="1" si="51"/>
        <v>50</v>
      </c>
      <c r="BC49" s="192" t="str">
        <f t="shared" ca="1" si="52"/>
        <v>Targus</v>
      </c>
      <c r="BD49" s="192" t="str">
        <f t="shared" ca="1" si="52"/>
        <v>Targus Privacy Screen 23.8"</v>
      </c>
      <c r="BE49" s="192" t="str">
        <f t="shared" ca="1" si="52"/>
        <v>False</v>
      </c>
      <c r="BF49" s="192" t="str">
        <f t="shared" ca="1" si="52"/>
        <v>False</v>
      </c>
      <c r="BG49" s="192" t="str">
        <f t="shared" ca="1" si="52"/>
        <v>False</v>
      </c>
      <c r="BH49" s="192" t="str">
        <f t="shared" ca="1" si="52"/>
        <v>Foxway Education AB</v>
      </c>
      <c r="BI49" s="192" t="str">
        <f t="shared" ca="1" si="52"/>
        <v>Lenovo</v>
      </c>
    </row>
    <row r="50" spans="2:61" ht="22.5" customHeight="1" outlineLevel="1" x14ac:dyDescent="0.35">
      <c r="C50" s="61" t="s">
        <v>14</v>
      </c>
      <c r="D50" s="64"/>
      <c r="F50" s="78" t="str">
        <f t="shared" si="53"/>
        <v/>
      </c>
      <c r="G50" s="79">
        <f t="shared" ca="1" si="54"/>
        <v>250</v>
      </c>
      <c r="H50" s="79">
        <f t="shared" ca="1" si="54"/>
        <v>250</v>
      </c>
      <c r="I50" s="120">
        <f t="shared" ca="1" si="54"/>
        <v>250</v>
      </c>
      <c r="J50" s="62"/>
      <c r="Q50" s="185">
        <f t="shared" si="37"/>
        <v>0</v>
      </c>
      <c r="R50" s="185">
        <f t="shared" si="38"/>
        <v>0</v>
      </c>
      <c r="S50" s="185">
        <f t="shared" si="39"/>
        <v>0</v>
      </c>
      <c r="T50" s="185">
        <f t="shared" si="40"/>
        <v>0</v>
      </c>
      <c r="U50" s="185">
        <f t="shared" si="41"/>
        <v>0</v>
      </c>
      <c r="V50" s="196">
        <f t="shared" ca="1" si="42"/>
        <v>3002</v>
      </c>
      <c r="W50" s="185" t="str">
        <f t="shared" si="43"/>
        <v>Offererad produktnr. 12Foxway Education AB</v>
      </c>
      <c r="X50" s="185" t="b">
        <f>IF($D$44="",TRUE,IF(COUNTIF(Processor!$I$2:$I$9,$D$44)&gt;0,AND(AI50&gt;INDEX(Processor!$J$2:$J$9,MATCH($D$44,Processor!$I$2:$I$9,0)),AI50&lt;INDEX(Processor!$K$2:$K$9,MATCH($D$44,Processor!$I$2:$I$9,0))),IF(AI50=$D$44,TRUE,FALSE)))</f>
        <v>1</v>
      </c>
      <c r="Y50" s="185" t="b">
        <f t="shared" si="44"/>
        <v>1</v>
      </c>
      <c r="Z50" s="185" t="b">
        <f t="shared" si="45"/>
        <v>1</v>
      </c>
      <c r="AA50" s="185" t="b">
        <f t="shared" si="46"/>
        <v>1</v>
      </c>
      <c r="AB50" s="185" t="b">
        <f t="shared" si="47"/>
        <v>1</v>
      </c>
      <c r="AC50" s="185" t="b">
        <f t="shared" si="48"/>
        <v>1</v>
      </c>
      <c r="AD50" s="185"/>
      <c r="AE50" s="185" t="b">
        <f t="shared" si="49"/>
        <v>1</v>
      </c>
      <c r="AF50" s="185" t="b">
        <f>IFERROR(IF($D51="",TRUE,IF(MID(AT50,LEN(AT50)-2,1)*1&gt;=MID($D51,LEN($D51)-2,1)*1,TRUE,FALSE)),FALSE)</f>
        <v>1</v>
      </c>
      <c r="AG50" s="185" t="s">
        <v>221</v>
      </c>
      <c r="AH50" s="201">
        <v>1</v>
      </c>
      <c r="AI50" s="185">
        <f t="shared" ca="1" si="50"/>
        <v>27</v>
      </c>
      <c r="AJ50" s="185" t="str">
        <f t="shared" ca="1" si="50"/>
        <v>2560x1440</v>
      </c>
      <c r="AK50" s="185">
        <f t="shared" ca="1" si="50"/>
        <v>0</v>
      </c>
      <c r="AL50" s="185">
        <f t="shared" ca="1" si="50"/>
        <v>0</v>
      </c>
      <c r="AM50" s="185">
        <f t="shared" ca="1" si="50"/>
        <v>1</v>
      </c>
      <c r="AN50" s="185">
        <f t="shared" ca="1" si="50"/>
        <v>16700000</v>
      </c>
      <c r="AO50" s="185">
        <f t="shared" ca="1" si="50"/>
        <v>350</v>
      </c>
      <c r="AP50" s="185" t="str">
        <f t="shared" ca="1" si="50"/>
        <v>Version 8.0</v>
      </c>
      <c r="AQ50" s="185" t="str">
        <f t="shared" ca="1" si="50"/>
        <v>Ja</v>
      </c>
      <c r="AR50" s="185">
        <f t="shared" ca="1" si="50"/>
        <v>0</v>
      </c>
      <c r="AS50" s="185">
        <f t="shared" ca="1" si="51"/>
        <v>0</v>
      </c>
      <c r="AT50" s="185" t="str">
        <f t="shared" ca="1" si="51"/>
        <v>Version 8.0</v>
      </c>
      <c r="AU50" s="185" t="str">
        <f t="shared" ca="1" si="51"/>
        <v>Ja</v>
      </c>
      <c r="AV50" s="185">
        <f t="shared" ca="1" si="51"/>
        <v>0</v>
      </c>
      <c r="AW50" s="185" t="str">
        <f t="shared" ca="1" si="51"/>
        <v>E27q-20</v>
      </c>
      <c r="AX50" s="185">
        <f t="shared" ca="1" si="51"/>
        <v>3002</v>
      </c>
      <c r="AY50" s="192">
        <f t="shared" ca="1" si="51"/>
        <v>672</v>
      </c>
      <c r="AZ50" s="192">
        <f t="shared" ca="1" si="51"/>
        <v>90</v>
      </c>
      <c r="BA50" s="192">
        <f t="shared" ca="1" si="51"/>
        <v>60</v>
      </c>
      <c r="BB50" s="192">
        <f t="shared" ca="1" si="51"/>
        <v>50</v>
      </c>
      <c r="BC50" s="192" t="str">
        <f t="shared" ca="1" si="52"/>
        <v>Targus</v>
      </c>
      <c r="BD50" s="192" t="str">
        <f t="shared" ca="1" si="52"/>
        <v>Targus Privacy Screen 27"</v>
      </c>
      <c r="BE50" s="192" t="str">
        <f t="shared" ca="1" si="52"/>
        <v>False</v>
      </c>
      <c r="BF50" s="192" t="str">
        <f t="shared" ca="1" si="52"/>
        <v>False</v>
      </c>
      <c r="BG50" s="192" t="str">
        <f t="shared" ca="1" si="52"/>
        <v>False</v>
      </c>
      <c r="BH50" s="192" t="str">
        <f t="shared" ca="1" si="52"/>
        <v>Foxway Education AB</v>
      </c>
      <c r="BI50" s="192" t="str">
        <f t="shared" ca="1" si="52"/>
        <v>Lenovo</v>
      </c>
    </row>
    <row r="51" spans="2:61" ht="22.5" customHeight="1" outlineLevel="1" x14ac:dyDescent="0.35">
      <c r="C51" s="61" t="s">
        <v>38</v>
      </c>
      <c r="D51" s="64"/>
      <c r="F51" s="78" t="str">
        <f t="shared" si="53"/>
        <v/>
      </c>
      <c r="G51" s="79" t="str">
        <f t="shared" ca="1" si="54"/>
        <v>Version 8.0</v>
      </c>
      <c r="H51" s="79" t="str">
        <f t="shared" ca="1" si="54"/>
        <v>Version 8.0</v>
      </c>
      <c r="I51" s="120" t="str">
        <f t="shared" ca="1" si="54"/>
        <v>Version 8.0</v>
      </c>
      <c r="J51" s="62"/>
      <c r="Q51" s="185">
        <f t="shared" si="37"/>
        <v>0</v>
      </c>
      <c r="R51" s="185">
        <f t="shared" si="38"/>
        <v>0</v>
      </c>
      <c r="S51" s="185">
        <f t="shared" si="39"/>
        <v>0</v>
      </c>
      <c r="T51" s="185">
        <f t="shared" si="40"/>
        <v>0</v>
      </c>
      <c r="U51" s="185">
        <f t="shared" si="41"/>
        <v>0</v>
      </c>
      <c r="V51" s="196">
        <f t="shared" ca="1" si="42"/>
        <v>2076</v>
      </c>
      <c r="W51" s="185" t="str">
        <f t="shared" si="43"/>
        <v>Offererad produktnr. 11Qlosr Göteborg AB</v>
      </c>
      <c r="X51" s="185" t="b">
        <f>IF($D$44="",TRUE,IF(COUNTIF(Processor!$I$2:$I$9,$D$44)&gt;0,AND(AI51&gt;INDEX(Processor!$J$2:$J$9,MATCH($D$44,Processor!$I$2:$I$9,0)),AI51&lt;INDEX(Processor!$K$2:$K$9,MATCH($D$44,Processor!$I$2:$I$9,0))),IF(AI51=$D$44,TRUE,FALSE)))</f>
        <v>1</v>
      </c>
      <c r="Y51" s="185" t="b">
        <f t="shared" si="44"/>
        <v>1</v>
      </c>
      <c r="Z51" s="185" t="b">
        <f t="shared" si="45"/>
        <v>1</v>
      </c>
      <c r="AA51" s="185" t="b">
        <f t="shared" si="46"/>
        <v>1</v>
      </c>
      <c r="AB51" s="185" t="b">
        <f t="shared" si="47"/>
        <v>1</v>
      </c>
      <c r="AC51" s="185" t="b">
        <f t="shared" si="48"/>
        <v>1</v>
      </c>
      <c r="AD51" s="185"/>
      <c r="AE51" s="185" t="b">
        <f t="shared" si="49"/>
        <v>1</v>
      </c>
      <c r="AF51" s="185" t="b">
        <f>IFERROR(IF($D51="",TRUE,IF(MID(AT51,LEN(AT51)-2,1)*1&gt;=MID($D51,LEN($D51)-2,1)*1,TRUE,FALSE)),FALSE)</f>
        <v>1</v>
      </c>
      <c r="AG51" s="185" t="s">
        <v>562</v>
      </c>
      <c r="AH51" s="201">
        <v>1</v>
      </c>
      <c r="AI51" s="185">
        <f t="shared" ca="1" si="50"/>
        <v>23.8</v>
      </c>
      <c r="AJ51" s="185" t="str">
        <f t="shared" ca="1" si="50"/>
        <v>1920x1080</v>
      </c>
      <c r="AK51" s="185">
        <f t="shared" ca="1" si="50"/>
        <v>5</v>
      </c>
      <c r="AL51" s="185">
        <f t="shared" ca="1" si="50"/>
        <v>0</v>
      </c>
      <c r="AM51" s="185">
        <f t="shared" ca="1" si="50"/>
        <v>1</v>
      </c>
      <c r="AN51" s="185">
        <f t="shared" ca="1" si="50"/>
        <v>16700000</v>
      </c>
      <c r="AO51" s="185">
        <f t="shared" ca="1" si="50"/>
        <v>250</v>
      </c>
      <c r="AP51" s="185" t="str">
        <f t="shared" ca="1" si="50"/>
        <v>Version 8.0</v>
      </c>
      <c r="AQ51" s="185" t="str">
        <f t="shared" ca="1" si="50"/>
        <v>Ja</v>
      </c>
      <c r="AR51" s="185">
        <f t="shared" ca="1" si="50"/>
        <v>0</v>
      </c>
      <c r="AS51" s="185">
        <f t="shared" ca="1" si="51"/>
        <v>0</v>
      </c>
      <c r="AT51" s="185" t="str">
        <f t="shared" ca="1" si="51"/>
        <v>Version 8.0</v>
      </c>
      <c r="AU51" s="185" t="str">
        <f t="shared" ca="1" si="51"/>
        <v>Ja</v>
      </c>
      <c r="AV51" s="185">
        <f t="shared" ca="1" si="51"/>
        <v>0</v>
      </c>
      <c r="AW51" s="185" t="str">
        <f t="shared" ca="1" si="51"/>
        <v>P2422h</v>
      </c>
      <c r="AX51" s="185">
        <f t="shared" ca="1" si="51"/>
        <v>2076</v>
      </c>
      <c r="AY51" s="192">
        <f t="shared" ca="1" si="51"/>
        <v>540</v>
      </c>
      <c r="AZ51" s="192">
        <f t="shared" ca="1" si="51"/>
        <v>89</v>
      </c>
      <c r="BA51" s="192">
        <f t="shared" ca="1" si="51"/>
        <v>25</v>
      </c>
      <c r="BB51" s="192">
        <f t="shared" ca="1" si="51"/>
        <v>25</v>
      </c>
      <c r="BC51" s="192" t="str">
        <f t="shared" ca="1" si="52"/>
        <v>Kapsolo</v>
      </c>
      <c r="BD51" s="192" t="str">
        <f t="shared" ca="1" si="52"/>
        <v>GBXKAP10786</v>
      </c>
      <c r="BE51" s="192" t="str">
        <f t="shared" ca="1" si="52"/>
        <v>False</v>
      </c>
      <c r="BF51" s="192" t="str">
        <f t="shared" ca="1" si="52"/>
        <v>False</v>
      </c>
      <c r="BG51" s="192" t="str">
        <f t="shared" ca="1" si="52"/>
        <v>False</v>
      </c>
      <c r="BH51" s="192" t="str">
        <f t="shared" ca="1" si="52"/>
        <v>Qlosr Göteborg AB</v>
      </c>
      <c r="BI51" s="192" t="str">
        <f t="shared" ca="1" si="52"/>
        <v>Dell</v>
      </c>
    </row>
    <row r="52" spans="2:61" ht="22.5" customHeight="1" outlineLevel="1" x14ac:dyDescent="0.35">
      <c r="C52" s="61" t="s">
        <v>37</v>
      </c>
      <c r="D52" s="64"/>
      <c r="F52" s="78" t="str">
        <f t="shared" si="53"/>
        <v/>
      </c>
      <c r="G52" s="79" t="str">
        <f t="shared" ca="1" si="54"/>
        <v>Ja</v>
      </c>
      <c r="H52" s="79" t="str">
        <f t="shared" ca="1" si="54"/>
        <v>Ja</v>
      </c>
      <c r="I52" s="120" t="str">
        <f t="shared" ca="1" si="54"/>
        <v>Ja</v>
      </c>
      <c r="J52" s="62"/>
      <c r="Q52" s="185">
        <f t="shared" si="37"/>
        <v>0</v>
      </c>
      <c r="R52" s="185">
        <f t="shared" si="38"/>
        <v>0</v>
      </c>
      <c r="S52" s="185">
        <f t="shared" si="39"/>
        <v>0</v>
      </c>
      <c r="T52" s="185">
        <f t="shared" si="40"/>
        <v>0</v>
      </c>
      <c r="U52" s="185">
        <f t="shared" si="41"/>
        <v>0</v>
      </c>
      <c r="V52" s="196">
        <f t="shared" ca="1" si="42"/>
        <v>2430</v>
      </c>
      <c r="W52" s="185" t="str">
        <f t="shared" si="43"/>
        <v>Offererad produktnr. 12Qlosr Göteborg AB</v>
      </c>
      <c r="X52" s="185" t="b">
        <f>IF($D$44="",TRUE,IF(COUNTIF(Processor!$I$2:$I$9,$D$44)&gt;0,AND(AI52&gt;INDEX(Processor!$J$2:$J$9,MATCH($D$44,Processor!$I$2:$I$9,0)),AI52&lt;INDEX(Processor!$K$2:$K$9,MATCH($D$44,Processor!$I$2:$I$9,0))),IF(AI52=$D$44,TRUE,FALSE)))</f>
        <v>1</v>
      </c>
      <c r="Y52" s="185" t="b">
        <f t="shared" si="44"/>
        <v>1</v>
      </c>
      <c r="Z52" s="185" t="b">
        <f t="shared" si="45"/>
        <v>1</v>
      </c>
      <c r="AA52" s="185" t="b">
        <f t="shared" si="46"/>
        <v>1</v>
      </c>
      <c r="AB52" s="185" t="b">
        <f t="shared" si="47"/>
        <v>1</v>
      </c>
      <c r="AC52" s="185" t="b">
        <f t="shared" si="48"/>
        <v>1</v>
      </c>
      <c r="AD52" s="185"/>
      <c r="AE52" s="185" t="b">
        <f t="shared" si="49"/>
        <v>1</v>
      </c>
      <c r="AF52" s="185" t="b">
        <f>IFERROR(IF($D51="",TRUE,IF(MID(AT52,LEN(AT52)-2,1)*1&gt;=MID($D51,LEN($D51)-2,1)*1,TRUE,FALSE)),FALSE)</f>
        <v>1</v>
      </c>
      <c r="AG52" s="185" t="s">
        <v>563</v>
      </c>
      <c r="AH52" s="201">
        <v>1</v>
      </c>
      <c r="AI52" s="185">
        <f t="shared" ca="1" si="50"/>
        <v>27</v>
      </c>
      <c r="AJ52" s="185" t="str">
        <f t="shared" ca="1" si="50"/>
        <v>2560x1440</v>
      </c>
      <c r="AK52" s="185">
        <f t="shared" ca="1" si="50"/>
        <v>0</v>
      </c>
      <c r="AL52" s="185">
        <f t="shared" ca="1" si="50"/>
        <v>0</v>
      </c>
      <c r="AM52" s="185">
        <f t="shared" ca="1" si="50"/>
        <v>1</v>
      </c>
      <c r="AN52" s="185">
        <f t="shared" ca="1" si="50"/>
        <v>16700000</v>
      </c>
      <c r="AO52" s="185">
        <f t="shared" ca="1" si="50"/>
        <v>350</v>
      </c>
      <c r="AP52" s="185" t="str">
        <f t="shared" ca="1" si="50"/>
        <v>Version 8.0</v>
      </c>
      <c r="AQ52" s="185" t="str">
        <f t="shared" ca="1" si="50"/>
        <v>Ja</v>
      </c>
      <c r="AR52" s="185">
        <f t="shared" ca="1" si="50"/>
        <v>0</v>
      </c>
      <c r="AS52" s="185">
        <f t="shared" ca="1" si="51"/>
        <v>0</v>
      </c>
      <c r="AT52" s="185" t="str">
        <f t="shared" ca="1" si="51"/>
        <v>Version 8.0</v>
      </c>
      <c r="AU52" s="185" t="str">
        <f t="shared" ca="1" si="51"/>
        <v>Ja</v>
      </c>
      <c r="AV52" s="185">
        <f t="shared" ca="1" si="51"/>
        <v>0</v>
      </c>
      <c r="AW52" s="185" t="str">
        <f t="shared" ca="1" si="51"/>
        <v>E27q-20</v>
      </c>
      <c r="AX52" s="185">
        <f t="shared" ca="1" si="51"/>
        <v>2430</v>
      </c>
      <c r="AY52" s="192">
        <f t="shared" ca="1" si="51"/>
        <v>669</v>
      </c>
      <c r="AZ52" s="192">
        <f t="shared" ca="1" si="51"/>
        <v>89</v>
      </c>
      <c r="BA52" s="192">
        <f t="shared" ca="1" si="51"/>
        <v>25</v>
      </c>
      <c r="BB52" s="192">
        <f t="shared" ca="1" si="51"/>
        <v>25</v>
      </c>
      <c r="BC52" s="192" t="str">
        <f t="shared" ca="1" si="52"/>
        <v>Kapsolo</v>
      </c>
      <c r="BD52" s="192" t="str">
        <f t="shared" ca="1" si="52"/>
        <v>GBXKAP11019</v>
      </c>
      <c r="BE52" s="192" t="str">
        <f t="shared" ca="1" si="52"/>
        <v>False</v>
      </c>
      <c r="BF52" s="192" t="str">
        <f t="shared" ca="1" si="52"/>
        <v>False</v>
      </c>
      <c r="BG52" s="192" t="str">
        <f t="shared" ca="1" si="52"/>
        <v>False</v>
      </c>
      <c r="BH52" s="192" t="str">
        <f t="shared" ca="1" si="52"/>
        <v>Qlosr Göteborg AB</v>
      </c>
      <c r="BI52" s="192" t="str">
        <f t="shared" ca="1" si="52"/>
        <v>Lenovo</v>
      </c>
    </row>
    <row r="53" spans="2:61" ht="22.5" customHeight="1" outlineLevel="1" x14ac:dyDescent="0.35">
      <c r="C53" s="66"/>
      <c r="D53" s="67"/>
      <c r="G53" s="62"/>
      <c r="H53" s="62"/>
      <c r="I53" s="62"/>
      <c r="J53" s="94"/>
      <c r="AH53" s="50"/>
      <c r="AY53" s="63"/>
      <c r="AZ53" s="63"/>
      <c r="BA53" s="63"/>
      <c r="BB53" s="63"/>
      <c r="BC53" s="63"/>
      <c r="BD53" s="63"/>
      <c r="BE53" s="63"/>
      <c r="BF53" s="63"/>
      <c r="BG53" s="63"/>
      <c r="BH53" s="63"/>
      <c r="BI53" s="63"/>
    </row>
    <row r="54" spans="2:61" ht="22.5" customHeight="1" outlineLevel="1" x14ac:dyDescent="0.35">
      <c r="C54" s="212" t="s">
        <v>366</v>
      </c>
      <c r="D54" s="213"/>
      <c r="E54" s="213"/>
      <c r="F54" s="213"/>
      <c r="G54" s="213"/>
      <c r="H54" s="213"/>
      <c r="I54" s="214"/>
      <c r="J54" s="62"/>
      <c r="AH54" s="50"/>
      <c r="AY54" s="63"/>
      <c r="AZ54" s="63"/>
      <c r="BA54" s="63"/>
      <c r="BB54" s="63"/>
      <c r="BC54" s="63"/>
      <c r="BD54" s="63"/>
      <c r="BE54" s="63"/>
      <c r="BF54" s="63"/>
      <c r="BG54" s="63"/>
      <c r="BH54" s="63"/>
      <c r="BI54" s="63"/>
    </row>
    <row r="55" spans="2:61" ht="22.5" customHeight="1" outlineLevel="1" x14ac:dyDescent="0.35">
      <c r="B55" s="69" t="s">
        <v>53</v>
      </c>
      <c r="C55" s="115" t="s">
        <v>77</v>
      </c>
      <c r="D55" s="70"/>
      <c r="F55" s="161" t="str">
        <f>IF(F$41="Inget antal angivet","",IFERROR(INDEX($AI$42:$BI$67,MATCH(F$38,$AG$42:$AG$67,0),MATCH($B55,$AI$42:$BI$42,0)),""))</f>
        <v/>
      </c>
      <c r="G55" s="162">
        <f ca="1">IFERROR(INDEX($AI$42:$BI$67,MATCH(G$38,$AG$42:$AG$67,0),MATCH($B55,$AI$42:$BI$42,0)),"")</f>
        <v>639</v>
      </c>
      <c r="H55" s="162">
        <f ca="1">IFERROR(INDEX($AI$42:$BI$67,MATCH(H$38,$AG$42:$AG$67,0),MATCH($B55,$AI$42:$BI$42,0)),"")</f>
        <v>778</v>
      </c>
      <c r="I55" s="162">
        <f ca="1">IFERROR(INDEX($AI$42:$BI$67,MATCH(I$38,$AG$42:$AG$67,0),MATCH($B55,$AI$42:$BI$42,0)),"")</f>
        <v>540</v>
      </c>
      <c r="J55" s="62"/>
      <c r="AY55" s="63"/>
      <c r="AZ55" s="63"/>
      <c r="BA55" s="63"/>
      <c r="BB55" s="63"/>
      <c r="BC55" s="63"/>
      <c r="BD55" s="63"/>
      <c r="BE55" s="63"/>
      <c r="BF55" s="63"/>
      <c r="BG55" s="63"/>
      <c r="BH55" s="63"/>
      <c r="BI55" s="63"/>
    </row>
    <row r="56" spans="2:61" ht="22.5" customHeight="1" outlineLevel="1" x14ac:dyDescent="0.35">
      <c r="B56" s="69" t="s">
        <v>340</v>
      </c>
      <c r="C56" s="96" t="s">
        <v>51</v>
      </c>
      <c r="D56" s="131" t="str">
        <f>IF("Ska Ingå"=D55,"Ska Ingå","")</f>
        <v/>
      </c>
      <c r="F56" s="84" t="str">
        <f>IF(F$41="Inget antal angivet","",IFERROR(INDEX($AI$42:$BI$67,MATCH(F$38,$AG$42:$AG$67,0),MATCH($B56,$AI$42:$BI$42,0)),""))</f>
        <v/>
      </c>
      <c r="G56" s="85" t="str">
        <f ca="1">IFERROR(INDEX($AI$42:$BI$67,MATCH(G$38,$AG$42:$AG$67,0),MATCH($B56,$AI$42:$BI$42,0)),"")</f>
        <v>eSTUFF</v>
      </c>
      <c r="H56" s="85" t="str">
        <f ca="1">IFERROR(INDEX($AI$42:$BI$67,MATCH(H$38,$AG$42:$AG$67,0),MATCH($B56,$AI$42:$BI$42,0)),"")</f>
        <v>Targus</v>
      </c>
      <c r="I56" s="85" t="str">
        <f ca="1">IFERROR(INDEX($AI$42:$BI$67,MATCH(I$38,$AG$42:$AG$67,0),MATCH($C56,$AI$42:$BI$42,0)),"")</f>
        <v>Dell</v>
      </c>
      <c r="J56" s="62"/>
      <c r="AY56" s="63"/>
      <c r="AZ56" s="63"/>
      <c r="BA56" s="63"/>
      <c r="BB56" s="63"/>
      <c r="BC56" s="63"/>
      <c r="BD56" s="63"/>
      <c r="BE56" s="63"/>
      <c r="BF56" s="63"/>
      <c r="BG56" s="63"/>
      <c r="BH56" s="63"/>
      <c r="BI56" s="63"/>
    </row>
    <row r="57" spans="2:61" ht="64.5" customHeight="1" outlineLevel="1" x14ac:dyDescent="0.35">
      <c r="B57" s="71" t="s">
        <v>345</v>
      </c>
      <c r="C57" s="116" t="s">
        <v>52</v>
      </c>
      <c r="D57" s="132" t="str">
        <f>IF("Ska Ingå"=D55,"Ska Ingå","")</f>
        <v/>
      </c>
      <c r="F57" s="117" t="str">
        <f>IF(F$41="Inget antal angivet","",IFERROR(INDEX($AI$42:$BI$67,MATCH(F$38,$AG$42:$AG$67,0),MATCH($B57,$AI$42:$BI$42,0)),""))</f>
        <v/>
      </c>
      <c r="G57" s="118" t="str">
        <f ca="1">IFERROR(INDEX($AI$42:$BI$67,MATCH(G$38,$AG$42:$AG$67,0),MATCH($B57,$AI$42:$BI$42,0)),"")</f>
        <v>GLBB24519325 -  Filter för personlig integritet - 2-vägs - 24" - svart</v>
      </c>
      <c r="H57" s="118" t="str">
        <f ca="1">IFERROR(INDEX($AI$42:$BI$67,MATCH(H$38,$AG$42:$AG$67,0),MATCH($B57,$AI$42:$BI$42,0)),"")</f>
        <v>Targus Privacy Screen - filter för personlig integritet - 23,8 tum bred</v>
      </c>
      <c r="I57" s="118" t="str">
        <f ca="1">IFERROR(INDEX($AI$42:$BI$67,MATCH(I$38,$AG$42:$AG$67,0),MATCH($C57,$AI$42:$BI$42,0)),"")</f>
        <v>P2422h</v>
      </c>
      <c r="J57" s="62"/>
      <c r="AY57" s="63"/>
      <c r="AZ57" s="63"/>
      <c r="BA57" s="63"/>
      <c r="BB57" s="63"/>
      <c r="BC57" s="63"/>
      <c r="BD57" s="63"/>
      <c r="BE57" s="63"/>
      <c r="BF57" s="63"/>
      <c r="BG57" s="63"/>
      <c r="BH57" s="63"/>
      <c r="BI57" s="63"/>
    </row>
    <row r="58" spans="2:61" ht="22.5" customHeight="1" outlineLevel="1" x14ac:dyDescent="0.35">
      <c r="B58" s="71"/>
      <c r="C58" s="212" t="s">
        <v>365</v>
      </c>
      <c r="D58" s="215"/>
      <c r="E58" s="213"/>
      <c r="F58" s="213"/>
      <c r="G58" s="213"/>
      <c r="H58" s="213"/>
      <c r="I58" s="214"/>
      <c r="J58" s="62"/>
      <c r="AY58" s="63"/>
      <c r="AZ58" s="63"/>
      <c r="BA58" s="63"/>
      <c r="BB58" s="63"/>
      <c r="BC58" s="63"/>
      <c r="BD58" s="63"/>
      <c r="BE58" s="63"/>
      <c r="BF58" s="63"/>
      <c r="BG58" s="63"/>
      <c r="BH58" s="63"/>
      <c r="BI58" s="63"/>
    </row>
    <row r="59" spans="2:61" ht="22.5" customHeight="1" outlineLevel="1" x14ac:dyDescent="0.35">
      <c r="B59" s="71" t="s">
        <v>228</v>
      </c>
      <c r="C59" s="115" t="s">
        <v>367</v>
      </c>
      <c r="D59" s="70"/>
      <c r="F59" s="161" t="str">
        <f>IF(F$41="Inget antal angivet","",IFERROR(INDEX($AI$42:$BI$67,MATCH(F$38,$AG$42:$AG$67,0),MATCH($B59,$AI$42:$BI$42,0)),""))</f>
        <v/>
      </c>
      <c r="G59" s="162">
        <f t="shared" ref="G59:I61" ca="1" si="55">IFERROR(INDEX($AI$42:$BI$67,MATCH(G$38,$AG$42:$AG$67,0),MATCH($B59,$AI$42:$BI$42,0)),"")</f>
        <v>101</v>
      </c>
      <c r="H59" s="162">
        <f t="shared" ca="1" si="55"/>
        <v>94</v>
      </c>
      <c r="I59" s="162">
        <f t="shared" ca="1" si="55"/>
        <v>89</v>
      </c>
      <c r="J59" s="62"/>
      <c r="AY59" s="63"/>
      <c r="AZ59" s="63"/>
      <c r="BA59" s="63"/>
      <c r="BB59" s="63"/>
      <c r="BC59" s="63"/>
      <c r="BD59" s="63"/>
      <c r="BE59" s="63"/>
      <c r="BF59" s="63"/>
      <c r="BG59" s="63"/>
      <c r="BH59" s="63"/>
      <c r="BI59" s="63"/>
    </row>
    <row r="60" spans="2:61" ht="22.5" customHeight="1" outlineLevel="1" x14ac:dyDescent="0.35">
      <c r="B60" s="71" t="s">
        <v>229</v>
      </c>
      <c r="C60" s="61" t="s">
        <v>368</v>
      </c>
      <c r="D60" s="70"/>
      <c r="F60" s="165" t="str">
        <f>IF(F$41="Inget antal angivet","",IFERROR(INDEX($AI$42:$BI$67,MATCH(F$38,$AG$42:$AG$67,0),MATCH($B60,$AI$42:$BI$42,0)),""))</f>
        <v/>
      </c>
      <c r="G60" s="166">
        <f t="shared" ca="1" si="55"/>
        <v>50</v>
      </c>
      <c r="H60" s="166">
        <f t="shared" ca="1" si="55"/>
        <v>85</v>
      </c>
      <c r="I60" s="166">
        <f t="shared" ca="1" si="55"/>
        <v>25</v>
      </c>
      <c r="J60" s="73"/>
      <c r="AY60" s="63"/>
      <c r="AZ60" s="63"/>
      <c r="BA60" s="63"/>
      <c r="BB60" s="63"/>
      <c r="BC60" s="63"/>
      <c r="BD60" s="63"/>
      <c r="BE60" s="63"/>
      <c r="BF60" s="63"/>
      <c r="BG60" s="63"/>
      <c r="BH60" s="63"/>
      <c r="BI60" s="63"/>
    </row>
    <row r="61" spans="2:61" ht="22.5" customHeight="1" outlineLevel="1" x14ac:dyDescent="0.35">
      <c r="B61" s="71" t="s">
        <v>230</v>
      </c>
      <c r="C61" s="96" t="s">
        <v>369</v>
      </c>
      <c r="D61" s="70"/>
      <c r="F61" s="163" t="str">
        <f>IF(F$41="Inget antal angivet","",IFERROR(INDEX($AI$42:$BI$67,MATCH(F$38,$AG$42:$AG$67,0),MATCH($B61,$AI$42:$BI$42,0)),""))</f>
        <v/>
      </c>
      <c r="G61" s="164">
        <f t="shared" ca="1" si="55"/>
        <v>50</v>
      </c>
      <c r="H61" s="164">
        <f t="shared" ca="1" si="55"/>
        <v>100</v>
      </c>
      <c r="I61" s="164">
        <f t="shared" ca="1" si="55"/>
        <v>25</v>
      </c>
      <c r="J61" s="54"/>
      <c r="AY61" s="63"/>
      <c r="AZ61" s="63"/>
      <c r="BA61" s="63"/>
      <c r="BB61" s="63"/>
      <c r="BC61" s="63"/>
      <c r="BD61" s="63"/>
      <c r="BE61" s="63"/>
      <c r="BF61" s="63"/>
      <c r="BG61" s="63"/>
      <c r="BH61" s="63"/>
      <c r="BI61" s="63"/>
    </row>
    <row r="62" spans="2:61" ht="22.5" customHeight="1" outlineLevel="1" x14ac:dyDescent="0.35">
      <c r="J62" s="73"/>
      <c r="AY62" s="63"/>
      <c r="AZ62" s="63"/>
      <c r="BA62" s="63"/>
      <c r="BB62" s="63"/>
      <c r="BC62" s="63"/>
      <c r="BD62" s="63"/>
      <c r="BE62" s="63"/>
      <c r="BF62" s="63"/>
      <c r="BG62" s="63"/>
      <c r="BH62" s="63"/>
      <c r="BI62" s="63"/>
    </row>
    <row r="63" spans="2:61" ht="22.5" customHeight="1" x14ac:dyDescent="0.35">
      <c r="J63" s="54"/>
      <c r="AY63" s="63"/>
      <c r="AZ63" s="63"/>
      <c r="BA63" s="63"/>
      <c r="BB63" s="63"/>
      <c r="BC63" s="63"/>
      <c r="BD63" s="63"/>
      <c r="BE63" s="63"/>
      <c r="BF63" s="63"/>
      <c r="BG63" s="63"/>
      <c r="BH63" s="63"/>
      <c r="BI63" s="63"/>
    </row>
    <row r="64" spans="2:61" ht="22.5" customHeight="1" x14ac:dyDescent="0.35">
      <c r="D64" s="72" t="s">
        <v>233</v>
      </c>
      <c r="F64" s="221" t="s">
        <v>252</v>
      </c>
      <c r="G64" s="221"/>
      <c r="H64" s="221"/>
      <c r="I64" s="222"/>
      <c r="J64" s="73"/>
      <c r="AY64" s="63"/>
      <c r="AZ64" s="63"/>
      <c r="BA64" s="63"/>
      <c r="BB64" s="63"/>
      <c r="BC64" s="63"/>
      <c r="BD64" s="63"/>
      <c r="BE64" s="63"/>
      <c r="BF64" s="63"/>
      <c r="BG64" s="63"/>
      <c r="BH64" s="63"/>
      <c r="BI64" s="63"/>
    </row>
    <row r="65" spans="2:75" ht="22.5" customHeight="1" x14ac:dyDescent="0.35">
      <c r="D65" s="74"/>
      <c r="F65" s="202" t="str">
        <f ca="1">IFERROR(INDEX($V$43:$V$54,MATCH(F38,$W$43:$W$54,0))*D65,"")</f>
        <v/>
      </c>
      <c r="G65" s="202">
        <f ca="1">IFERROR(P43 *D65,"")</f>
        <v>0</v>
      </c>
      <c r="H65" s="202">
        <f ca="1">IFERROR(P44 *D65,"")</f>
        <v>0</v>
      </c>
      <c r="I65" s="202">
        <f ca="1">IFERROR(P45 * D65,"")</f>
        <v>0</v>
      </c>
      <c r="J65" s="54"/>
      <c r="AY65" s="63"/>
      <c r="AZ65" s="63"/>
      <c r="BA65" s="63"/>
      <c r="BB65" s="63"/>
      <c r="BC65" s="63"/>
      <c r="BD65" s="63"/>
      <c r="BE65" s="63"/>
      <c r="BF65" s="63"/>
      <c r="BG65" s="63"/>
      <c r="BH65" s="63"/>
      <c r="BI65" s="63"/>
    </row>
    <row r="66" spans="2:75" x14ac:dyDescent="0.35">
      <c r="AY66" s="63"/>
      <c r="AZ66" s="63"/>
      <c r="BA66" s="63"/>
      <c r="BB66" s="63"/>
      <c r="BC66" s="63"/>
      <c r="BD66" s="63"/>
      <c r="BE66" s="63"/>
      <c r="BF66" s="63"/>
      <c r="BG66" s="63"/>
      <c r="BH66" s="63"/>
      <c r="BI66" s="63"/>
    </row>
    <row r="67" spans="2:75" ht="15" thickBot="1" x14ac:dyDescent="0.4">
      <c r="C67" s="174"/>
      <c r="D67" s="174"/>
      <c r="E67" s="174"/>
      <c r="F67" s="174"/>
      <c r="G67" s="174"/>
      <c r="H67" s="174"/>
      <c r="I67" s="174"/>
      <c r="AY67" s="63"/>
      <c r="AZ67" s="63"/>
      <c r="BA67" s="63"/>
      <c r="BB67" s="63"/>
      <c r="BC67" s="63"/>
      <c r="BD67" s="63"/>
      <c r="BE67" s="63"/>
      <c r="BF67" s="63"/>
      <c r="BG67" s="63"/>
      <c r="BH67" s="63"/>
      <c r="BI67" s="63"/>
    </row>
    <row r="68" spans="2:75" ht="15" thickTop="1" x14ac:dyDescent="0.35"/>
    <row r="72" spans="2:75" ht="71.25" customHeight="1" collapsed="1" x14ac:dyDescent="0.35">
      <c r="C72" s="53"/>
      <c r="D72" s="53"/>
      <c r="F72" s="50" t="e">
        <f ca="1">N76</f>
        <v>#N/A</v>
      </c>
      <c r="G72" s="50" t="str">
        <f ca="1">INDEX(W77:W101,MATCH(P77,V77:V101,0))</f>
        <v>Offererad produktnr. 11Advania Sverige AB</v>
      </c>
      <c r="H72" s="50" t="str">
        <f ca="1">INDEX(W76:W100,MATCH(P78,V76:V100,0))</f>
        <v>Offererad produktnr. 11Atea Sverige AB</v>
      </c>
      <c r="I72" s="50" t="str">
        <f ca="1">INDEX(W76:W100,MATCH(P79,V76:V100,0))</f>
        <v>Offererad produktnr. 11Qlosr Göteborg AB</v>
      </c>
      <c r="AI72" s="12" t="s">
        <v>124</v>
      </c>
      <c r="AJ72" s="12" t="s">
        <v>124</v>
      </c>
      <c r="AK72" s="12" t="s">
        <v>124</v>
      </c>
      <c r="AL72" s="12" t="s">
        <v>124</v>
      </c>
      <c r="AM72" s="12" t="s">
        <v>124</v>
      </c>
      <c r="AN72" s="12" t="s">
        <v>124</v>
      </c>
      <c r="AO72" s="12" t="s">
        <v>124</v>
      </c>
      <c r="AP72" s="12" t="s">
        <v>124</v>
      </c>
      <c r="AQ72" s="12" t="s">
        <v>124</v>
      </c>
      <c r="AR72" s="12" t="s">
        <v>124</v>
      </c>
      <c r="AS72" s="12" t="s">
        <v>124</v>
      </c>
      <c r="AT72" s="12" t="s">
        <v>124</v>
      </c>
      <c r="AU72" s="12" t="s">
        <v>124</v>
      </c>
      <c r="AV72" s="12" t="s">
        <v>124</v>
      </c>
      <c r="AW72" s="12" t="s">
        <v>124</v>
      </c>
      <c r="AX72" s="12" t="s">
        <v>124</v>
      </c>
      <c r="AY72" s="12" t="s">
        <v>124</v>
      </c>
      <c r="AZ72" s="12" t="s">
        <v>124</v>
      </c>
      <c r="BA72" s="12" t="s">
        <v>124</v>
      </c>
      <c r="BB72" s="12" t="s">
        <v>124</v>
      </c>
      <c r="BC72" s="12" t="s">
        <v>124</v>
      </c>
      <c r="BD72" s="12" t="s">
        <v>124</v>
      </c>
      <c r="BE72" s="12" t="s">
        <v>124</v>
      </c>
      <c r="BF72" s="12" t="s">
        <v>124</v>
      </c>
      <c r="BG72" s="12" t="s">
        <v>124</v>
      </c>
      <c r="BH72" s="12" t="s">
        <v>124</v>
      </c>
      <c r="BI72" s="12" t="s">
        <v>124</v>
      </c>
      <c r="BJ72" s="12"/>
      <c r="BK72" s="12"/>
      <c r="BL72" s="12"/>
      <c r="BM72" s="12"/>
      <c r="BN72" s="12"/>
      <c r="BO72" s="12"/>
      <c r="BP72" s="12"/>
      <c r="BQ72" s="12"/>
      <c r="BR72" s="12"/>
      <c r="BS72" s="12"/>
      <c r="BT72" s="12"/>
      <c r="BU72" s="12"/>
      <c r="BV72" s="12"/>
      <c r="BW72" s="12"/>
    </row>
    <row r="73" spans="2:75" ht="26.25" customHeight="1" thickBot="1" x14ac:dyDescent="0.4">
      <c r="C73" s="53"/>
      <c r="D73" s="53"/>
      <c r="F73" s="140" t="s">
        <v>446</v>
      </c>
      <c r="G73" s="205" t="s">
        <v>447</v>
      </c>
      <c r="H73" s="205"/>
      <c r="I73" s="205"/>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row>
    <row r="74" spans="2:75" ht="22.5" customHeight="1" thickBot="1" x14ac:dyDescent="0.4">
      <c r="B74" t="str">
        <f ca="1" xml:space="preserve"> "Produkt "  &amp; B75</f>
        <v>Produkt 3</v>
      </c>
      <c r="C74" s="206" t="str">
        <f>IF(F75="Ingen produkt motsvarar","Felmeddelande",IF(COUNTIF($P$1:$P$6,TRUE)&gt;0,"","Felmeddelande"))</f>
        <v/>
      </c>
      <c r="D74" s="207"/>
      <c r="F74" s="218" t="s">
        <v>271</v>
      </c>
      <c r="G74" s="218"/>
      <c r="H74" s="218"/>
      <c r="I74" s="219"/>
      <c r="O74">
        <v>1</v>
      </c>
      <c r="AI74" s="13" t="str">
        <f t="shared" ref="AI74:AW74" si="56">AI76</f>
        <v>Skärmstorlek (tum)</v>
      </c>
      <c r="AJ74" s="13" t="str">
        <f t="shared" si="56"/>
        <v>Upplösning</v>
      </c>
      <c r="AK74" s="13" t="str">
        <f t="shared" si="56"/>
        <v>Portar USB</v>
      </c>
      <c r="AL74" s="13" t="str">
        <f t="shared" si="56"/>
        <v>Portar HDMI</v>
      </c>
      <c r="AM74" s="13" t="str">
        <f t="shared" si="56"/>
        <v>Portar Display</v>
      </c>
      <c r="AN74" s="13" t="str">
        <f t="shared" si="56"/>
        <v>Antal färger</v>
      </c>
      <c r="AO74" s="13" t="str">
        <f t="shared" si="56"/>
        <v>Ljusstyrka</v>
      </c>
      <c r="AP74" s="13" t="str">
        <f t="shared" si="56"/>
        <v>Energiprestanda</v>
      </c>
      <c r="AQ74" s="13" t="str">
        <f t="shared" si="56"/>
        <v>Låsskydd</v>
      </c>
      <c r="AR74" s="13" t="str">
        <f t="shared" si="56"/>
        <v>Kommunikation Bluetooth</v>
      </c>
      <c r="AS74" s="13" t="str">
        <f t="shared" si="56"/>
        <v>Batteritid (tim)</v>
      </c>
      <c r="AT74" s="13" t="str">
        <f t="shared" si="56"/>
        <v>Energiprestanda</v>
      </c>
      <c r="AU74" s="13" t="str">
        <f t="shared" si="56"/>
        <v>Låsskydd</v>
      </c>
      <c r="AV74" s="13" t="str">
        <f t="shared" si="56"/>
        <v>Operativsystem</v>
      </c>
      <c r="AW74" s="13" t="str">
        <f t="shared" si="56"/>
        <v>Modellbenämning</v>
      </c>
      <c r="AX74" t="s">
        <v>224</v>
      </c>
      <c r="AY74" s="56" t="s">
        <v>53</v>
      </c>
      <c r="AZ74" s="57" t="s">
        <v>228</v>
      </c>
      <c r="BA74" s="57" t="s">
        <v>229</v>
      </c>
      <c r="BB74" s="57" t="s">
        <v>230</v>
      </c>
      <c r="BC74" s="56" t="s">
        <v>340</v>
      </c>
      <c r="BD74" s="57" t="s">
        <v>345</v>
      </c>
      <c r="BE74" s="57"/>
      <c r="BF74" s="57"/>
      <c r="BG74" s="57"/>
      <c r="BH74" s="57" t="s">
        <v>6</v>
      </c>
      <c r="BI74" s="4" t="s">
        <v>51</v>
      </c>
      <c r="BJ74" s="13"/>
      <c r="BK74" s="13"/>
      <c r="BL74" s="13"/>
      <c r="BM74" s="13"/>
      <c r="BN74" s="13"/>
      <c r="BO74" s="13"/>
      <c r="BP74" s="13"/>
      <c r="BQ74" s="13"/>
      <c r="BR74" s="13"/>
      <c r="BS74" s="13"/>
      <c r="BT74" s="13"/>
      <c r="BU74" s="13"/>
      <c r="BV74" s="13"/>
      <c r="BW74" s="13"/>
    </row>
    <row r="75" spans="2:75" ht="22.5" customHeight="1" x14ac:dyDescent="0.35">
      <c r="B75">
        <f ca="1">COUNTIF($F$7:F78,"Produkt I varukorg*")</f>
        <v>3</v>
      </c>
      <c r="F75" s="51" t="str">
        <f>IF(D99&lt;1,"Inget antal angivet",IFERROR(INDEX($V$77:$V$88,MATCH(F72,$W$77:$W$88,0)),"Ingen produkt motsvarar"))</f>
        <v>Inget antal angivet</v>
      </c>
      <c r="G75" s="52">
        <f ca="1">IFERROR(P77,"Ingen produkt motsvarar")</f>
        <v>1981</v>
      </c>
      <c r="H75" s="52">
        <f ca="1">IFERROR(P78,"")</f>
        <v>2034</v>
      </c>
      <c r="I75" s="52">
        <f ca="1">IFERROR(P79,"")</f>
        <v>2076</v>
      </c>
      <c r="W75" t="str">
        <f>IF(COUNTIF(X75:AF75,FALSE)&gt;0,AG75,"")</f>
        <v/>
      </c>
      <c r="X75" t="b">
        <f>IF($D$78="",TRUE,IF(AI75=$D$78,TRUE,FALSE))</f>
        <v>1</v>
      </c>
      <c r="Y75" t="b">
        <f>IF(D77="",TRUE,IF(AJ75=$D$79,TRUE,FALSE))</f>
        <v>1</v>
      </c>
      <c r="Z75" t="b">
        <f>IF(D78="",TRUE,IF(AK75=D78,TRUE,FALSE))</f>
        <v>1</v>
      </c>
      <c r="AA75" t="b">
        <f>IF(D79="",TRUE,IF(AL75=D79,TRUE,FALSE))</f>
        <v>1</v>
      </c>
      <c r="AB75" t="b">
        <f>IF(D83="",TRUE,IF(AM75=D83,TRUE,FALSE))</f>
        <v>1</v>
      </c>
      <c r="AC75" t="b">
        <f>IF(D84="",TRUE,IF(AN75=D84,TRUE,FALSE))</f>
        <v>1</v>
      </c>
      <c r="AE75" t="b">
        <f>IF(D82="",TRUE,IF(AO75=D82,TRUE,FALSE))</f>
        <v>1</v>
      </c>
      <c r="AF75" t="b">
        <f>IFERROR(IF($D85="",TRUE,IF(MID(AT75,LEN(AT75)-2,1)*1&gt;=MID($D85,LEN($D85)-2,1)*1,TRUE,FALSE)),FALSE)</f>
        <v>1</v>
      </c>
      <c r="AG75" t="s">
        <v>126</v>
      </c>
      <c r="AI75" s="58" t="str">
        <f t="shared" ref="AI75:BI75" ca="1" si="57">IFERROR(INDEX(INDIRECT(AI$72&amp;"!$A$10:CC100000"),MATCH($AG75,INDIRECT(AI$72&amp;"!BH$10:BH100000"),0),MATCH(AI$74,INDIRECT(AI$72&amp;"!a10:CC10"),0)),"False")</f>
        <v>False</v>
      </c>
      <c r="AJ75" s="58" t="str">
        <f t="shared" ca="1" si="57"/>
        <v>False</v>
      </c>
      <c r="AK75" s="58" t="str">
        <f t="shared" ca="1" si="57"/>
        <v>False</v>
      </c>
      <c r="AL75" s="58" t="str">
        <f t="shared" ca="1" si="57"/>
        <v>False</v>
      </c>
      <c r="AM75" s="58" t="str">
        <f t="shared" ca="1" si="57"/>
        <v>False</v>
      </c>
      <c r="AN75" s="58" t="str">
        <f t="shared" ca="1" si="57"/>
        <v>False</v>
      </c>
      <c r="AO75" s="58" t="str">
        <f t="shared" ca="1" si="57"/>
        <v>False</v>
      </c>
      <c r="AP75" s="58" t="str">
        <f t="shared" ca="1" si="57"/>
        <v>False</v>
      </c>
      <c r="AQ75" s="58" t="str">
        <f t="shared" ca="1" si="57"/>
        <v>False</v>
      </c>
      <c r="AR75" s="58" t="str">
        <f t="shared" ca="1" si="57"/>
        <v>False</v>
      </c>
      <c r="AS75" s="58" t="str">
        <f t="shared" ca="1" si="57"/>
        <v>False</v>
      </c>
      <c r="AT75" s="58" t="str">
        <f t="shared" ca="1" si="57"/>
        <v>False</v>
      </c>
      <c r="AU75" s="58" t="str">
        <f t="shared" ca="1" si="57"/>
        <v>False</v>
      </c>
      <c r="AV75" s="58" t="str">
        <f t="shared" ca="1" si="57"/>
        <v>False</v>
      </c>
      <c r="AW75" s="58" t="str">
        <f t="shared" ca="1" si="57"/>
        <v>False</v>
      </c>
      <c r="AX75" s="58" t="str">
        <f t="shared" ca="1" si="57"/>
        <v>False</v>
      </c>
      <c r="AY75" s="58" t="str">
        <f t="shared" ca="1" si="57"/>
        <v>False</v>
      </c>
      <c r="AZ75" s="58" t="str">
        <f t="shared" ca="1" si="57"/>
        <v>False</v>
      </c>
      <c r="BA75" s="58" t="str">
        <f t="shared" ca="1" si="57"/>
        <v>False</v>
      </c>
      <c r="BB75" s="58" t="str">
        <f t="shared" ca="1" si="57"/>
        <v>False</v>
      </c>
      <c r="BC75" s="58" t="str">
        <f t="shared" ca="1" si="57"/>
        <v>False</v>
      </c>
      <c r="BD75" s="58" t="str">
        <f t="shared" ca="1" si="57"/>
        <v>False</v>
      </c>
      <c r="BE75" s="58" t="str">
        <f t="shared" ca="1" si="57"/>
        <v>False</v>
      </c>
      <c r="BF75" s="58" t="str">
        <f t="shared" ca="1" si="57"/>
        <v>False</v>
      </c>
      <c r="BG75" s="58" t="str">
        <f t="shared" ca="1" si="57"/>
        <v>False</v>
      </c>
      <c r="BH75" s="58" t="str">
        <f t="shared" ca="1" si="57"/>
        <v>False</v>
      </c>
      <c r="BI75" s="58" t="str">
        <f t="shared" ca="1" si="57"/>
        <v>False</v>
      </c>
      <c r="BJ75" s="58"/>
      <c r="BK75" s="58"/>
      <c r="BL75" s="58"/>
      <c r="BM75" s="58"/>
      <c r="BN75" s="58"/>
      <c r="BO75" s="58"/>
      <c r="BP75" s="58"/>
      <c r="BQ75" s="58"/>
      <c r="BR75" s="58"/>
      <c r="BS75" s="58"/>
      <c r="BT75" s="58"/>
      <c r="BU75" s="58"/>
      <c r="BV75" s="58"/>
      <c r="BW75" s="58"/>
    </row>
    <row r="76" spans="2:75" ht="22.5" customHeight="1" x14ac:dyDescent="0.35">
      <c r="C76" s="210" t="str">
        <f ca="1" xml:space="preserve"> "Bildskärm "  &amp; RIGHT("00" &amp; B75,2)</f>
        <v>Bildskärm 03</v>
      </c>
      <c r="D76" s="211"/>
      <c r="F76" s="103" t="str">
        <f>IF(F$75="Inget antal angivet","",IFERROR(INDEX($AI$76:$BI$101,MATCH(F$72,$AG$76:$AG$101,0),MATCH("Modellbenämning",$AI$76:$BI$76,0)),""))</f>
        <v/>
      </c>
      <c r="G76" s="103" t="str">
        <f ca="1">IFERROR(INDEX($AI$76:$BI$101,MATCH(G$72,$AG$76:$AG$101,0),MATCH("Modellbenämning",$AI$76:$BI$76,0)),"")</f>
        <v>HP E24i G4 - E-Series - LED-skärm</v>
      </c>
      <c r="H76" s="103" t="str">
        <f ca="1">IFERROR(INDEX($AI$76:$BI$101,MATCH(H$72,$AG$76:$AG$101,0),MATCH("Modellbenämning",$AI$76:$BI$76,0)),"")</f>
        <v>F24T450FQR</v>
      </c>
      <c r="I76" s="103" t="str">
        <f ca="1">IFERROR(INDEX($AI$76:$BI$101,MATCH(I$72,$AG$76:$AG$101,0),MATCH("Modellbenämning",$AI$76:$BI$76,0)),"")</f>
        <v>P2422h</v>
      </c>
      <c r="J76" s="93"/>
      <c r="K76" s="103"/>
      <c r="L76" s="103"/>
      <c r="M76" s="103"/>
      <c r="N76" s="103" t="e">
        <f ca="1">INDEX($N$77:$N$82,MATCH(Överblick!$L$2,$M$77:$M$82,0))</f>
        <v>#N/A</v>
      </c>
      <c r="O76" s="103"/>
      <c r="P76" s="103"/>
      <c r="Q76" s="103"/>
      <c r="R76" s="103">
        <v>1</v>
      </c>
      <c r="S76" s="103">
        <v>2</v>
      </c>
      <c r="T76" s="103">
        <v>3</v>
      </c>
      <c r="U76" s="103">
        <v>5</v>
      </c>
      <c r="V76" s="103"/>
      <c r="W76" s="103" t="s">
        <v>122</v>
      </c>
      <c r="X76" s="103" t="s">
        <v>7</v>
      </c>
      <c r="Y76" s="103" t="s">
        <v>2</v>
      </c>
      <c r="Z76" s="103" t="s">
        <v>67</v>
      </c>
      <c r="AA76" s="103" t="s">
        <v>68</v>
      </c>
      <c r="AB76" s="103" t="s">
        <v>73</v>
      </c>
      <c r="AC76" s="103" t="s">
        <v>13</v>
      </c>
      <c r="AD76" s="103"/>
      <c r="AE76" s="103" t="s">
        <v>14</v>
      </c>
      <c r="AF76" s="103" t="s">
        <v>38</v>
      </c>
      <c r="AG76" s="103" t="s">
        <v>222</v>
      </c>
      <c r="AH76" s="103">
        <v>1</v>
      </c>
      <c r="AI76" s="103" t="s">
        <v>7</v>
      </c>
      <c r="AJ76" s="103" t="s">
        <v>2</v>
      </c>
      <c r="AK76" s="103" t="s">
        <v>67</v>
      </c>
      <c r="AL76" s="103" t="s">
        <v>68</v>
      </c>
      <c r="AM76" s="103" t="s">
        <v>73</v>
      </c>
      <c r="AN76" s="103" t="s">
        <v>13</v>
      </c>
      <c r="AO76" s="103" t="s">
        <v>14</v>
      </c>
      <c r="AP76" s="103" t="s">
        <v>38</v>
      </c>
      <c r="AQ76" s="103" t="s">
        <v>37</v>
      </c>
      <c r="AR76" s="103" t="s">
        <v>75</v>
      </c>
      <c r="AS76" s="103" t="s">
        <v>120</v>
      </c>
      <c r="AT76" s="103" t="s">
        <v>38</v>
      </c>
      <c r="AU76" s="103" t="s">
        <v>37</v>
      </c>
      <c r="AV76" s="103" t="s">
        <v>3</v>
      </c>
      <c r="AW76" s="103" t="s">
        <v>52</v>
      </c>
      <c r="AX76" s="103" t="s">
        <v>25</v>
      </c>
      <c r="AY76" s="103" t="s">
        <v>53</v>
      </c>
      <c r="AZ76" s="103" t="s">
        <v>228</v>
      </c>
      <c r="BA76" s="103" t="s">
        <v>229</v>
      </c>
      <c r="BB76" s="103" t="s">
        <v>230</v>
      </c>
      <c r="BC76" s="103" t="s">
        <v>340</v>
      </c>
      <c r="BD76" s="103" t="s">
        <v>345</v>
      </c>
      <c r="BE76" s="103"/>
      <c r="BF76" s="103"/>
      <c r="BG76" s="103"/>
      <c r="BH76" s="103" t="s">
        <v>6</v>
      </c>
      <c r="BI76" s="103" t="s">
        <v>51</v>
      </c>
      <c r="BJ76" s="103" t="s">
        <v>7</v>
      </c>
      <c r="BK76" s="103" t="s">
        <v>2</v>
      </c>
      <c r="BL76" s="103" t="s">
        <v>67</v>
      </c>
      <c r="BM76" s="103" t="s">
        <v>68</v>
      </c>
      <c r="BN76" s="103" t="s">
        <v>73</v>
      </c>
      <c r="BO76" s="103" t="s">
        <v>13</v>
      </c>
      <c r="BP76" s="103" t="s">
        <v>14</v>
      </c>
      <c r="BQ76" s="103" t="s">
        <v>38</v>
      </c>
      <c r="BR76" s="103" t="s">
        <v>37</v>
      </c>
      <c r="BS76" s="103" t="s">
        <v>120</v>
      </c>
      <c r="BT76" s="103" t="s">
        <v>38</v>
      </c>
      <c r="BU76" s="103" t="s">
        <v>37</v>
      </c>
      <c r="BV76" s="103" t="s">
        <v>3</v>
      </c>
    </row>
    <row r="77" spans="2:75" ht="22.5" customHeight="1" outlineLevel="1" x14ac:dyDescent="0.35">
      <c r="C77" s="210" t="s">
        <v>261</v>
      </c>
      <c r="D77" s="211"/>
      <c r="F77" s="76" t="str">
        <f>IF(F$75="Inget antal angivet","",IFERROR(INDEX($AI$76:$BI$101,MATCH(F$72,$AG$76:$AG$101,0),MATCH("Varumärke",$AI$76:$BI$76,0)),""))</f>
        <v/>
      </c>
      <c r="G77" s="77" t="str">
        <f ca="1">IFERROR(INDEX($AI$76:$BI$101,MATCH(G$72,$AG$76:$AG$101,0),MATCH("Varumärke",$AI$76:$BI$76,0)),"")</f>
        <v>HP</v>
      </c>
      <c r="H77" s="77" t="str">
        <f ca="1">IFERROR(INDEX($AI$76:$BI$101,MATCH(H$72,$AG$76:$AG$101,0),MATCH("Varumärke",$AI$76:$BI$76,0)),"")</f>
        <v>Samsung</v>
      </c>
      <c r="I77" s="119" t="str">
        <f ca="1">IFERROR(INDEX($AI$76:$BI$101,MATCH(I$72,$AG$76:$AG$101,0),MATCH("Varumärke",$AI$76:$BI$76,0)),"")</f>
        <v>Dell</v>
      </c>
      <c r="K77" s="196">
        <f t="shared" ref="K77:K82" ca="1" si="58">O77*$D$99</f>
        <v>0</v>
      </c>
      <c r="L77" s="185" t="b">
        <f t="shared" ref="L77:L82" si="59">IF($D$99=0,TRUE,IF(K77=0,FALSE,TRUE))</f>
        <v>1</v>
      </c>
      <c r="M77" s="185" t="s">
        <v>162</v>
      </c>
      <c r="N77" s="185" t="str">
        <f t="shared" ref="N77:N82" ca="1" si="60">IFERROR(INDEX($W$77:$W$88,MATCH(O77,$V$77:$V$87,0)),"")</f>
        <v>Offererad produktnr. 11Advania Sverige AB</v>
      </c>
      <c r="O77" s="185" cm="1">
        <f t="array" aca="1" ref="O77" ca="1">MIN(IF(($BH$77:$BH$88=M77)*($AH$77:$AH$88=$O$74),$V$77:$V$88))</f>
        <v>1981</v>
      </c>
      <c r="P77" s="197">
        <f ca="1">IFERROR(SMALL($V$77:$V$101,1),"")</f>
        <v>1981</v>
      </c>
      <c r="Q77" s="185">
        <f t="shared" ref="Q77:Q86" si="61">SUM(R77:U77)</f>
        <v>0</v>
      </c>
      <c r="R77" s="185">
        <f t="shared" ref="R77:R86" si="62">IF($D$89="",0,AY77)</f>
        <v>0</v>
      </c>
      <c r="S77" s="185">
        <f t="shared" ref="S77:S86" si="63">IF($D$93="",0,AZ77)</f>
        <v>0</v>
      </c>
      <c r="T77" s="185">
        <f t="shared" ref="T77:T86" si="64">IF($D$94="",0,BA77)</f>
        <v>0</v>
      </c>
      <c r="U77" s="185">
        <f t="shared" ref="U77:U86" si="65">IF($D$95="",0,BD77)</f>
        <v>0</v>
      </c>
      <c r="V77" s="196">
        <f t="shared" ref="V77:V86" ca="1" si="66">IF(W77="","",SUM(AX77,R77:U77))</f>
        <v>1981</v>
      </c>
      <c r="W77" s="185" t="str">
        <f t="shared" ref="W77:W86" si="67">IF(COUNTIF(X77:AF77,FALSE)&gt;0,"",AG77)</f>
        <v>Offererad produktnr. 11Advania Sverige AB</v>
      </c>
      <c r="X77" s="185" t="b">
        <f>IF($D$78="",TRUE,IF(COUNTIF(Processor!$I$2:$I$9,$D$78)&gt;0,AND(AI77&gt;INDEX(Processor!$J$2:$J$9,MATCH($D$78,Processor!$I$2:$I$9,0)),AI77&lt;INDEX(Processor!$K$2:$K$9,MATCH($D$78,Processor!$I$2:$I$9,0))),IF(AI77=$D$78,TRUE,FALSE)))</f>
        <v>1</v>
      </c>
      <c r="Y77" s="185" t="b">
        <f t="shared" ref="Y77:Y86" si="68">IFERROR(IF($D$79="",TRUE,IF(AND(IF(LEFT(RIGHT($D$79,4),4)*1&lt;=1*LEFT(AJ77,4),TRUE,FALSE),IF(RIGHT(AJ77,LEN(AJ77)-FIND("x",AJ77))*1&gt;=1*RIGHT(RIGHT($D$79,4),4),TRUE,FALSE)),TRUE,FALSE)),0)</f>
        <v>1</v>
      </c>
      <c r="Z77" s="185" t="b">
        <f t="shared" ref="Z77:Z86" si="69">IF($D$80="",TRUE,IF(AK77&gt;=$D$80,TRUE,FALSE))</f>
        <v>1</v>
      </c>
      <c r="AA77" s="185" t="b">
        <f t="shared" ref="AA77:AA86" si="70">IF($D$81="",TRUE,IF(AL77&gt;=$D$81,TRUE,FALSE))</f>
        <v>1</v>
      </c>
      <c r="AB77" s="185" t="b">
        <f t="shared" ref="AB77:AB86" si="71">IF($D$82="",TRUE,IF(AM77&gt;=$D$82,TRUE,FALSE))</f>
        <v>1</v>
      </c>
      <c r="AC77" s="185" t="b">
        <f t="shared" ref="AC77:AC86" si="72">IF($D$83="",TRUE,IF(AN77&gt;=$D$83,TRUE,FALSE))</f>
        <v>1</v>
      </c>
      <c r="AD77" s="185"/>
      <c r="AE77" s="185" t="b">
        <f t="shared" ref="AE77:AE86" si="73">IF($D$84="",TRUE,IF(AO77&gt;=$D$84,TRUE,FALSE))</f>
        <v>1</v>
      </c>
      <c r="AF77" s="185" t="b">
        <f>IFERROR(IF($D85="",TRUE,IF(MID(AT77,LEN(AT77)-2,1)*1&gt;=MID($D85,LEN($D85)-2,1)*1,TRUE,FALSE)),FALSE)</f>
        <v>1</v>
      </c>
      <c r="AG77" s="185" t="s">
        <v>208</v>
      </c>
      <c r="AH77" s="201">
        <v>1</v>
      </c>
      <c r="AI77" s="185">
        <f t="shared" ref="AI77:AR86" ca="1" si="74">IFERROR(INDEX(INDIRECT(AI$72&amp;"!$A$10:CC100000"),MATCH($AG77,INDIRECT(AI$72&amp;"!BH$10:BH100000"),0),MATCH(AI$74,INDIRECT(AI$72&amp;"!a10:CC10"),0)),"False")</f>
        <v>24</v>
      </c>
      <c r="AJ77" s="185" t="str">
        <f t="shared" ca="1" si="74"/>
        <v>1920x1080</v>
      </c>
      <c r="AK77" s="185">
        <f t="shared" ca="1" si="74"/>
        <v>4</v>
      </c>
      <c r="AL77" s="185">
        <f t="shared" ca="1" si="74"/>
        <v>0</v>
      </c>
      <c r="AM77" s="185">
        <f t="shared" ca="1" si="74"/>
        <v>1</v>
      </c>
      <c r="AN77" s="185">
        <f t="shared" ca="1" si="74"/>
        <v>16700000</v>
      </c>
      <c r="AO77" s="185">
        <f t="shared" ca="1" si="74"/>
        <v>250</v>
      </c>
      <c r="AP77" s="185" t="str">
        <f t="shared" ca="1" si="74"/>
        <v>Version 8.0</v>
      </c>
      <c r="AQ77" s="185" t="str">
        <f t="shared" ca="1" si="74"/>
        <v>Ja</v>
      </c>
      <c r="AR77" s="185">
        <f t="shared" ca="1" si="74"/>
        <v>0</v>
      </c>
      <c r="AS77" s="185">
        <f t="shared" ref="AS77:BB86" ca="1" si="75">IFERROR(INDEX(INDIRECT(AS$72&amp;"!$A$10:CC100000"),MATCH($AG77,INDIRECT(AS$72&amp;"!BH$10:BH100000"),0),MATCH(AS$74,INDIRECT(AS$72&amp;"!a10:CC10"),0)),"False")</f>
        <v>0</v>
      </c>
      <c r="AT77" s="185" t="str">
        <f t="shared" ca="1" si="75"/>
        <v>Version 8.0</v>
      </c>
      <c r="AU77" s="185" t="str">
        <f t="shared" ca="1" si="75"/>
        <v>Ja</v>
      </c>
      <c r="AV77" s="185">
        <f t="shared" ca="1" si="75"/>
        <v>0</v>
      </c>
      <c r="AW77" s="185" t="str">
        <f t="shared" ca="1" si="75"/>
        <v>HP E24i G4 - E-Series - LED-skärm</v>
      </c>
      <c r="AX77" s="185">
        <f t="shared" ca="1" si="75"/>
        <v>1981</v>
      </c>
      <c r="AY77" s="192">
        <f t="shared" ca="1" si="75"/>
        <v>639</v>
      </c>
      <c r="AZ77" s="192">
        <f t="shared" ca="1" si="75"/>
        <v>101</v>
      </c>
      <c r="BA77" s="192">
        <f t="shared" ca="1" si="75"/>
        <v>50</v>
      </c>
      <c r="BB77" s="192">
        <f t="shared" ca="1" si="75"/>
        <v>50</v>
      </c>
      <c r="BC77" s="192" t="str">
        <f t="shared" ref="BC77:BI86" ca="1" si="76">IFERROR(INDEX(INDIRECT(BC$72&amp;"!$A$10:CC100000"),MATCH($AG77,INDIRECT(BC$72&amp;"!BH$10:BH100000"),0),MATCH(BC$74,INDIRECT(BC$72&amp;"!a10:CC10"),0)),"False")</f>
        <v>eSTUFF</v>
      </c>
      <c r="BD77" s="192" t="str">
        <f t="shared" ca="1" si="76"/>
        <v>GLBB24519325 -  Filter för personlig integritet - 2-vägs - 24" - svart</v>
      </c>
      <c r="BE77" s="192" t="str">
        <f t="shared" ca="1" si="76"/>
        <v>False</v>
      </c>
      <c r="BF77" s="192" t="str">
        <f t="shared" ca="1" si="76"/>
        <v>False</v>
      </c>
      <c r="BG77" s="192" t="str">
        <f t="shared" ca="1" si="76"/>
        <v>False</v>
      </c>
      <c r="BH77" s="192" t="str">
        <f t="shared" ca="1" si="76"/>
        <v>Advania Sverige AB</v>
      </c>
      <c r="BI77" s="192" t="str">
        <f t="shared" ca="1" si="76"/>
        <v>HP</v>
      </c>
      <c r="BJ77" s="199">
        <v>23.8</v>
      </c>
      <c r="BK77" s="185" t="s">
        <v>71</v>
      </c>
      <c r="BL77" s="185">
        <v>0</v>
      </c>
      <c r="BM77" s="185">
        <v>1</v>
      </c>
      <c r="BN77" s="185">
        <v>1</v>
      </c>
      <c r="BO77" s="185">
        <v>16700000</v>
      </c>
      <c r="BP77" s="185">
        <v>250</v>
      </c>
      <c r="BQ77" s="185" t="s">
        <v>352</v>
      </c>
      <c r="BR77" s="185" t="s">
        <v>69</v>
      </c>
      <c r="BS77" s="185"/>
      <c r="BT77" s="185"/>
      <c r="BU77" s="185" t="s">
        <v>352</v>
      </c>
      <c r="BV77" s="185" t="s">
        <v>69</v>
      </c>
      <c r="BW77">
        <v>0</v>
      </c>
    </row>
    <row r="78" spans="2:75" ht="22.5" customHeight="1" outlineLevel="1" x14ac:dyDescent="0.35">
      <c r="C78" s="61" t="s">
        <v>7</v>
      </c>
      <c r="D78" s="64"/>
      <c r="F78" s="78" t="str">
        <f t="shared" ref="F78:F86" si="77">IF(F$75="Inget antal angivet","",IFERROR(INDEX($AI$76:$BI$101,MATCH(F$72,$AG$76:$AG$101,0),MATCH($C78,$AI$76:$BI$76,0)),""))</f>
        <v/>
      </c>
      <c r="G78" s="79">
        <f t="shared" ref="G78:I86" ca="1" si="78">IFERROR(INDEX($AI$76:$BI$101,MATCH(G$72,$AG$76:$AG$101,0),MATCH($C78,$AI$76:$BI$76,0)),"")</f>
        <v>24</v>
      </c>
      <c r="H78" s="79">
        <f t="shared" ca="1" si="78"/>
        <v>23.8</v>
      </c>
      <c r="I78" s="120">
        <f t="shared" ca="1" si="78"/>
        <v>23.8</v>
      </c>
      <c r="J78" s="62"/>
      <c r="K78" s="196">
        <f t="shared" ca="1" si="58"/>
        <v>0</v>
      </c>
      <c r="L78" s="185" t="b">
        <f t="shared" si="59"/>
        <v>1</v>
      </c>
      <c r="M78" s="185" t="s">
        <v>150</v>
      </c>
      <c r="N78" s="185" t="str">
        <f t="shared" ca="1" si="60"/>
        <v>Offererad produktnr. 11Atea Sverige AB</v>
      </c>
      <c r="O78" s="185" cm="1">
        <f t="array" aca="1" ref="O78" ca="1">MIN(IF(($BH$77:$BH$88=M78)*($AH$77:$AH$88=$O$74),$V$77:$V$88))</f>
        <v>2034</v>
      </c>
      <c r="P78" s="197">
        <f ca="1">IFERROR(SMALL($V$77:$V$101,2),"")</f>
        <v>2034</v>
      </c>
      <c r="Q78" s="185">
        <f t="shared" si="61"/>
        <v>0</v>
      </c>
      <c r="R78" s="185">
        <f t="shared" si="62"/>
        <v>0</v>
      </c>
      <c r="S78" s="185">
        <f t="shared" si="63"/>
        <v>0</v>
      </c>
      <c r="T78" s="185">
        <f t="shared" si="64"/>
        <v>0</v>
      </c>
      <c r="U78" s="185">
        <f t="shared" si="65"/>
        <v>0</v>
      </c>
      <c r="V78" s="196">
        <f t="shared" ca="1" si="66"/>
        <v>3060</v>
      </c>
      <c r="W78" s="185" t="str">
        <f t="shared" si="67"/>
        <v>Offererad produktnr. 12Advania Sverige AB</v>
      </c>
      <c r="X78" s="185" t="b">
        <f>IF($D$78="",TRUE,IF(COUNTIF(Processor!$I$2:$I$9,$D$78)&gt;0,AND(AI78&gt;INDEX(Processor!$J$2:$J$9,MATCH($D$78,Processor!$I$2:$I$9,0)),AI78&lt;INDEX(Processor!$K$2:$K$9,MATCH($D$78,Processor!$I$2:$I$9,0))),IF(AI78=$D$78,TRUE,FALSE)))</f>
        <v>1</v>
      </c>
      <c r="Y78" s="185" t="b">
        <f t="shared" si="68"/>
        <v>1</v>
      </c>
      <c r="Z78" s="185" t="b">
        <f t="shared" si="69"/>
        <v>1</v>
      </c>
      <c r="AA78" s="185" t="b">
        <f t="shared" si="70"/>
        <v>1</v>
      </c>
      <c r="AB78" s="185" t="b">
        <f t="shared" si="71"/>
        <v>1</v>
      </c>
      <c r="AC78" s="185" t="b">
        <f t="shared" si="72"/>
        <v>1</v>
      </c>
      <c r="AD78" s="185"/>
      <c r="AE78" s="185" t="b">
        <f t="shared" si="73"/>
        <v>1</v>
      </c>
      <c r="AF78" s="185" t="b">
        <f>IFERROR(IF($D85="",TRUE,IF(MID(AT78,LEN(AT78)-2,1)*1&gt;=MID($D85,LEN($D85)-2,1)*1,TRUE,FALSE)),FALSE)</f>
        <v>1</v>
      </c>
      <c r="AG78" s="185" t="s">
        <v>209</v>
      </c>
      <c r="AH78" s="201">
        <v>1</v>
      </c>
      <c r="AI78" s="185">
        <f t="shared" ca="1" si="74"/>
        <v>27</v>
      </c>
      <c r="AJ78" s="185" t="str">
        <f t="shared" ca="1" si="74"/>
        <v>2560x1440</v>
      </c>
      <c r="AK78" s="185">
        <f t="shared" ca="1" si="74"/>
        <v>4</v>
      </c>
      <c r="AL78" s="185">
        <f t="shared" ca="1" si="74"/>
        <v>0</v>
      </c>
      <c r="AM78" s="185">
        <f t="shared" ca="1" si="74"/>
        <v>1</v>
      </c>
      <c r="AN78" s="185">
        <f t="shared" ca="1" si="74"/>
        <v>16700000</v>
      </c>
      <c r="AO78" s="185">
        <f t="shared" ca="1" si="74"/>
        <v>350</v>
      </c>
      <c r="AP78" s="185" t="str">
        <f t="shared" ca="1" si="74"/>
        <v>Version 8.0</v>
      </c>
      <c r="AQ78" s="185" t="str">
        <f t="shared" ca="1" si="74"/>
        <v>Ja</v>
      </c>
      <c r="AR78" s="185">
        <f t="shared" ca="1" si="74"/>
        <v>0</v>
      </c>
      <c r="AS78" s="185">
        <f t="shared" ca="1" si="75"/>
        <v>0</v>
      </c>
      <c r="AT78" s="185" t="str">
        <f t="shared" ca="1" si="75"/>
        <v>Version 8.0</v>
      </c>
      <c r="AU78" s="185" t="str">
        <f t="shared" ca="1" si="75"/>
        <v>Ja</v>
      </c>
      <c r="AV78" s="185">
        <f t="shared" ca="1" si="75"/>
        <v>0</v>
      </c>
      <c r="AW78" s="185" t="str">
        <f t="shared" ca="1" si="75"/>
        <v>HP E27q G5 - E-Series</v>
      </c>
      <c r="AX78" s="185">
        <f t="shared" ca="1" si="75"/>
        <v>3060</v>
      </c>
      <c r="AY78" s="192">
        <f t="shared" ca="1" si="75"/>
        <v>815</v>
      </c>
      <c r="AZ78" s="192">
        <f t="shared" ca="1" si="75"/>
        <v>101</v>
      </c>
      <c r="BA78" s="192">
        <f t="shared" ca="1" si="75"/>
        <v>50</v>
      </c>
      <c r="BB78" s="192">
        <f t="shared" ca="1" si="75"/>
        <v>50</v>
      </c>
      <c r="BC78" s="192" t="str">
        <f t="shared" ca="1" si="76"/>
        <v>eSTUFF</v>
      </c>
      <c r="BD78" s="192" t="str">
        <f t="shared" ca="1" si="76"/>
        <v>GLBB27598337 - Filter för personlig integritet - 2-vägs - 27" - svart</v>
      </c>
      <c r="BE78" s="192" t="str">
        <f t="shared" ca="1" si="76"/>
        <v>False</v>
      </c>
      <c r="BF78" s="192" t="str">
        <f t="shared" ca="1" si="76"/>
        <v>False</v>
      </c>
      <c r="BG78" s="192" t="str">
        <f t="shared" ca="1" si="76"/>
        <v>False</v>
      </c>
      <c r="BH78" s="192" t="str">
        <f t="shared" ca="1" si="76"/>
        <v>Advania Sverige AB</v>
      </c>
      <c r="BI78" s="192" t="str">
        <f t="shared" ca="1" si="76"/>
        <v>HP</v>
      </c>
      <c r="BJ78" s="199">
        <v>24</v>
      </c>
      <c r="BK78" s="185" t="s">
        <v>92</v>
      </c>
      <c r="BL78" s="185">
        <v>2</v>
      </c>
      <c r="BM78" s="185">
        <v>2</v>
      </c>
      <c r="BN78" s="185"/>
      <c r="BO78" s="185">
        <v>1070000000</v>
      </c>
      <c r="BP78" s="185">
        <v>300</v>
      </c>
      <c r="BQ78" s="185"/>
      <c r="BR78" s="185"/>
      <c r="BS78" s="185"/>
      <c r="BT78" s="185"/>
      <c r="BU78" s="185"/>
      <c r="BV78" s="185"/>
      <c r="BW78">
        <v>0</v>
      </c>
    </row>
    <row r="79" spans="2:75" ht="22.5" customHeight="1" outlineLevel="1" x14ac:dyDescent="0.35">
      <c r="C79" s="61" t="s">
        <v>2</v>
      </c>
      <c r="D79" s="64"/>
      <c r="F79" s="78" t="str">
        <f t="shared" si="77"/>
        <v/>
      </c>
      <c r="G79" s="79" t="str">
        <f t="shared" ca="1" si="78"/>
        <v>1920x1080</v>
      </c>
      <c r="H79" s="79" t="str">
        <f t="shared" ca="1" si="78"/>
        <v>1920x1080</v>
      </c>
      <c r="I79" s="120" t="str">
        <f t="shared" ca="1" si="78"/>
        <v>1920x1080</v>
      </c>
      <c r="J79" s="62"/>
      <c r="K79" s="196">
        <f t="shared" ca="1" si="58"/>
        <v>0</v>
      </c>
      <c r="L79" s="185" t="b">
        <f t="shared" si="59"/>
        <v>1</v>
      </c>
      <c r="M79" s="185" t="s">
        <v>128</v>
      </c>
      <c r="N79" s="185" t="str">
        <f t="shared" ca="1" si="60"/>
        <v>Offererad produktnr. 11Dustin Sverige AB</v>
      </c>
      <c r="O79" s="185" cm="1">
        <f t="array" aca="1" ref="O79" ca="1">MIN(IF(($BH$77:$BH$88=M79)*($AH$77:$AH$88=$O$74),$V$77:$V$88))</f>
        <v>2190</v>
      </c>
      <c r="P79" s="197">
        <f ca="1">IFERROR(SMALL($V$77:$V$101,3),"")</f>
        <v>2076</v>
      </c>
      <c r="Q79" s="185">
        <f t="shared" si="61"/>
        <v>0</v>
      </c>
      <c r="R79" s="185">
        <f t="shared" si="62"/>
        <v>0</v>
      </c>
      <c r="S79" s="185">
        <f t="shared" si="63"/>
        <v>0</v>
      </c>
      <c r="T79" s="185">
        <f t="shared" si="64"/>
        <v>0</v>
      </c>
      <c r="U79" s="185">
        <f t="shared" si="65"/>
        <v>0</v>
      </c>
      <c r="V79" s="196">
        <f t="shared" ca="1" si="66"/>
        <v>2034</v>
      </c>
      <c r="W79" s="185" t="str">
        <f t="shared" si="67"/>
        <v>Offererad produktnr. 11Atea Sverige AB</v>
      </c>
      <c r="X79" s="185" t="b">
        <f>IF($D$78="",TRUE,IF(COUNTIF(Processor!$I$2:$I$9,$D$78)&gt;0,AND(AI79&gt;INDEX(Processor!$J$2:$J$9,MATCH($D$78,Processor!$I$2:$I$9,0)),AI79&lt;INDEX(Processor!$K$2:$K$9,MATCH($D$78,Processor!$I$2:$I$9,0))),IF(AI79=$D$78,TRUE,FALSE)))</f>
        <v>1</v>
      </c>
      <c r="Y79" s="185" t="b">
        <f t="shared" si="68"/>
        <v>1</v>
      </c>
      <c r="Z79" s="185" t="b">
        <f t="shared" si="69"/>
        <v>1</v>
      </c>
      <c r="AA79" s="185" t="b">
        <f t="shared" si="70"/>
        <v>1</v>
      </c>
      <c r="AB79" s="185" t="b">
        <f t="shared" si="71"/>
        <v>1</v>
      </c>
      <c r="AC79" s="185" t="b">
        <f t="shared" si="72"/>
        <v>1</v>
      </c>
      <c r="AD79" s="185"/>
      <c r="AE79" s="185" t="b">
        <f t="shared" si="73"/>
        <v>1</v>
      </c>
      <c r="AF79" s="185" t="b">
        <f>IFERROR(IF($D85="",TRUE,IF(MID(AT79,LEN(AT79)-2,1)*1&gt;=MID($D85,LEN($D85)-2,1)*1,TRUE,FALSE)),FALSE)</f>
        <v>1</v>
      </c>
      <c r="AG79" s="185" t="s">
        <v>196</v>
      </c>
      <c r="AH79" s="201">
        <v>1</v>
      </c>
      <c r="AI79" s="185">
        <f t="shared" ca="1" si="74"/>
        <v>23.8</v>
      </c>
      <c r="AJ79" s="185" t="str">
        <f t="shared" ca="1" si="74"/>
        <v>1920x1080</v>
      </c>
      <c r="AK79" s="185">
        <f t="shared" ca="1" si="74"/>
        <v>2</v>
      </c>
      <c r="AL79" s="185">
        <f t="shared" ca="1" si="74"/>
        <v>0</v>
      </c>
      <c r="AM79" s="185">
        <f t="shared" ca="1" si="74"/>
        <v>1</v>
      </c>
      <c r="AN79" s="185">
        <f t="shared" ca="1" si="74"/>
        <v>16700000</v>
      </c>
      <c r="AO79" s="185">
        <f t="shared" ca="1" si="74"/>
        <v>250</v>
      </c>
      <c r="AP79" s="185" t="str">
        <f t="shared" ca="1" si="74"/>
        <v>Version 8.0</v>
      </c>
      <c r="AQ79" s="185" t="str">
        <f t="shared" ca="1" si="74"/>
        <v>Ja</v>
      </c>
      <c r="AR79" s="185">
        <f t="shared" ca="1" si="74"/>
        <v>0</v>
      </c>
      <c r="AS79" s="185">
        <f t="shared" ca="1" si="75"/>
        <v>0</v>
      </c>
      <c r="AT79" s="185" t="str">
        <f t="shared" ca="1" si="75"/>
        <v>Version 8.0</v>
      </c>
      <c r="AU79" s="185" t="str">
        <f t="shared" ca="1" si="75"/>
        <v>Ja</v>
      </c>
      <c r="AV79" s="185">
        <f t="shared" ca="1" si="75"/>
        <v>0</v>
      </c>
      <c r="AW79" s="185" t="str">
        <f t="shared" ca="1" si="75"/>
        <v>F24T450FQR</v>
      </c>
      <c r="AX79" s="185">
        <f t="shared" ca="1" si="75"/>
        <v>2034</v>
      </c>
      <c r="AY79" s="192">
        <f t="shared" ca="1" si="75"/>
        <v>778</v>
      </c>
      <c r="AZ79" s="192">
        <f t="shared" ca="1" si="75"/>
        <v>94</v>
      </c>
      <c r="BA79" s="192">
        <f t="shared" ca="1" si="75"/>
        <v>85</v>
      </c>
      <c r="BB79" s="192">
        <f t="shared" ca="1" si="75"/>
        <v>100</v>
      </c>
      <c r="BC79" s="192" t="str">
        <f t="shared" ca="1" si="76"/>
        <v>Targus</v>
      </c>
      <c r="BD79" s="192" t="str">
        <f t="shared" ca="1" si="76"/>
        <v>Targus Privacy Screen - filter för personlig integritet - 23,8 tum bred</v>
      </c>
      <c r="BE79" s="192" t="str">
        <f t="shared" ca="1" si="76"/>
        <v>False</v>
      </c>
      <c r="BF79" s="192" t="str">
        <f t="shared" ca="1" si="76"/>
        <v>False</v>
      </c>
      <c r="BG79" s="192" t="str">
        <f t="shared" ca="1" si="76"/>
        <v>False</v>
      </c>
      <c r="BH79" s="192" t="str">
        <f t="shared" ca="1" si="76"/>
        <v>Atea Sverige AB</v>
      </c>
      <c r="BI79" s="192" t="str">
        <f t="shared" ca="1" si="76"/>
        <v>Samsung</v>
      </c>
      <c r="BJ79" s="199">
        <v>27</v>
      </c>
      <c r="BK79" s="185"/>
      <c r="BL79" s="185">
        <v>4</v>
      </c>
      <c r="BM79" s="185"/>
      <c r="BN79" s="185"/>
      <c r="BO79" s="185"/>
      <c r="BP79" s="185">
        <v>350</v>
      </c>
      <c r="BQ79" s="185"/>
      <c r="BR79" s="185"/>
      <c r="BS79" s="185"/>
      <c r="BT79" s="185"/>
      <c r="BU79" s="185"/>
      <c r="BV79" s="185"/>
    </row>
    <row r="80" spans="2:75" ht="22.5" customHeight="1" outlineLevel="1" x14ac:dyDescent="0.35">
      <c r="B80" t="s">
        <v>272</v>
      </c>
      <c r="C80" s="61" t="s">
        <v>67</v>
      </c>
      <c r="D80" s="64"/>
      <c r="F80" s="78" t="str">
        <f t="shared" si="77"/>
        <v/>
      </c>
      <c r="G80" s="79">
        <f t="shared" ca="1" si="78"/>
        <v>4</v>
      </c>
      <c r="H80" s="79">
        <f t="shared" ca="1" si="78"/>
        <v>2</v>
      </c>
      <c r="I80" s="120">
        <f t="shared" ca="1" si="78"/>
        <v>5</v>
      </c>
      <c r="J80" s="62"/>
      <c r="K80" s="196">
        <f t="shared" ca="1" si="58"/>
        <v>0</v>
      </c>
      <c r="L80" s="185" t="b">
        <f t="shared" si="59"/>
        <v>1</v>
      </c>
      <c r="M80" s="185" t="s">
        <v>169</v>
      </c>
      <c r="N80" s="185" t="str">
        <f t="shared" ca="1" si="60"/>
        <v>Offererad produktnr. 11Foxway Education AB</v>
      </c>
      <c r="O80" s="185" cm="1">
        <f t="array" aca="1" ref="O80" ca="1">MIN(IF(($BH$77:$BH$88=M80)*($AH$77:$AH$88=$O$74),$V$77:$V$88))</f>
        <v>2361</v>
      </c>
      <c r="P80" s="197"/>
      <c r="Q80" s="185">
        <f t="shared" si="61"/>
        <v>0</v>
      </c>
      <c r="R80" s="185">
        <f t="shared" si="62"/>
        <v>0</v>
      </c>
      <c r="S80" s="185">
        <f t="shared" si="63"/>
        <v>0</v>
      </c>
      <c r="T80" s="185">
        <f t="shared" si="64"/>
        <v>0</v>
      </c>
      <c r="U80" s="185">
        <f t="shared" si="65"/>
        <v>0</v>
      </c>
      <c r="V80" s="196">
        <f t="shared" ca="1" si="66"/>
        <v>3234</v>
      </c>
      <c r="W80" s="185" t="str">
        <f t="shared" si="67"/>
        <v>Offererad produktnr. 12Atea Sverige AB</v>
      </c>
      <c r="X80" s="185" t="b">
        <f>IF($D$78="",TRUE,IF(COUNTIF(Processor!$I$2:$I$9,$D$78)&gt;0,AND(AI80&gt;INDEX(Processor!$J$2:$J$9,MATCH($D$78,Processor!$I$2:$I$9,0)),AI80&lt;INDEX(Processor!$K$2:$K$9,MATCH($D$78,Processor!$I$2:$I$9,0))),IF(AI80=$D$78,TRUE,FALSE)))</f>
        <v>1</v>
      </c>
      <c r="Y80" s="185" t="b">
        <f t="shared" si="68"/>
        <v>1</v>
      </c>
      <c r="Z80" s="185" t="b">
        <f t="shared" si="69"/>
        <v>1</v>
      </c>
      <c r="AA80" s="185" t="b">
        <f t="shared" si="70"/>
        <v>1</v>
      </c>
      <c r="AB80" s="185" t="b">
        <f t="shared" si="71"/>
        <v>1</v>
      </c>
      <c r="AC80" s="185" t="b">
        <f t="shared" si="72"/>
        <v>1</v>
      </c>
      <c r="AD80" s="185"/>
      <c r="AE80" s="185" t="b">
        <f t="shared" si="73"/>
        <v>1</v>
      </c>
      <c r="AF80" s="185" t="b">
        <f>IFERROR(IF($D85="",TRUE,IF(MID(AT80,LEN(AT80)-2,1)*1&gt;=MID($D85,LEN($D85)-2,1)*1,TRUE,FALSE)),FALSE)</f>
        <v>1</v>
      </c>
      <c r="AG80" s="185" t="s">
        <v>197</v>
      </c>
      <c r="AH80" s="201">
        <v>1</v>
      </c>
      <c r="AI80" s="185">
        <f t="shared" ca="1" si="74"/>
        <v>27</v>
      </c>
      <c r="AJ80" s="185" t="str">
        <f t="shared" ca="1" si="74"/>
        <v>2560x1440</v>
      </c>
      <c r="AK80" s="185">
        <f t="shared" ca="1" si="74"/>
        <v>4</v>
      </c>
      <c r="AL80" s="185">
        <f t="shared" ca="1" si="74"/>
        <v>0</v>
      </c>
      <c r="AM80" s="185">
        <f t="shared" ca="1" si="74"/>
        <v>1</v>
      </c>
      <c r="AN80" s="185">
        <f t="shared" ca="1" si="74"/>
        <v>1070000000</v>
      </c>
      <c r="AO80" s="185">
        <f t="shared" ca="1" si="74"/>
        <v>300</v>
      </c>
      <c r="AP80" s="185" t="str">
        <f t="shared" ca="1" si="74"/>
        <v>Version 8.0</v>
      </c>
      <c r="AQ80" s="185" t="str">
        <f t="shared" ca="1" si="74"/>
        <v>Ja</v>
      </c>
      <c r="AR80" s="185">
        <f t="shared" ca="1" si="74"/>
        <v>0</v>
      </c>
      <c r="AS80" s="185">
        <f t="shared" ca="1" si="75"/>
        <v>0</v>
      </c>
      <c r="AT80" s="185" t="str">
        <f t="shared" ca="1" si="75"/>
        <v>Version 8.0</v>
      </c>
      <c r="AU80" s="185" t="str">
        <f t="shared" ca="1" si="75"/>
        <v>Ja</v>
      </c>
      <c r="AV80" s="185">
        <f t="shared" ca="1" si="75"/>
        <v>0</v>
      </c>
      <c r="AW80" s="185" t="str">
        <f t="shared" ca="1" si="75"/>
        <v>S27A600NAU</v>
      </c>
      <c r="AX80" s="185">
        <f t="shared" ca="1" si="75"/>
        <v>3234</v>
      </c>
      <c r="AY80" s="192">
        <f t="shared" ca="1" si="75"/>
        <v>1020</v>
      </c>
      <c r="AZ80" s="192">
        <f t="shared" ca="1" si="75"/>
        <v>164</v>
      </c>
      <c r="BA80" s="192">
        <f t="shared" ca="1" si="75"/>
        <v>85</v>
      </c>
      <c r="BB80" s="192">
        <f t="shared" ca="1" si="75"/>
        <v>100</v>
      </c>
      <c r="BC80" s="192" t="str">
        <f t="shared" ca="1" si="76"/>
        <v>Targus</v>
      </c>
      <c r="BD80" s="192" t="str">
        <f t="shared" ca="1" si="76"/>
        <v>Targus Privacy Screen 27" Widescreen (16:9) - filter för personlig integritet - 27 tum bred</v>
      </c>
      <c r="BE80" s="192" t="str">
        <f t="shared" ca="1" si="76"/>
        <v>False</v>
      </c>
      <c r="BF80" s="192" t="str">
        <f t="shared" ca="1" si="76"/>
        <v>False</v>
      </c>
      <c r="BG80" s="192" t="str">
        <f t="shared" ca="1" si="76"/>
        <v>False</v>
      </c>
      <c r="BH80" s="192" t="str">
        <f t="shared" ca="1" si="76"/>
        <v>Atea Sverige AB</v>
      </c>
      <c r="BI80" s="192" t="str">
        <f t="shared" ca="1" si="76"/>
        <v>Samsung</v>
      </c>
      <c r="BJ80" s="199"/>
      <c r="BK80" s="185"/>
      <c r="BL80" s="185">
        <v>5</v>
      </c>
      <c r="BM80" s="185"/>
      <c r="BN80" s="185"/>
      <c r="BO80" s="185"/>
      <c r="BP80" s="185"/>
      <c r="BQ80" s="185"/>
      <c r="BR80" s="185"/>
      <c r="BS80" s="185"/>
      <c r="BT80" s="185"/>
      <c r="BU80" s="185"/>
      <c r="BV80" s="185"/>
    </row>
    <row r="81" spans="2:61" ht="22.5" customHeight="1" outlineLevel="1" x14ac:dyDescent="0.35">
      <c r="C81" s="61" t="s">
        <v>68</v>
      </c>
      <c r="D81" s="64"/>
      <c r="F81" s="78" t="str">
        <f t="shared" si="77"/>
        <v/>
      </c>
      <c r="G81" s="79">
        <f t="shared" ca="1" si="78"/>
        <v>0</v>
      </c>
      <c r="H81" s="79">
        <f t="shared" ca="1" si="78"/>
        <v>0</v>
      </c>
      <c r="I81" s="120">
        <f t="shared" ca="1" si="78"/>
        <v>0</v>
      </c>
      <c r="J81" s="62"/>
      <c r="K81" s="196">
        <f t="shared" ca="1" si="58"/>
        <v>0</v>
      </c>
      <c r="L81" s="185" t="b">
        <f t="shared" si="59"/>
        <v>1</v>
      </c>
      <c r="M81" s="185" t="s">
        <v>167</v>
      </c>
      <c r="N81" s="185" t="str">
        <f t="shared" ca="1" si="60"/>
        <v/>
      </c>
      <c r="O81" s="185" cm="1">
        <f t="array" aca="1" ref="O81" ca="1">MIN(IF(($BH$77:$BH$88=M81)*($AH$77:$AH$88=$O$74),$V$77:$V$88))</f>
        <v>0</v>
      </c>
      <c r="P81" s="197"/>
      <c r="Q81" s="185">
        <f t="shared" si="61"/>
        <v>0</v>
      </c>
      <c r="R81" s="185">
        <f t="shared" si="62"/>
        <v>0</v>
      </c>
      <c r="S81" s="185">
        <f t="shared" si="63"/>
        <v>0</v>
      </c>
      <c r="T81" s="185">
        <f t="shared" si="64"/>
        <v>0</v>
      </c>
      <c r="U81" s="185">
        <f t="shared" si="65"/>
        <v>0</v>
      </c>
      <c r="V81" s="196">
        <f t="shared" ca="1" si="66"/>
        <v>2190</v>
      </c>
      <c r="W81" s="185" t="str">
        <f t="shared" si="67"/>
        <v>Offererad produktnr. 11Dustin Sverige AB</v>
      </c>
      <c r="X81" s="185" t="b">
        <f>IF($D$78="",TRUE,IF(COUNTIF(Processor!$I$2:$I$9,$D$78)&gt;0,AND(AI81&gt;INDEX(Processor!$J$2:$J$9,MATCH($D$78,Processor!$I$2:$I$9,0)),AI81&lt;INDEX(Processor!$K$2:$K$9,MATCH($D$78,Processor!$I$2:$I$9,0))),IF(AI81=$D$78,TRUE,FALSE)))</f>
        <v>1</v>
      </c>
      <c r="Y81" s="185" t="b">
        <f t="shared" si="68"/>
        <v>1</v>
      </c>
      <c r="Z81" s="185" t="b">
        <f t="shared" si="69"/>
        <v>1</v>
      </c>
      <c r="AA81" s="185" t="b">
        <f t="shared" si="70"/>
        <v>1</v>
      </c>
      <c r="AB81" s="185" t="b">
        <f t="shared" si="71"/>
        <v>1</v>
      </c>
      <c r="AC81" s="185" t="b">
        <f t="shared" si="72"/>
        <v>1</v>
      </c>
      <c r="AD81" s="185"/>
      <c r="AE81" s="185" t="b">
        <f t="shared" si="73"/>
        <v>1</v>
      </c>
      <c r="AF81" s="185" t="b">
        <f>IFERROR(IF($D85="",TRUE,IF(MID(AT81,LEN(AT81)-2,1)*1&gt;=MID($D85,LEN($D85)-2,1)*1,TRUE,FALSE)),FALSE)</f>
        <v>1</v>
      </c>
      <c r="AG81" s="185" t="s">
        <v>184</v>
      </c>
      <c r="AH81" s="201">
        <v>1</v>
      </c>
      <c r="AI81" s="185">
        <f t="shared" ca="1" si="74"/>
        <v>23.8</v>
      </c>
      <c r="AJ81" s="185" t="str">
        <f t="shared" ca="1" si="74"/>
        <v>1920x1080</v>
      </c>
      <c r="AK81" s="185">
        <f t="shared" ca="1" si="74"/>
        <v>0</v>
      </c>
      <c r="AL81" s="185">
        <f t="shared" ca="1" si="74"/>
        <v>0</v>
      </c>
      <c r="AM81" s="185">
        <f t="shared" ca="1" si="74"/>
        <v>1</v>
      </c>
      <c r="AN81" s="185">
        <f t="shared" ca="1" si="74"/>
        <v>16700000</v>
      </c>
      <c r="AO81" s="185">
        <f t="shared" ca="1" si="74"/>
        <v>250</v>
      </c>
      <c r="AP81" s="185" t="str">
        <f t="shared" ca="1" si="74"/>
        <v>Version 8.0</v>
      </c>
      <c r="AQ81" s="185" t="str">
        <f t="shared" ca="1" si="74"/>
        <v>Ja</v>
      </c>
      <c r="AR81" s="185">
        <f t="shared" ca="1" si="74"/>
        <v>0</v>
      </c>
      <c r="AS81" s="185">
        <f t="shared" ca="1" si="75"/>
        <v>0</v>
      </c>
      <c r="AT81" s="185" t="str">
        <f t="shared" ca="1" si="75"/>
        <v>Version 8.0</v>
      </c>
      <c r="AU81" s="185" t="str">
        <f t="shared" ca="1" si="75"/>
        <v>Ja</v>
      </c>
      <c r="AV81" s="185">
        <f t="shared" ca="1" si="75"/>
        <v>0</v>
      </c>
      <c r="AW81" s="185" t="str">
        <f t="shared" ca="1" si="75"/>
        <v>HP P24h G5</v>
      </c>
      <c r="AX81" s="185">
        <f t="shared" ca="1" si="75"/>
        <v>2190</v>
      </c>
      <c r="AY81" s="192">
        <f t="shared" ca="1" si="75"/>
        <v>620</v>
      </c>
      <c r="AZ81" s="192">
        <f t="shared" ca="1" si="75"/>
        <v>28</v>
      </c>
      <c r="BA81" s="192">
        <f t="shared" ca="1" si="75"/>
        <v>20</v>
      </c>
      <c r="BB81" s="192">
        <f t="shared" ca="1" si="75"/>
        <v>20</v>
      </c>
      <c r="BC81" s="192" t="str">
        <f t="shared" ca="1" si="76"/>
        <v>Cirafon</v>
      </c>
      <c r="BD81" s="192" t="str">
        <f t="shared" ca="1" si="76"/>
        <v>DPF23.8-9</v>
      </c>
      <c r="BE81" s="192" t="str">
        <f t="shared" ca="1" si="76"/>
        <v>False</v>
      </c>
      <c r="BF81" s="192" t="str">
        <f t="shared" ca="1" si="76"/>
        <v>False</v>
      </c>
      <c r="BG81" s="192" t="str">
        <f t="shared" ca="1" si="76"/>
        <v>False</v>
      </c>
      <c r="BH81" s="192" t="str">
        <f t="shared" ca="1" si="76"/>
        <v>Dustin Sverige AB</v>
      </c>
      <c r="BI81" s="192" t="str">
        <f t="shared" ca="1" si="76"/>
        <v>HP</v>
      </c>
    </row>
    <row r="82" spans="2:61" ht="22.5" customHeight="1" outlineLevel="1" x14ac:dyDescent="0.35">
      <c r="C82" s="61" t="s">
        <v>73</v>
      </c>
      <c r="D82" s="64"/>
      <c r="F82" s="78" t="str">
        <f t="shared" si="77"/>
        <v/>
      </c>
      <c r="G82" s="79">
        <f t="shared" ca="1" si="78"/>
        <v>1</v>
      </c>
      <c r="H82" s="79">
        <f t="shared" ca="1" si="78"/>
        <v>1</v>
      </c>
      <c r="I82" s="120">
        <f t="shared" ca="1" si="78"/>
        <v>1</v>
      </c>
      <c r="J82" s="62"/>
      <c r="K82" s="196">
        <f t="shared" ca="1" si="58"/>
        <v>0</v>
      </c>
      <c r="L82" s="185" t="b">
        <f t="shared" si="59"/>
        <v>1</v>
      </c>
      <c r="M82" s="185" t="s">
        <v>546</v>
      </c>
      <c r="N82" s="185" t="str">
        <f t="shared" ca="1" si="60"/>
        <v>Offererad produktnr. 11Qlosr Göteborg AB</v>
      </c>
      <c r="O82" s="185" cm="1">
        <f t="array" aca="1" ref="O82" ca="1">MIN(IF(($BH$77:$BH$88=M82)*($AH$77:$AH$88=$O$74),$V$77:$V$88))</f>
        <v>2076</v>
      </c>
      <c r="P82" s="197"/>
      <c r="Q82" s="185">
        <f t="shared" si="61"/>
        <v>0</v>
      </c>
      <c r="R82" s="185">
        <f t="shared" si="62"/>
        <v>0</v>
      </c>
      <c r="S82" s="185">
        <f t="shared" si="63"/>
        <v>0</v>
      </c>
      <c r="T82" s="185">
        <f t="shared" si="64"/>
        <v>0</v>
      </c>
      <c r="U82" s="185">
        <f t="shared" si="65"/>
        <v>0</v>
      </c>
      <c r="V82" s="196">
        <f t="shared" ca="1" si="66"/>
        <v>3010</v>
      </c>
      <c r="W82" s="185" t="str">
        <f t="shared" si="67"/>
        <v>Offererad produktnr. 12Dustin Sverige AB</v>
      </c>
      <c r="X82" s="185" t="b">
        <f>IF($D$78="",TRUE,IF(COUNTIF(Processor!$I$2:$I$9,$D$78)&gt;0,AND(AI82&gt;INDEX(Processor!$J$2:$J$9,MATCH($D$78,Processor!$I$2:$I$9,0)),AI82&lt;INDEX(Processor!$K$2:$K$9,MATCH($D$78,Processor!$I$2:$I$9,0))),IF(AI82=$D$78,TRUE,FALSE)))</f>
        <v>1</v>
      </c>
      <c r="Y82" s="185" t="b">
        <f t="shared" si="68"/>
        <v>1</v>
      </c>
      <c r="Z82" s="185" t="b">
        <f t="shared" si="69"/>
        <v>1</v>
      </c>
      <c r="AA82" s="185" t="b">
        <f t="shared" si="70"/>
        <v>1</v>
      </c>
      <c r="AB82" s="185" t="b">
        <f t="shared" si="71"/>
        <v>1</v>
      </c>
      <c r="AC82" s="185" t="b">
        <f t="shared" si="72"/>
        <v>1</v>
      </c>
      <c r="AD82" s="185"/>
      <c r="AE82" s="185" t="b">
        <f t="shared" si="73"/>
        <v>1</v>
      </c>
      <c r="AF82" s="185" t="b">
        <f>IFERROR(IF($D85="",TRUE,IF(MID(AT82,LEN(AT82)-2,1)*1&gt;=MID($D85,LEN($D85)-2,1)*1,TRUE,FALSE)),FALSE)</f>
        <v>1</v>
      </c>
      <c r="AG82" s="185" t="s">
        <v>185</v>
      </c>
      <c r="AH82" s="201">
        <v>1</v>
      </c>
      <c r="AI82" s="185">
        <f t="shared" ca="1" si="74"/>
        <v>27</v>
      </c>
      <c r="AJ82" s="185" t="str">
        <f t="shared" ca="1" si="74"/>
        <v>2560x1440</v>
      </c>
      <c r="AK82" s="185">
        <f t="shared" ca="1" si="74"/>
        <v>4</v>
      </c>
      <c r="AL82" s="185">
        <f t="shared" ca="1" si="74"/>
        <v>0</v>
      </c>
      <c r="AM82" s="185">
        <f t="shared" ca="1" si="74"/>
        <v>1</v>
      </c>
      <c r="AN82" s="185">
        <f t="shared" ca="1" si="74"/>
        <v>16700000</v>
      </c>
      <c r="AO82" s="185">
        <f t="shared" ca="1" si="74"/>
        <v>350</v>
      </c>
      <c r="AP82" s="185" t="str">
        <f t="shared" ca="1" si="74"/>
        <v>Version 8.0</v>
      </c>
      <c r="AQ82" s="185" t="str">
        <f t="shared" ca="1" si="74"/>
        <v>Ja</v>
      </c>
      <c r="AR82" s="185">
        <f t="shared" ca="1" si="74"/>
        <v>0</v>
      </c>
      <c r="AS82" s="185">
        <f t="shared" ca="1" si="75"/>
        <v>0</v>
      </c>
      <c r="AT82" s="185" t="str">
        <f t="shared" ca="1" si="75"/>
        <v>Version 8.0</v>
      </c>
      <c r="AU82" s="185" t="str">
        <f t="shared" ca="1" si="75"/>
        <v>Ja</v>
      </c>
      <c r="AV82" s="185">
        <f t="shared" ca="1" si="75"/>
        <v>0</v>
      </c>
      <c r="AW82" s="185" t="str">
        <f t="shared" ca="1" si="75"/>
        <v>HP E27Q G5 PVC Free </v>
      </c>
      <c r="AX82" s="185">
        <f t="shared" ca="1" si="75"/>
        <v>3010</v>
      </c>
      <c r="AY82" s="192">
        <f t="shared" ca="1" si="75"/>
        <v>700</v>
      </c>
      <c r="AZ82" s="192">
        <f t="shared" ca="1" si="75"/>
        <v>28</v>
      </c>
      <c r="BA82" s="192">
        <f t="shared" ca="1" si="75"/>
        <v>20</v>
      </c>
      <c r="BB82" s="192">
        <f t="shared" ca="1" si="75"/>
        <v>20</v>
      </c>
      <c r="BC82" s="192" t="str">
        <f t="shared" ca="1" si="76"/>
        <v>Cirafon</v>
      </c>
      <c r="BD82" s="192" t="str">
        <f t="shared" ca="1" si="76"/>
        <v>DPF27-9</v>
      </c>
      <c r="BE82" s="192" t="str">
        <f t="shared" ca="1" si="76"/>
        <v>False</v>
      </c>
      <c r="BF82" s="192" t="str">
        <f t="shared" ca="1" si="76"/>
        <v>False</v>
      </c>
      <c r="BG82" s="192" t="str">
        <f t="shared" ca="1" si="76"/>
        <v>False</v>
      </c>
      <c r="BH82" s="192" t="str">
        <f t="shared" ca="1" si="76"/>
        <v>Dustin Sverige AB</v>
      </c>
      <c r="BI82" s="192" t="str">
        <f t="shared" ca="1" si="76"/>
        <v>HP</v>
      </c>
    </row>
    <row r="83" spans="2:61" ht="22.5" customHeight="1" outlineLevel="1" x14ac:dyDescent="0.35">
      <c r="C83" s="61" t="s">
        <v>13</v>
      </c>
      <c r="D83" s="135"/>
      <c r="F83" s="176" t="str">
        <f t="shared" si="77"/>
        <v/>
      </c>
      <c r="G83" s="136">
        <f t="shared" ca="1" si="78"/>
        <v>16700000</v>
      </c>
      <c r="H83" s="136">
        <f t="shared" ca="1" si="78"/>
        <v>16700000</v>
      </c>
      <c r="I83" s="137">
        <f t="shared" ca="1" si="78"/>
        <v>16700000</v>
      </c>
      <c r="J83" s="62"/>
      <c r="Q83" s="185">
        <f t="shared" si="61"/>
        <v>0</v>
      </c>
      <c r="R83" s="185">
        <f t="shared" si="62"/>
        <v>0</v>
      </c>
      <c r="S83" s="185">
        <f t="shared" si="63"/>
        <v>0</v>
      </c>
      <c r="T83" s="185">
        <f t="shared" si="64"/>
        <v>0</v>
      </c>
      <c r="U83" s="185">
        <f t="shared" si="65"/>
        <v>0</v>
      </c>
      <c r="V83" s="196">
        <f t="shared" ca="1" si="66"/>
        <v>2361</v>
      </c>
      <c r="W83" s="185" t="str">
        <f t="shared" si="67"/>
        <v>Offererad produktnr. 11Foxway Education AB</v>
      </c>
      <c r="X83" s="185" t="b">
        <f>IF($D$78="",TRUE,IF(COUNTIF(Processor!$I$2:$I$9,$D$78)&gt;0,AND(AI83&gt;INDEX(Processor!$J$2:$J$9,MATCH($D$78,Processor!$I$2:$I$9,0)),AI83&lt;INDEX(Processor!$K$2:$K$9,MATCH($D$78,Processor!$I$2:$I$9,0))),IF(AI83=$D$78,TRUE,FALSE)))</f>
        <v>1</v>
      </c>
      <c r="Y83" s="185" t="b">
        <f t="shared" si="68"/>
        <v>1</v>
      </c>
      <c r="Z83" s="185" t="b">
        <f t="shared" si="69"/>
        <v>1</v>
      </c>
      <c r="AA83" s="185" t="b">
        <f t="shared" si="70"/>
        <v>1</v>
      </c>
      <c r="AB83" s="185" t="b">
        <f t="shared" si="71"/>
        <v>1</v>
      </c>
      <c r="AC83" s="185" t="b">
        <f t="shared" si="72"/>
        <v>1</v>
      </c>
      <c r="AD83" s="185"/>
      <c r="AE83" s="185" t="b">
        <f t="shared" si="73"/>
        <v>1</v>
      </c>
      <c r="AF83" s="185" t="b">
        <f>IFERROR(IF($D85="",TRUE,IF(MID(AT83,LEN(AT83)-2,1)*1&gt;=MID($D85,LEN($D85)-2,1)*1,TRUE,FALSE)),FALSE)</f>
        <v>1</v>
      </c>
      <c r="AG83" s="185" t="s">
        <v>220</v>
      </c>
      <c r="AH83" s="201">
        <v>1</v>
      </c>
      <c r="AI83" s="185">
        <f t="shared" ca="1" si="74"/>
        <v>23.8</v>
      </c>
      <c r="AJ83" s="185" t="str">
        <f t="shared" ca="1" si="74"/>
        <v>1920x1080</v>
      </c>
      <c r="AK83" s="185">
        <f t="shared" ca="1" si="74"/>
        <v>0</v>
      </c>
      <c r="AL83" s="185">
        <f t="shared" ca="1" si="74"/>
        <v>0</v>
      </c>
      <c r="AM83" s="185">
        <f t="shared" ca="1" si="74"/>
        <v>1</v>
      </c>
      <c r="AN83" s="185">
        <f t="shared" ca="1" si="74"/>
        <v>16700000</v>
      </c>
      <c r="AO83" s="185">
        <f t="shared" ca="1" si="74"/>
        <v>250</v>
      </c>
      <c r="AP83" s="185" t="str">
        <f t="shared" ca="1" si="74"/>
        <v>Version 8.0</v>
      </c>
      <c r="AQ83" s="185" t="str">
        <f t="shared" ca="1" si="74"/>
        <v>Ja</v>
      </c>
      <c r="AR83" s="185">
        <f t="shared" ca="1" si="74"/>
        <v>0</v>
      </c>
      <c r="AS83" s="185">
        <f t="shared" ca="1" si="75"/>
        <v>0</v>
      </c>
      <c r="AT83" s="185" t="str">
        <f t="shared" ca="1" si="75"/>
        <v>Version 8.0</v>
      </c>
      <c r="AU83" s="185" t="str">
        <f t="shared" ca="1" si="75"/>
        <v>Ja</v>
      </c>
      <c r="AV83" s="185">
        <f t="shared" ca="1" si="75"/>
        <v>0</v>
      </c>
      <c r="AW83" s="185" t="str">
        <f t="shared" ca="1" si="75"/>
        <v>E24-29</v>
      </c>
      <c r="AX83" s="185">
        <f t="shared" ca="1" si="75"/>
        <v>2361</v>
      </c>
      <c r="AY83" s="192">
        <f t="shared" ca="1" si="75"/>
        <v>516</v>
      </c>
      <c r="AZ83" s="192">
        <f t="shared" ca="1" si="75"/>
        <v>90</v>
      </c>
      <c r="BA83" s="192">
        <f t="shared" ca="1" si="75"/>
        <v>60</v>
      </c>
      <c r="BB83" s="192">
        <f t="shared" ca="1" si="75"/>
        <v>50</v>
      </c>
      <c r="BC83" s="192" t="str">
        <f t="shared" ca="1" si="76"/>
        <v>Targus</v>
      </c>
      <c r="BD83" s="192" t="str">
        <f t="shared" ca="1" si="76"/>
        <v>Targus Privacy Screen 23.8"</v>
      </c>
      <c r="BE83" s="192" t="str">
        <f t="shared" ca="1" si="76"/>
        <v>False</v>
      </c>
      <c r="BF83" s="192" t="str">
        <f t="shared" ca="1" si="76"/>
        <v>False</v>
      </c>
      <c r="BG83" s="192" t="str">
        <f t="shared" ca="1" si="76"/>
        <v>False</v>
      </c>
      <c r="BH83" s="192" t="str">
        <f t="shared" ca="1" si="76"/>
        <v>Foxway Education AB</v>
      </c>
      <c r="BI83" s="192" t="str">
        <f t="shared" ca="1" si="76"/>
        <v>Lenovo</v>
      </c>
    </row>
    <row r="84" spans="2:61" ht="22.5" customHeight="1" outlineLevel="1" x14ac:dyDescent="0.35">
      <c r="C84" s="61" t="s">
        <v>14</v>
      </c>
      <c r="D84" s="64"/>
      <c r="F84" s="78" t="str">
        <f t="shared" si="77"/>
        <v/>
      </c>
      <c r="G84" s="79">
        <f t="shared" ca="1" si="78"/>
        <v>250</v>
      </c>
      <c r="H84" s="79">
        <f t="shared" ca="1" si="78"/>
        <v>250</v>
      </c>
      <c r="I84" s="120">
        <f t="shared" ca="1" si="78"/>
        <v>250</v>
      </c>
      <c r="J84" s="62"/>
      <c r="Q84" s="185">
        <f t="shared" si="61"/>
        <v>0</v>
      </c>
      <c r="R84" s="185">
        <f t="shared" si="62"/>
        <v>0</v>
      </c>
      <c r="S84" s="185">
        <f t="shared" si="63"/>
        <v>0</v>
      </c>
      <c r="T84" s="185">
        <f t="shared" si="64"/>
        <v>0</v>
      </c>
      <c r="U84" s="185">
        <f t="shared" si="65"/>
        <v>0</v>
      </c>
      <c r="V84" s="196">
        <f t="shared" ca="1" si="66"/>
        <v>3002</v>
      </c>
      <c r="W84" s="185" t="str">
        <f t="shared" si="67"/>
        <v>Offererad produktnr. 12Foxway Education AB</v>
      </c>
      <c r="X84" s="185" t="b">
        <f>IF($D$78="",TRUE,IF(COUNTIF(Processor!$I$2:$I$9,$D$78)&gt;0,AND(AI84&gt;INDEX(Processor!$J$2:$J$9,MATCH($D$78,Processor!$I$2:$I$9,0)),AI84&lt;INDEX(Processor!$K$2:$K$9,MATCH($D$78,Processor!$I$2:$I$9,0))),IF(AI84=$D$78,TRUE,FALSE)))</f>
        <v>1</v>
      </c>
      <c r="Y84" s="185" t="b">
        <f t="shared" si="68"/>
        <v>1</v>
      </c>
      <c r="Z84" s="185" t="b">
        <f t="shared" si="69"/>
        <v>1</v>
      </c>
      <c r="AA84" s="185" t="b">
        <f t="shared" si="70"/>
        <v>1</v>
      </c>
      <c r="AB84" s="185" t="b">
        <f t="shared" si="71"/>
        <v>1</v>
      </c>
      <c r="AC84" s="185" t="b">
        <f t="shared" si="72"/>
        <v>1</v>
      </c>
      <c r="AD84" s="185"/>
      <c r="AE84" s="185" t="b">
        <f t="shared" si="73"/>
        <v>1</v>
      </c>
      <c r="AF84" s="185" t="b">
        <f>IFERROR(IF($D85="",TRUE,IF(MID(AT84,LEN(AT84)-2,1)*1&gt;=MID($D85,LEN($D85)-2,1)*1,TRUE,FALSE)),FALSE)</f>
        <v>1</v>
      </c>
      <c r="AG84" s="185" t="s">
        <v>221</v>
      </c>
      <c r="AH84" s="201">
        <v>1</v>
      </c>
      <c r="AI84" s="185">
        <f t="shared" ca="1" si="74"/>
        <v>27</v>
      </c>
      <c r="AJ84" s="185" t="str">
        <f t="shared" ca="1" si="74"/>
        <v>2560x1440</v>
      </c>
      <c r="AK84" s="185">
        <f t="shared" ca="1" si="74"/>
        <v>0</v>
      </c>
      <c r="AL84" s="185">
        <f t="shared" ca="1" si="74"/>
        <v>0</v>
      </c>
      <c r="AM84" s="185">
        <f t="shared" ca="1" si="74"/>
        <v>1</v>
      </c>
      <c r="AN84" s="185">
        <f t="shared" ca="1" si="74"/>
        <v>16700000</v>
      </c>
      <c r="AO84" s="185">
        <f t="shared" ca="1" si="74"/>
        <v>350</v>
      </c>
      <c r="AP84" s="185" t="str">
        <f t="shared" ca="1" si="74"/>
        <v>Version 8.0</v>
      </c>
      <c r="AQ84" s="185" t="str">
        <f t="shared" ca="1" si="74"/>
        <v>Ja</v>
      </c>
      <c r="AR84" s="185">
        <f t="shared" ca="1" si="74"/>
        <v>0</v>
      </c>
      <c r="AS84" s="185">
        <f t="shared" ca="1" si="75"/>
        <v>0</v>
      </c>
      <c r="AT84" s="185" t="str">
        <f t="shared" ca="1" si="75"/>
        <v>Version 8.0</v>
      </c>
      <c r="AU84" s="185" t="str">
        <f t="shared" ca="1" si="75"/>
        <v>Ja</v>
      </c>
      <c r="AV84" s="185">
        <f t="shared" ca="1" si="75"/>
        <v>0</v>
      </c>
      <c r="AW84" s="185" t="str">
        <f t="shared" ca="1" si="75"/>
        <v>E27q-20</v>
      </c>
      <c r="AX84" s="185">
        <f t="shared" ca="1" si="75"/>
        <v>3002</v>
      </c>
      <c r="AY84" s="192">
        <f t="shared" ca="1" si="75"/>
        <v>672</v>
      </c>
      <c r="AZ84" s="192">
        <f t="shared" ca="1" si="75"/>
        <v>90</v>
      </c>
      <c r="BA84" s="192">
        <f t="shared" ca="1" si="75"/>
        <v>60</v>
      </c>
      <c r="BB84" s="192">
        <f t="shared" ca="1" si="75"/>
        <v>50</v>
      </c>
      <c r="BC84" s="192" t="str">
        <f t="shared" ca="1" si="76"/>
        <v>Targus</v>
      </c>
      <c r="BD84" s="192" t="str">
        <f t="shared" ca="1" si="76"/>
        <v>Targus Privacy Screen 27"</v>
      </c>
      <c r="BE84" s="192" t="str">
        <f t="shared" ca="1" si="76"/>
        <v>False</v>
      </c>
      <c r="BF84" s="192" t="str">
        <f t="shared" ca="1" si="76"/>
        <v>False</v>
      </c>
      <c r="BG84" s="192" t="str">
        <f t="shared" ca="1" si="76"/>
        <v>False</v>
      </c>
      <c r="BH84" s="192" t="str">
        <f t="shared" ca="1" si="76"/>
        <v>Foxway Education AB</v>
      </c>
      <c r="BI84" s="192" t="str">
        <f t="shared" ca="1" si="76"/>
        <v>Lenovo</v>
      </c>
    </row>
    <row r="85" spans="2:61" ht="22.5" customHeight="1" outlineLevel="1" x14ac:dyDescent="0.35">
      <c r="C85" s="61" t="s">
        <v>38</v>
      </c>
      <c r="D85" s="64"/>
      <c r="F85" s="78" t="str">
        <f t="shared" si="77"/>
        <v/>
      </c>
      <c r="G85" s="79" t="str">
        <f t="shared" ca="1" si="78"/>
        <v>Version 8.0</v>
      </c>
      <c r="H85" s="79" t="str">
        <f t="shared" ca="1" si="78"/>
        <v>Version 8.0</v>
      </c>
      <c r="I85" s="120" t="str">
        <f t="shared" ca="1" si="78"/>
        <v>Version 8.0</v>
      </c>
      <c r="J85" s="62"/>
      <c r="Q85" s="185">
        <f t="shared" si="61"/>
        <v>0</v>
      </c>
      <c r="R85" s="185">
        <f t="shared" si="62"/>
        <v>0</v>
      </c>
      <c r="S85" s="185">
        <f t="shared" si="63"/>
        <v>0</v>
      </c>
      <c r="T85" s="185">
        <f t="shared" si="64"/>
        <v>0</v>
      </c>
      <c r="U85" s="185">
        <f t="shared" si="65"/>
        <v>0</v>
      </c>
      <c r="V85" s="196">
        <f t="shared" ca="1" si="66"/>
        <v>2076</v>
      </c>
      <c r="W85" s="185" t="str">
        <f t="shared" si="67"/>
        <v>Offererad produktnr. 11Qlosr Göteborg AB</v>
      </c>
      <c r="X85" s="185" t="b">
        <f>IF($D$78="",TRUE,IF(COUNTIF(Processor!$I$2:$I$9,$D$78)&gt;0,AND(AI85&gt;INDEX(Processor!$J$2:$J$9,MATCH($D$78,Processor!$I$2:$I$9,0)),AI85&lt;INDEX(Processor!$K$2:$K$9,MATCH($D$78,Processor!$I$2:$I$9,0))),IF(AI85=$D$78,TRUE,FALSE)))</f>
        <v>1</v>
      </c>
      <c r="Y85" s="185" t="b">
        <f t="shared" si="68"/>
        <v>1</v>
      </c>
      <c r="Z85" s="185" t="b">
        <f t="shared" si="69"/>
        <v>1</v>
      </c>
      <c r="AA85" s="185" t="b">
        <f t="shared" si="70"/>
        <v>1</v>
      </c>
      <c r="AB85" s="185" t="b">
        <f t="shared" si="71"/>
        <v>1</v>
      </c>
      <c r="AC85" s="185" t="b">
        <f t="shared" si="72"/>
        <v>1</v>
      </c>
      <c r="AD85" s="185"/>
      <c r="AE85" s="185" t="b">
        <f t="shared" si="73"/>
        <v>1</v>
      </c>
      <c r="AF85" s="185" t="b">
        <f>IFERROR(IF($D85="",TRUE,IF(MID(AT85,LEN(AT85)-2,1)*1&gt;=MID($D85,LEN($D85)-2,1)*1,TRUE,FALSE)),FALSE)</f>
        <v>1</v>
      </c>
      <c r="AG85" s="185" t="s">
        <v>562</v>
      </c>
      <c r="AH85" s="201">
        <v>1</v>
      </c>
      <c r="AI85" s="185">
        <f t="shared" ca="1" si="74"/>
        <v>23.8</v>
      </c>
      <c r="AJ85" s="185" t="str">
        <f t="shared" ca="1" si="74"/>
        <v>1920x1080</v>
      </c>
      <c r="AK85" s="185">
        <f t="shared" ca="1" si="74"/>
        <v>5</v>
      </c>
      <c r="AL85" s="185">
        <f t="shared" ca="1" si="74"/>
        <v>0</v>
      </c>
      <c r="AM85" s="185">
        <f t="shared" ca="1" si="74"/>
        <v>1</v>
      </c>
      <c r="AN85" s="185">
        <f t="shared" ca="1" si="74"/>
        <v>16700000</v>
      </c>
      <c r="AO85" s="185">
        <f t="shared" ca="1" si="74"/>
        <v>250</v>
      </c>
      <c r="AP85" s="185" t="str">
        <f t="shared" ca="1" si="74"/>
        <v>Version 8.0</v>
      </c>
      <c r="AQ85" s="185" t="str">
        <f t="shared" ca="1" si="74"/>
        <v>Ja</v>
      </c>
      <c r="AR85" s="185">
        <f t="shared" ca="1" si="74"/>
        <v>0</v>
      </c>
      <c r="AS85" s="185">
        <f t="shared" ca="1" si="75"/>
        <v>0</v>
      </c>
      <c r="AT85" s="185" t="str">
        <f t="shared" ca="1" si="75"/>
        <v>Version 8.0</v>
      </c>
      <c r="AU85" s="185" t="str">
        <f t="shared" ca="1" si="75"/>
        <v>Ja</v>
      </c>
      <c r="AV85" s="185">
        <f t="shared" ca="1" si="75"/>
        <v>0</v>
      </c>
      <c r="AW85" s="185" t="str">
        <f t="shared" ca="1" si="75"/>
        <v>P2422h</v>
      </c>
      <c r="AX85" s="185">
        <f t="shared" ca="1" si="75"/>
        <v>2076</v>
      </c>
      <c r="AY85" s="192">
        <f t="shared" ca="1" si="75"/>
        <v>540</v>
      </c>
      <c r="AZ85" s="192">
        <f t="shared" ca="1" si="75"/>
        <v>89</v>
      </c>
      <c r="BA85" s="192">
        <f t="shared" ca="1" si="75"/>
        <v>25</v>
      </c>
      <c r="BB85" s="192">
        <f t="shared" ca="1" si="75"/>
        <v>25</v>
      </c>
      <c r="BC85" s="192" t="str">
        <f t="shared" ca="1" si="76"/>
        <v>Kapsolo</v>
      </c>
      <c r="BD85" s="192" t="str">
        <f t="shared" ca="1" si="76"/>
        <v>GBXKAP10786</v>
      </c>
      <c r="BE85" s="192" t="str">
        <f t="shared" ca="1" si="76"/>
        <v>False</v>
      </c>
      <c r="BF85" s="192" t="str">
        <f t="shared" ca="1" si="76"/>
        <v>False</v>
      </c>
      <c r="BG85" s="192" t="str">
        <f t="shared" ca="1" si="76"/>
        <v>False</v>
      </c>
      <c r="BH85" s="192" t="str">
        <f t="shared" ca="1" si="76"/>
        <v>Qlosr Göteborg AB</v>
      </c>
      <c r="BI85" s="192" t="str">
        <f t="shared" ca="1" si="76"/>
        <v>Dell</v>
      </c>
    </row>
    <row r="86" spans="2:61" ht="22.5" customHeight="1" outlineLevel="1" x14ac:dyDescent="0.35">
      <c r="C86" s="61" t="s">
        <v>37</v>
      </c>
      <c r="D86" s="64"/>
      <c r="F86" s="78" t="str">
        <f t="shared" si="77"/>
        <v/>
      </c>
      <c r="G86" s="79" t="str">
        <f t="shared" ca="1" si="78"/>
        <v>Ja</v>
      </c>
      <c r="H86" s="79" t="str">
        <f t="shared" ca="1" si="78"/>
        <v>Ja</v>
      </c>
      <c r="I86" s="120" t="str">
        <f t="shared" ca="1" si="78"/>
        <v>Ja</v>
      </c>
      <c r="J86" s="62"/>
      <c r="Q86" s="185">
        <f t="shared" si="61"/>
        <v>0</v>
      </c>
      <c r="R86" s="185">
        <f t="shared" si="62"/>
        <v>0</v>
      </c>
      <c r="S86" s="185">
        <f t="shared" si="63"/>
        <v>0</v>
      </c>
      <c r="T86" s="185">
        <f t="shared" si="64"/>
        <v>0</v>
      </c>
      <c r="U86" s="185">
        <f t="shared" si="65"/>
        <v>0</v>
      </c>
      <c r="V86" s="196">
        <f t="shared" ca="1" si="66"/>
        <v>2430</v>
      </c>
      <c r="W86" s="185" t="str">
        <f t="shared" si="67"/>
        <v>Offererad produktnr. 12Qlosr Göteborg AB</v>
      </c>
      <c r="X86" s="185" t="b">
        <f>IF($D$78="",TRUE,IF(COUNTIF(Processor!$I$2:$I$9,$D$78)&gt;0,AND(AI86&gt;INDEX(Processor!$J$2:$J$9,MATCH($D$78,Processor!$I$2:$I$9,0)),AI86&lt;INDEX(Processor!$K$2:$K$9,MATCH($D$78,Processor!$I$2:$I$9,0))),IF(AI86=$D$78,TRUE,FALSE)))</f>
        <v>1</v>
      </c>
      <c r="Y86" s="185" t="b">
        <f t="shared" si="68"/>
        <v>1</v>
      </c>
      <c r="Z86" s="185" t="b">
        <f t="shared" si="69"/>
        <v>1</v>
      </c>
      <c r="AA86" s="185" t="b">
        <f t="shared" si="70"/>
        <v>1</v>
      </c>
      <c r="AB86" s="185" t="b">
        <f t="shared" si="71"/>
        <v>1</v>
      </c>
      <c r="AC86" s="185" t="b">
        <f t="shared" si="72"/>
        <v>1</v>
      </c>
      <c r="AD86" s="185"/>
      <c r="AE86" s="185" t="b">
        <f t="shared" si="73"/>
        <v>1</v>
      </c>
      <c r="AF86" s="185" t="b">
        <f>IFERROR(IF($D85="",TRUE,IF(MID(AT86,LEN(AT86)-2,1)*1&gt;=MID($D85,LEN($D85)-2,1)*1,TRUE,FALSE)),FALSE)</f>
        <v>1</v>
      </c>
      <c r="AG86" s="185" t="s">
        <v>563</v>
      </c>
      <c r="AH86" s="201">
        <v>1</v>
      </c>
      <c r="AI86" s="185">
        <f t="shared" ca="1" si="74"/>
        <v>27</v>
      </c>
      <c r="AJ86" s="185" t="str">
        <f t="shared" ca="1" si="74"/>
        <v>2560x1440</v>
      </c>
      <c r="AK86" s="185">
        <f t="shared" ca="1" si="74"/>
        <v>0</v>
      </c>
      <c r="AL86" s="185">
        <f t="shared" ca="1" si="74"/>
        <v>0</v>
      </c>
      <c r="AM86" s="185">
        <f t="shared" ca="1" si="74"/>
        <v>1</v>
      </c>
      <c r="AN86" s="185">
        <f t="shared" ca="1" si="74"/>
        <v>16700000</v>
      </c>
      <c r="AO86" s="185">
        <f t="shared" ca="1" si="74"/>
        <v>350</v>
      </c>
      <c r="AP86" s="185" t="str">
        <f t="shared" ca="1" si="74"/>
        <v>Version 8.0</v>
      </c>
      <c r="AQ86" s="185" t="str">
        <f t="shared" ca="1" si="74"/>
        <v>Ja</v>
      </c>
      <c r="AR86" s="185">
        <f t="shared" ca="1" si="74"/>
        <v>0</v>
      </c>
      <c r="AS86" s="185">
        <f t="shared" ca="1" si="75"/>
        <v>0</v>
      </c>
      <c r="AT86" s="185" t="str">
        <f t="shared" ca="1" si="75"/>
        <v>Version 8.0</v>
      </c>
      <c r="AU86" s="185" t="str">
        <f t="shared" ca="1" si="75"/>
        <v>Ja</v>
      </c>
      <c r="AV86" s="185">
        <f t="shared" ca="1" si="75"/>
        <v>0</v>
      </c>
      <c r="AW86" s="185" t="str">
        <f t="shared" ca="1" si="75"/>
        <v>E27q-20</v>
      </c>
      <c r="AX86" s="185">
        <f t="shared" ca="1" si="75"/>
        <v>2430</v>
      </c>
      <c r="AY86" s="192">
        <f t="shared" ca="1" si="75"/>
        <v>669</v>
      </c>
      <c r="AZ86" s="192">
        <f t="shared" ca="1" si="75"/>
        <v>89</v>
      </c>
      <c r="BA86" s="192">
        <f t="shared" ca="1" si="75"/>
        <v>25</v>
      </c>
      <c r="BB86" s="192">
        <f t="shared" ca="1" si="75"/>
        <v>25</v>
      </c>
      <c r="BC86" s="192" t="str">
        <f t="shared" ca="1" si="76"/>
        <v>Kapsolo</v>
      </c>
      <c r="BD86" s="192" t="str">
        <f t="shared" ca="1" si="76"/>
        <v>GBXKAP11019</v>
      </c>
      <c r="BE86" s="192" t="str">
        <f t="shared" ca="1" si="76"/>
        <v>False</v>
      </c>
      <c r="BF86" s="192" t="str">
        <f t="shared" ca="1" si="76"/>
        <v>False</v>
      </c>
      <c r="BG86" s="192" t="str">
        <f t="shared" ca="1" si="76"/>
        <v>False</v>
      </c>
      <c r="BH86" s="192" t="str">
        <f t="shared" ca="1" si="76"/>
        <v>Qlosr Göteborg AB</v>
      </c>
      <c r="BI86" s="192" t="str">
        <f t="shared" ca="1" si="76"/>
        <v>Lenovo</v>
      </c>
    </row>
    <row r="87" spans="2:61" ht="22.5" customHeight="1" outlineLevel="1" x14ac:dyDescent="0.35">
      <c r="C87" s="66"/>
      <c r="D87" s="67"/>
      <c r="G87" s="62"/>
      <c r="H87" s="62"/>
      <c r="I87" s="62"/>
      <c r="J87" s="94"/>
      <c r="AH87" s="50"/>
      <c r="AY87" s="63"/>
      <c r="AZ87" s="63"/>
      <c r="BA87" s="63"/>
      <c r="BB87" s="63"/>
      <c r="BC87" s="63"/>
      <c r="BD87" s="63"/>
      <c r="BE87" s="63"/>
      <c r="BF87" s="63"/>
      <c r="BG87" s="63"/>
      <c r="BH87" s="63"/>
      <c r="BI87" s="63"/>
    </row>
    <row r="88" spans="2:61" ht="22.5" customHeight="1" outlineLevel="1" x14ac:dyDescent="0.35">
      <c r="C88" s="212" t="s">
        <v>366</v>
      </c>
      <c r="D88" s="213"/>
      <c r="E88" s="213"/>
      <c r="F88" s="213"/>
      <c r="G88" s="213"/>
      <c r="H88" s="213"/>
      <c r="I88" s="214"/>
      <c r="J88" s="62"/>
      <c r="AH88" s="50"/>
      <c r="AY88" s="63"/>
      <c r="AZ88" s="63"/>
      <c r="BA88" s="63"/>
      <c r="BB88" s="63"/>
      <c r="BC88" s="63"/>
      <c r="BD88" s="63"/>
      <c r="BE88" s="63"/>
      <c r="BF88" s="63"/>
      <c r="BG88" s="63"/>
      <c r="BH88" s="63"/>
      <c r="BI88" s="63"/>
    </row>
    <row r="89" spans="2:61" ht="22.5" customHeight="1" outlineLevel="1" x14ac:dyDescent="0.35">
      <c r="B89" s="69" t="s">
        <v>53</v>
      </c>
      <c r="C89" s="115" t="s">
        <v>77</v>
      </c>
      <c r="D89" s="70"/>
      <c r="F89" s="161" t="str">
        <f>IF(F$75="Inget antal angivet","",IFERROR(INDEX($AI$76:$BI$101,MATCH(F$72,$AG$76:$AG$101,0),MATCH($B89,$AI$76:$BI$76,0)),""))</f>
        <v/>
      </c>
      <c r="G89" s="162">
        <f ca="1">IFERROR(INDEX($AI$76:$BI$101,MATCH(G$72,$AG$76:$AG$101,0),MATCH($B89,$AI$76:$BI$76,0)),"")</f>
        <v>639</v>
      </c>
      <c r="H89" s="162">
        <f ca="1">IFERROR(INDEX($AI$76:$BI$101,MATCH(H$72,$AG$76:$AG$101,0),MATCH($B89,$AI$76:$BI$76,0)),"")</f>
        <v>778</v>
      </c>
      <c r="I89" s="162">
        <f ca="1">IFERROR(INDEX($AI$76:$BI$101,MATCH(I$72,$AG$76:$AG$101,0),MATCH($B89,$AI$76:$BI$76,0)),"")</f>
        <v>540</v>
      </c>
      <c r="J89" s="62"/>
      <c r="AY89" s="63"/>
      <c r="AZ89" s="63"/>
      <c r="BA89" s="63"/>
      <c r="BB89" s="63"/>
      <c r="BC89" s="63"/>
      <c r="BD89" s="63"/>
      <c r="BE89" s="63"/>
      <c r="BF89" s="63"/>
      <c r="BG89" s="63"/>
      <c r="BH89" s="63"/>
      <c r="BI89" s="63"/>
    </row>
    <row r="90" spans="2:61" ht="22.5" customHeight="1" outlineLevel="1" x14ac:dyDescent="0.35">
      <c r="B90" s="69" t="s">
        <v>340</v>
      </c>
      <c r="C90" s="96" t="s">
        <v>51</v>
      </c>
      <c r="D90" s="131" t="str">
        <f>IF("Ska Ingå"=D89,"Ska Ingå","")</f>
        <v/>
      </c>
      <c r="F90" s="84" t="str">
        <f>IF(F$75="Inget antal angivet","",IFERROR(INDEX($AI$76:$BI$101,MATCH(F$72,$AG$76:$AG$101,0),MATCH($B90,$AI$76:$BI$76,0)),""))</f>
        <v/>
      </c>
      <c r="G90" s="85" t="str">
        <f ca="1">IFERROR(INDEX($AI$76:$BI$101,MATCH(G$72,$AG$76:$AG$101,0),MATCH($B90,$AI$76:$BI$76,0)),"")</f>
        <v>eSTUFF</v>
      </c>
      <c r="H90" s="85" t="str">
        <f ca="1">IFERROR(INDEX($AI$76:$BI$101,MATCH(H$72,$AG$76:$AG$101,0),MATCH($B90,$AI$76:$BI$76,0)),"")</f>
        <v>Targus</v>
      </c>
      <c r="I90" s="85" t="str">
        <f ca="1">IFERROR(INDEX($AI$76:$BI$101,MATCH(I$72,$AG$76:$AG$101,0),MATCH($C90,$AI$76:$BI$76,0)),"")</f>
        <v>Dell</v>
      </c>
      <c r="J90" s="62"/>
      <c r="AY90" s="63"/>
      <c r="AZ90" s="63"/>
      <c r="BA90" s="63"/>
      <c r="BB90" s="63"/>
      <c r="BC90" s="63"/>
      <c r="BD90" s="63"/>
      <c r="BE90" s="63"/>
      <c r="BF90" s="63"/>
      <c r="BG90" s="63"/>
      <c r="BH90" s="63"/>
      <c r="BI90" s="63"/>
    </row>
    <row r="91" spans="2:61" ht="64.5" customHeight="1" outlineLevel="1" x14ac:dyDescent="0.35">
      <c r="B91" s="71" t="s">
        <v>345</v>
      </c>
      <c r="C91" s="116" t="s">
        <v>52</v>
      </c>
      <c r="D91" s="132" t="str">
        <f>IF("Ska Ingå"=D89,"Ska Ingå","")</f>
        <v/>
      </c>
      <c r="F91" s="117" t="str">
        <f>IF(F$75="Inget antal angivet","",IFERROR(INDEX($AI$76:$BI$101,MATCH(F$72,$AG$76:$AG$101,0),MATCH($B91,$AI$76:$BI$76,0)),""))</f>
        <v/>
      </c>
      <c r="G91" s="118" t="str">
        <f ca="1">IFERROR(INDEX($AI$76:$BI$101,MATCH(G$72,$AG$76:$AG$101,0),MATCH($B91,$AI$76:$BI$76,0)),"")</f>
        <v>GLBB24519325 -  Filter för personlig integritet - 2-vägs - 24" - svart</v>
      </c>
      <c r="H91" s="118" t="str">
        <f ca="1">IFERROR(INDEX($AI$76:$BI$101,MATCH(H$72,$AG$76:$AG$101,0),MATCH($B91,$AI$76:$BI$76,0)),"")</f>
        <v>Targus Privacy Screen - filter för personlig integritet - 23,8 tum bred</v>
      </c>
      <c r="I91" s="118" t="str">
        <f ca="1">IFERROR(INDEX($AI$76:$BI$101,MATCH(I$72,$AG$76:$AG$101,0),MATCH($C91,$AI$76:$BI$76,0)),"")</f>
        <v>P2422h</v>
      </c>
      <c r="J91" s="62"/>
      <c r="AY91" s="63"/>
      <c r="AZ91" s="63"/>
      <c r="BA91" s="63"/>
      <c r="BB91" s="63"/>
      <c r="BC91" s="63"/>
      <c r="BD91" s="63"/>
      <c r="BE91" s="63"/>
      <c r="BF91" s="63"/>
      <c r="BG91" s="63"/>
      <c r="BH91" s="63"/>
      <c r="BI91" s="63"/>
    </row>
    <row r="92" spans="2:61" ht="22.5" customHeight="1" outlineLevel="1" x14ac:dyDescent="0.35">
      <c r="B92" s="71"/>
      <c r="C92" s="212" t="s">
        <v>365</v>
      </c>
      <c r="D92" s="215"/>
      <c r="E92" s="213"/>
      <c r="F92" s="213"/>
      <c r="G92" s="213"/>
      <c r="H92" s="213"/>
      <c r="I92" s="214"/>
      <c r="J92" s="62"/>
      <c r="AY92" s="63"/>
      <c r="AZ92" s="63"/>
      <c r="BA92" s="63"/>
      <c r="BB92" s="63"/>
      <c r="BC92" s="63"/>
      <c r="BD92" s="63"/>
      <c r="BE92" s="63"/>
      <c r="BF92" s="63"/>
      <c r="BG92" s="63"/>
      <c r="BH92" s="63"/>
      <c r="BI92" s="63"/>
    </row>
    <row r="93" spans="2:61" ht="22.5" customHeight="1" outlineLevel="1" x14ac:dyDescent="0.35">
      <c r="B93" s="71" t="s">
        <v>228</v>
      </c>
      <c r="C93" s="115" t="s">
        <v>367</v>
      </c>
      <c r="D93" s="70"/>
      <c r="F93" s="161" t="str">
        <f>IF(F$75="Inget antal angivet","",IFERROR(INDEX($AI$76:$BI$101,MATCH(F$72,$AG$76:$AG$101,0),MATCH($B93,$AI$76:$BI$76,0)),""))</f>
        <v/>
      </c>
      <c r="G93" s="162">
        <f t="shared" ref="G93:I95" ca="1" si="79">IFERROR(INDEX($AI$76:$BI$101,MATCH(G$72,$AG$76:$AG$101,0),MATCH($B93,$AI$76:$BI$76,0)),"")</f>
        <v>101</v>
      </c>
      <c r="H93" s="162">
        <f t="shared" ca="1" si="79"/>
        <v>94</v>
      </c>
      <c r="I93" s="162">
        <f t="shared" ca="1" si="79"/>
        <v>89</v>
      </c>
      <c r="J93" s="62"/>
      <c r="AY93" s="63"/>
      <c r="AZ93" s="63"/>
      <c r="BA93" s="63"/>
      <c r="BB93" s="63"/>
      <c r="BC93" s="63"/>
      <c r="BD93" s="63"/>
      <c r="BE93" s="63"/>
      <c r="BF93" s="63"/>
      <c r="BG93" s="63"/>
      <c r="BH93" s="63"/>
      <c r="BI93" s="63"/>
    </row>
    <row r="94" spans="2:61" ht="22.5" customHeight="1" outlineLevel="1" x14ac:dyDescent="0.35">
      <c r="B94" s="71" t="s">
        <v>229</v>
      </c>
      <c r="C94" s="61" t="s">
        <v>368</v>
      </c>
      <c r="D94" s="70"/>
      <c r="F94" s="165" t="str">
        <f>IF(F$75="Inget antal angivet","",IFERROR(INDEX($AI$76:$BI$101,MATCH(F$72,$AG$76:$AG$101,0),MATCH($B94,$AI$76:$BI$76,0)),""))</f>
        <v/>
      </c>
      <c r="G94" s="166">
        <f t="shared" ca="1" si="79"/>
        <v>50</v>
      </c>
      <c r="H94" s="166">
        <f t="shared" ca="1" si="79"/>
        <v>85</v>
      </c>
      <c r="I94" s="166">
        <f t="shared" ca="1" si="79"/>
        <v>25</v>
      </c>
      <c r="J94" s="73"/>
      <c r="AY94" s="63"/>
      <c r="AZ94" s="63"/>
      <c r="BA94" s="63"/>
      <c r="BB94" s="63"/>
      <c r="BC94" s="63"/>
      <c r="BD94" s="63"/>
      <c r="BE94" s="63"/>
      <c r="BF94" s="63"/>
      <c r="BG94" s="63"/>
      <c r="BH94" s="63"/>
      <c r="BI94" s="63"/>
    </row>
    <row r="95" spans="2:61" ht="22.5" customHeight="1" outlineLevel="1" x14ac:dyDescent="0.35">
      <c r="B95" s="71" t="s">
        <v>230</v>
      </c>
      <c r="C95" s="96" t="s">
        <v>369</v>
      </c>
      <c r="D95" s="70"/>
      <c r="F95" s="163" t="str">
        <f>IF(F$75="Inget antal angivet","",IFERROR(INDEX($AI$76:$BI$101,MATCH(F$72,$AG$76:$AG$101,0),MATCH($B95,$AI$76:$BI$76,0)),""))</f>
        <v/>
      </c>
      <c r="G95" s="164">
        <f t="shared" ca="1" si="79"/>
        <v>50</v>
      </c>
      <c r="H95" s="164">
        <f t="shared" ca="1" si="79"/>
        <v>100</v>
      </c>
      <c r="I95" s="164">
        <f t="shared" ca="1" si="79"/>
        <v>25</v>
      </c>
      <c r="J95" s="54"/>
      <c r="AY95" s="63"/>
      <c r="AZ95" s="63"/>
      <c r="BA95" s="63"/>
      <c r="BB95" s="63"/>
      <c r="BC95" s="63"/>
      <c r="BD95" s="63"/>
      <c r="BE95" s="63"/>
      <c r="BF95" s="63"/>
      <c r="BG95" s="63"/>
      <c r="BH95" s="63"/>
      <c r="BI95" s="63"/>
    </row>
    <row r="96" spans="2:61" ht="22.5" customHeight="1" outlineLevel="1" x14ac:dyDescent="0.35">
      <c r="J96" s="73"/>
      <c r="AY96" s="63"/>
      <c r="AZ96" s="63"/>
      <c r="BA96" s="63"/>
      <c r="BB96" s="63"/>
      <c r="BC96" s="63"/>
      <c r="BD96" s="63"/>
      <c r="BE96" s="63"/>
      <c r="BF96" s="63"/>
      <c r="BG96" s="63"/>
      <c r="BH96" s="63"/>
      <c r="BI96" s="63"/>
    </row>
    <row r="97" spans="2:75" ht="22.5" customHeight="1" x14ac:dyDescent="0.35">
      <c r="J97" s="54"/>
      <c r="AY97" s="63"/>
      <c r="AZ97" s="63"/>
      <c r="BA97" s="63"/>
      <c r="BB97" s="63"/>
      <c r="BC97" s="63"/>
      <c r="BD97" s="63"/>
      <c r="BE97" s="63"/>
      <c r="BF97" s="63"/>
      <c r="BG97" s="63"/>
      <c r="BH97" s="63"/>
      <c r="BI97" s="63"/>
    </row>
    <row r="98" spans="2:75" ht="22.5" customHeight="1" x14ac:dyDescent="0.35">
      <c r="D98" s="72" t="s">
        <v>233</v>
      </c>
      <c r="F98" s="221" t="s">
        <v>252</v>
      </c>
      <c r="G98" s="221"/>
      <c r="H98" s="221"/>
      <c r="I98" s="222"/>
      <c r="J98" s="73"/>
      <c r="AY98" s="63"/>
      <c r="AZ98" s="63"/>
      <c r="BA98" s="63"/>
      <c r="BB98" s="63"/>
      <c r="BC98" s="63"/>
      <c r="BD98" s="63"/>
      <c r="BE98" s="63"/>
      <c r="BF98" s="63"/>
      <c r="BG98" s="63"/>
      <c r="BH98" s="63"/>
      <c r="BI98" s="63"/>
    </row>
    <row r="99" spans="2:75" ht="22.5" customHeight="1" x14ac:dyDescent="0.35">
      <c r="D99" s="74"/>
      <c r="F99" s="202" t="str">
        <f ca="1">IFERROR(INDEX($V$77:$V$88,MATCH(F72,$W$77:$W$88,0))*D99,"")</f>
        <v/>
      </c>
      <c r="G99" s="202">
        <f ca="1">IFERROR(P77 *D99,"")</f>
        <v>0</v>
      </c>
      <c r="H99" s="202">
        <f ca="1">IFERROR(P78 *D99,"")</f>
        <v>0</v>
      </c>
      <c r="I99" s="202">
        <f ca="1">IFERROR(P79 * D99,"")</f>
        <v>0</v>
      </c>
      <c r="J99" s="54"/>
      <c r="AY99" s="63"/>
      <c r="AZ99" s="63"/>
      <c r="BA99" s="63"/>
      <c r="BB99" s="63"/>
      <c r="BC99" s="63"/>
      <c r="BD99" s="63"/>
      <c r="BE99" s="63"/>
      <c r="BF99" s="63"/>
      <c r="BG99" s="63"/>
      <c r="BH99" s="63"/>
      <c r="BI99" s="63"/>
    </row>
    <row r="100" spans="2:75" x14ac:dyDescent="0.35">
      <c r="AY100" s="63"/>
      <c r="AZ100" s="63"/>
      <c r="BA100" s="63"/>
      <c r="BB100" s="63"/>
      <c r="BC100" s="63"/>
      <c r="BD100" s="63"/>
      <c r="BE100" s="63"/>
      <c r="BF100" s="63"/>
      <c r="BG100" s="63"/>
      <c r="BH100" s="63"/>
      <c r="BI100" s="63"/>
    </row>
    <row r="101" spans="2:75" ht="15" thickBot="1" x14ac:dyDescent="0.4">
      <c r="C101" s="174"/>
      <c r="D101" s="174"/>
      <c r="E101" s="174"/>
      <c r="F101" s="174"/>
      <c r="G101" s="174"/>
      <c r="H101" s="174"/>
      <c r="I101" s="174"/>
      <c r="AY101" s="63"/>
      <c r="AZ101" s="63"/>
      <c r="BA101" s="63"/>
      <c r="BB101" s="63"/>
      <c r="BC101" s="63"/>
      <c r="BD101" s="63"/>
      <c r="BE101" s="63"/>
      <c r="BF101" s="63"/>
      <c r="BG101" s="63"/>
      <c r="BH101" s="63"/>
      <c r="BI101" s="63"/>
    </row>
    <row r="102" spans="2:75" ht="15" thickTop="1" x14ac:dyDescent="0.35"/>
    <row r="104" spans="2:75" ht="71.25" customHeight="1" collapsed="1" x14ac:dyDescent="0.35">
      <c r="C104" s="53"/>
      <c r="D104" s="53"/>
      <c r="F104" s="50" t="e">
        <f ca="1">N108</f>
        <v>#N/A</v>
      </c>
      <c r="G104" s="50" t="str">
        <f ca="1">INDEX(W109:W133,MATCH(P109,V109:V133,0))</f>
        <v>Offererad produktnr. 11Advania Sverige AB</v>
      </c>
      <c r="H104" s="50" t="str">
        <f ca="1">INDEX(W108:W132,MATCH(P110,V108:V132,0))</f>
        <v>Offererad produktnr. 11Atea Sverige AB</v>
      </c>
      <c r="I104" s="50" t="str">
        <f ca="1">INDEX(W108:W132,MATCH(P111,V108:V132,0))</f>
        <v>Offererad produktnr. 11Qlosr Göteborg AB</v>
      </c>
      <c r="AI104" s="12" t="s">
        <v>124</v>
      </c>
      <c r="AJ104" s="12" t="s">
        <v>124</v>
      </c>
      <c r="AK104" s="12" t="s">
        <v>124</v>
      </c>
      <c r="AL104" s="12" t="s">
        <v>124</v>
      </c>
      <c r="AM104" s="12" t="s">
        <v>124</v>
      </c>
      <c r="AN104" s="12" t="s">
        <v>124</v>
      </c>
      <c r="AO104" s="12" t="s">
        <v>124</v>
      </c>
      <c r="AP104" s="12" t="s">
        <v>124</v>
      </c>
      <c r="AQ104" s="12" t="s">
        <v>124</v>
      </c>
      <c r="AR104" s="12" t="s">
        <v>124</v>
      </c>
      <c r="AS104" s="12" t="s">
        <v>124</v>
      </c>
      <c r="AT104" s="12" t="s">
        <v>124</v>
      </c>
      <c r="AU104" s="12" t="s">
        <v>124</v>
      </c>
      <c r="AV104" s="12" t="s">
        <v>124</v>
      </c>
      <c r="AW104" s="12" t="s">
        <v>124</v>
      </c>
      <c r="AX104" s="12" t="s">
        <v>124</v>
      </c>
      <c r="AY104" s="12" t="s">
        <v>124</v>
      </c>
      <c r="AZ104" s="12" t="s">
        <v>124</v>
      </c>
      <c r="BA104" s="12" t="s">
        <v>124</v>
      </c>
      <c r="BB104" s="12" t="s">
        <v>124</v>
      </c>
      <c r="BC104" s="12" t="s">
        <v>124</v>
      </c>
      <c r="BD104" s="12" t="s">
        <v>124</v>
      </c>
      <c r="BE104" s="12" t="s">
        <v>124</v>
      </c>
      <c r="BF104" s="12" t="s">
        <v>124</v>
      </c>
      <c r="BG104" s="12" t="s">
        <v>124</v>
      </c>
      <c r="BH104" s="12" t="s">
        <v>124</v>
      </c>
      <c r="BI104" s="12" t="s">
        <v>124</v>
      </c>
      <c r="BJ104" s="12"/>
      <c r="BK104" s="12"/>
      <c r="BL104" s="12"/>
      <c r="BM104" s="12"/>
      <c r="BN104" s="12"/>
      <c r="BO104" s="12"/>
      <c r="BP104" s="12"/>
      <c r="BQ104" s="12"/>
      <c r="BR104" s="12"/>
      <c r="BS104" s="12"/>
      <c r="BT104" s="12"/>
      <c r="BU104" s="12"/>
      <c r="BV104" s="12"/>
      <c r="BW104" s="12"/>
    </row>
    <row r="105" spans="2:75" ht="26.25" customHeight="1" thickBot="1" x14ac:dyDescent="0.4">
      <c r="C105" s="53"/>
      <c r="D105" s="53"/>
      <c r="F105" s="140" t="s">
        <v>446</v>
      </c>
      <c r="G105" s="205" t="s">
        <v>447</v>
      </c>
      <c r="H105" s="205"/>
      <c r="I105" s="205"/>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row>
    <row r="106" spans="2:75" ht="22.5" customHeight="1" thickBot="1" x14ac:dyDescent="0.4">
      <c r="B106" t="str">
        <f ca="1" xml:space="preserve"> "Produkt "  &amp; B107</f>
        <v>Produkt 4</v>
      </c>
      <c r="C106" s="206" t="str">
        <f>IF(F107="Ingen produkt motsvarar","Felmeddelande",IF(COUNTIF($P$1:$P$6,TRUE)&gt;0,"","Felmeddelande"))</f>
        <v/>
      </c>
      <c r="D106" s="207"/>
      <c r="F106" s="218" t="s">
        <v>271</v>
      </c>
      <c r="G106" s="218"/>
      <c r="H106" s="218"/>
      <c r="I106" s="219"/>
      <c r="O106">
        <v>1</v>
      </c>
      <c r="AI106" s="13" t="str">
        <f t="shared" ref="AI106:AW106" si="80">AI108</f>
        <v>Skärmstorlek (tum)</v>
      </c>
      <c r="AJ106" s="13" t="str">
        <f t="shared" si="80"/>
        <v>Upplösning</v>
      </c>
      <c r="AK106" s="13" t="str">
        <f t="shared" si="80"/>
        <v>Portar USB</v>
      </c>
      <c r="AL106" s="13" t="str">
        <f t="shared" si="80"/>
        <v>Portar HDMI</v>
      </c>
      <c r="AM106" s="13" t="str">
        <f t="shared" si="80"/>
        <v>Portar Display</v>
      </c>
      <c r="AN106" s="13" t="str">
        <f t="shared" si="80"/>
        <v>Antal färger</v>
      </c>
      <c r="AO106" s="13" t="str">
        <f t="shared" si="80"/>
        <v>Ljusstyrka</v>
      </c>
      <c r="AP106" s="13" t="str">
        <f t="shared" si="80"/>
        <v>Energiprestanda</v>
      </c>
      <c r="AQ106" s="13" t="str">
        <f t="shared" si="80"/>
        <v>Låsskydd</v>
      </c>
      <c r="AR106" s="13" t="str">
        <f t="shared" si="80"/>
        <v>Kommunikation Bluetooth</v>
      </c>
      <c r="AS106" s="13" t="str">
        <f t="shared" si="80"/>
        <v>Batteritid (tim)</v>
      </c>
      <c r="AT106" s="13" t="str">
        <f t="shared" si="80"/>
        <v>Energiprestanda</v>
      </c>
      <c r="AU106" s="13" t="str">
        <f t="shared" si="80"/>
        <v>Låsskydd</v>
      </c>
      <c r="AV106" s="13" t="str">
        <f t="shared" si="80"/>
        <v>Operativsystem</v>
      </c>
      <c r="AW106" s="13" t="str">
        <f t="shared" si="80"/>
        <v>Modellbenämning</v>
      </c>
      <c r="AX106" t="s">
        <v>224</v>
      </c>
      <c r="AY106" s="56" t="s">
        <v>53</v>
      </c>
      <c r="AZ106" s="57" t="s">
        <v>228</v>
      </c>
      <c r="BA106" s="57" t="s">
        <v>229</v>
      </c>
      <c r="BB106" s="57" t="s">
        <v>230</v>
      </c>
      <c r="BC106" s="56" t="s">
        <v>340</v>
      </c>
      <c r="BD106" s="57" t="s">
        <v>345</v>
      </c>
      <c r="BE106" s="57"/>
      <c r="BF106" s="57"/>
      <c r="BG106" s="57"/>
      <c r="BH106" s="57" t="s">
        <v>6</v>
      </c>
      <c r="BI106" s="4" t="s">
        <v>51</v>
      </c>
      <c r="BJ106" s="13"/>
      <c r="BK106" s="13"/>
      <c r="BL106" s="13"/>
      <c r="BM106" s="13"/>
      <c r="BN106" s="13"/>
      <c r="BO106" s="13"/>
      <c r="BP106" s="13"/>
      <c r="BQ106" s="13"/>
      <c r="BR106" s="13"/>
      <c r="BS106" s="13"/>
      <c r="BT106" s="13"/>
      <c r="BU106" s="13"/>
      <c r="BV106" s="13"/>
      <c r="BW106" s="13"/>
    </row>
    <row r="107" spans="2:75" ht="22.5" customHeight="1" x14ac:dyDescent="0.35">
      <c r="B107">
        <f ca="1">COUNTIF($F$7:F110,"Produkt I varukorg*")</f>
        <v>4</v>
      </c>
      <c r="F107" s="51" t="str">
        <f>IF(D131&lt;1,"Inget antal angivet",IFERROR(INDEX($V$109:$V$120,MATCH(F104,$W$109:$W$120,0)),"Ingen produkt motsvarar"))</f>
        <v>Inget antal angivet</v>
      </c>
      <c r="G107" s="52">
        <f ca="1">IFERROR(P109,"Ingen produkt motsvarar")</f>
        <v>1981</v>
      </c>
      <c r="H107" s="52">
        <f ca="1">IFERROR(P110,"")</f>
        <v>2034</v>
      </c>
      <c r="I107" s="52">
        <f ca="1">IFERROR(P111,"")</f>
        <v>2076</v>
      </c>
      <c r="W107" t="str">
        <f>IF(COUNTIF(X107:AF107,FALSE)&gt;0,AG107,"")</f>
        <v/>
      </c>
      <c r="X107" t="b">
        <f>IF($D$110="",TRUE,IF(AI107=$D$110,TRUE,FALSE))</f>
        <v>1</v>
      </c>
      <c r="Y107" t="b">
        <f>IF(D109="",TRUE,IF(AJ107=$D$111,TRUE,FALSE))</f>
        <v>1</v>
      </c>
      <c r="Z107" t="b">
        <f>IF(D110="",TRUE,IF(AK107=D110,TRUE,FALSE))</f>
        <v>1</v>
      </c>
      <c r="AA107" t="b">
        <f>IF(D111="",TRUE,IF(AL107=D111,TRUE,FALSE))</f>
        <v>1</v>
      </c>
      <c r="AB107" t="b">
        <f>IF(D115="",TRUE,IF(AM107=D115,TRUE,FALSE))</f>
        <v>1</v>
      </c>
      <c r="AC107" t="b">
        <f>IF(D116="",TRUE,IF(AN107=D116,TRUE,FALSE))</f>
        <v>1</v>
      </c>
      <c r="AE107" t="b">
        <f>IF(D114="",TRUE,IF(AO107=D114,TRUE,FALSE))</f>
        <v>1</v>
      </c>
      <c r="AF107" t="b">
        <f>IFERROR(IF($D117="",TRUE,IF(MID(AT107,LEN(AT107)-2,1)*1&gt;=MID($D117,LEN($D117)-2,1)*1,TRUE,FALSE)),FALSE)</f>
        <v>1</v>
      </c>
      <c r="AG107" t="s">
        <v>126</v>
      </c>
      <c r="AI107" s="58" t="str">
        <f t="shared" ref="AI107:BI107" ca="1" si="81">IFERROR(INDEX(INDIRECT(AI$104&amp;"!$A$10:CC100000"),MATCH($AG107,INDIRECT(AI$104&amp;"!BH$10:BH100000"),0),MATCH(AI$106,INDIRECT(AI$104&amp;"!a10:CC10"),0)),"False")</f>
        <v>False</v>
      </c>
      <c r="AJ107" s="58" t="str">
        <f t="shared" ca="1" si="81"/>
        <v>False</v>
      </c>
      <c r="AK107" s="58" t="str">
        <f t="shared" ca="1" si="81"/>
        <v>False</v>
      </c>
      <c r="AL107" s="58" t="str">
        <f t="shared" ca="1" si="81"/>
        <v>False</v>
      </c>
      <c r="AM107" s="58" t="str">
        <f t="shared" ca="1" si="81"/>
        <v>False</v>
      </c>
      <c r="AN107" s="58" t="str">
        <f t="shared" ca="1" si="81"/>
        <v>False</v>
      </c>
      <c r="AO107" s="58" t="str">
        <f t="shared" ca="1" si="81"/>
        <v>False</v>
      </c>
      <c r="AP107" s="58" t="str">
        <f t="shared" ca="1" si="81"/>
        <v>False</v>
      </c>
      <c r="AQ107" s="58" t="str">
        <f t="shared" ca="1" si="81"/>
        <v>False</v>
      </c>
      <c r="AR107" s="58" t="str">
        <f t="shared" ca="1" si="81"/>
        <v>False</v>
      </c>
      <c r="AS107" s="58" t="str">
        <f t="shared" ca="1" si="81"/>
        <v>False</v>
      </c>
      <c r="AT107" s="58" t="str">
        <f t="shared" ca="1" si="81"/>
        <v>False</v>
      </c>
      <c r="AU107" s="58" t="str">
        <f t="shared" ca="1" si="81"/>
        <v>False</v>
      </c>
      <c r="AV107" s="58" t="str">
        <f t="shared" ca="1" si="81"/>
        <v>False</v>
      </c>
      <c r="AW107" s="58" t="str">
        <f t="shared" ca="1" si="81"/>
        <v>False</v>
      </c>
      <c r="AX107" s="58" t="str">
        <f t="shared" ca="1" si="81"/>
        <v>False</v>
      </c>
      <c r="AY107" s="58" t="str">
        <f t="shared" ca="1" si="81"/>
        <v>False</v>
      </c>
      <c r="AZ107" s="58" t="str">
        <f t="shared" ca="1" si="81"/>
        <v>False</v>
      </c>
      <c r="BA107" s="58" t="str">
        <f t="shared" ca="1" si="81"/>
        <v>False</v>
      </c>
      <c r="BB107" s="58" t="str">
        <f t="shared" ca="1" si="81"/>
        <v>False</v>
      </c>
      <c r="BC107" s="58" t="str">
        <f t="shared" ca="1" si="81"/>
        <v>False</v>
      </c>
      <c r="BD107" s="58" t="str">
        <f t="shared" ca="1" si="81"/>
        <v>False</v>
      </c>
      <c r="BE107" s="58" t="str">
        <f t="shared" ca="1" si="81"/>
        <v>False</v>
      </c>
      <c r="BF107" s="58" t="str">
        <f t="shared" ca="1" si="81"/>
        <v>False</v>
      </c>
      <c r="BG107" s="58" t="str">
        <f t="shared" ca="1" si="81"/>
        <v>False</v>
      </c>
      <c r="BH107" s="58" t="str">
        <f t="shared" ca="1" si="81"/>
        <v>False</v>
      </c>
      <c r="BI107" s="58" t="str">
        <f t="shared" ca="1" si="81"/>
        <v>False</v>
      </c>
      <c r="BJ107" s="58"/>
      <c r="BK107" s="58"/>
      <c r="BL107" s="58"/>
      <c r="BM107" s="58"/>
      <c r="BN107" s="58"/>
      <c r="BO107" s="58"/>
      <c r="BP107" s="58"/>
      <c r="BQ107" s="58"/>
      <c r="BR107" s="58"/>
      <c r="BS107" s="58"/>
      <c r="BT107" s="58"/>
      <c r="BU107" s="58"/>
      <c r="BV107" s="58"/>
      <c r="BW107" s="58"/>
    </row>
    <row r="108" spans="2:75" ht="22.5" customHeight="1" x14ac:dyDescent="0.35">
      <c r="C108" s="210" t="str">
        <f ca="1" xml:space="preserve"> "Bildskärm "  &amp; RIGHT("00" &amp; B107,2)</f>
        <v>Bildskärm 04</v>
      </c>
      <c r="D108" s="211"/>
      <c r="F108" s="103" t="str">
        <f>IF(F$107="Inget antal angivet","",IFERROR(INDEX($AI$108:$BI$133,MATCH(F$104,$AG$108:$AG$133,0),MATCH("Modellbenämning",$AI$108:$BI$108,0)),""))</f>
        <v/>
      </c>
      <c r="G108" s="103" t="str">
        <f ca="1">IFERROR(INDEX($AI$108:$BI$133,MATCH(G$104,$AG$108:$AG$133,0),MATCH("Modellbenämning",$AI$108:$BI$108,0)),"")</f>
        <v>HP E24i G4 - E-Series - LED-skärm</v>
      </c>
      <c r="H108" s="103" t="str">
        <f ca="1">IFERROR(INDEX($AI$108:$BI$133,MATCH(H$104,$AG$108:$AG$133,0),MATCH("Modellbenämning",$AI$108:$BI$108,0)),"")</f>
        <v>F24T450FQR</v>
      </c>
      <c r="I108" s="103" t="str">
        <f ca="1">IFERROR(INDEX($AI$108:$BI$133,MATCH(I$104,$AG$108:$AG$133,0),MATCH("Modellbenämning",$AI$108:$BI$108,0)),"")</f>
        <v>P2422h</v>
      </c>
      <c r="J108" s="93"/>
      <c r="K108" s="103"/>
      <c r="L108" s="103"/>
      <c r="M108" s="103"/>
      <c r="N108" s="103" t="e">
        <f ca="1">INDEX($N$109:$N$114,MATCH(Överblick!$L$2,$M$109:$M$114,0))</f>
        <v>#N/A</v>
      </c>
      <c r="O108" s="103"/>
      <c r="P108" s="103"/>
      <c r="Q108" s="103"/>
      <c r="R108" s="103">
        <v>1</v>
      </c>
      <c r="S108" s="103">
        <v>2</v>
      </c>
      <c r="T108" s="103">
        <v>3</v>
      </c>
      <c r="U108" s="103">
        <v>5</v>
      </c>
      <c r="V108" s="103"/>
      <c r="W108" s="103" t="s">
        <v>122</v>
      </c>
      <c r="X108" s="103" t="s">
        <v>7</v>
      </c>
      <c r="Y108" s="103" t="s">
        <v>2</v>
      </c>
      <c r="Z108" s="103" t="s">
        <v>67</v>
      </c>
      <c r="AA108" s="103" t="s">
        <v>68</v>
      </c>
      <c r="AB108" s="103" t="s">
        <v>73</v>
      </c>
      <c r="AC108" s="103" t="s">
        <v>13</v>
      </c>
      <c r="AD108" s="103"/>
      <c r="AE108" s="103" t="s">
        <v>14</v>
      </c>
      <c r="AF108" s="103" t="s">
        <v>38</v>
      </c>
      <c r="AG108" s="103" t="s">
        <v>222</v>
      </c>
      <c r="AH108" s="103">
        <v>1</v>
      </c>
      <c r="AI108" s="103" t="s">
        <v>7</v>
      </c>
      <c r="AJ108" s="103" t="s">
        <v>2</v>
      </c>
      <c r="AK108" s="103" t="s">
        <v>67</v>
      </c>
      <c r="AL108" s="103" t="s">
        <v>68</v>
      </c>
      <c r="AM108" s="103" t="s">
        <v>73</v>
      </c>
      <c r="AN108" s="103" t="s">
        <v>13</v>
      </c>
      <c r="AO108" s="103" t="s">
        <v>14</v>
      </c>
      <c r="AP108" s="103" t="s">
        <v>38</v>
      </c>
      <c r="AQ108" s="103" t="s">
        <v>37</v>
      </c>
      <c r="AR108" s="103" t="s">
        <v>75</v>
      </c>
      <c r="AS108" s="103" t="s">
        <v>120</v>
      </c>
      <c r="AT108" s="103" t="s">
        <v>38</v>
      </c>
      <c r="AU108" s="103" t="s">
        <v>37</v>
      </c>
      <c r="AV108" s="103" t="s">
        <v>3</v>
      </c>
      <c r="AW108" s="103" t="s">
        <v>52</v>
      </c>
      <c r="AX108" s="103" t="s">
        <v>25</v>
      </c>
      <c r="AY108" s="103" t="s">
        <v>53</v>
      </c>
      <c r="AZ108" s="103" t="s">
        <v>228</v>
      </c>
      <c r="BA108" s="103" t="s">
        <v>229</v>
      </c>
      <c r="BB108" s="103" t="s">
        <v>230</v>
      </c>
      <c r="BC108" s="103" t="s">
        <v>340</v>
      </c>
      <c r="BD108" s="103" t="s">
        <v>345</v>
      </c>
      <c r="BE108" s="103"/>
      <c r="BF108" s="103"/>
      <c r="BG108" s="103"/>
      <c r="BH108" s="103" t="s">
        <v>6</v>
      </c>
      <c r="BI108" s="103" t="s">
        <v>51</v>
      </c>
      <c r="BJ108" s="103" t="s">
        <v>7</v>
      </c>
      <c r="BK108" s="103" t="s">
        <v>2</v>
      </c>
      <c r="BL108" s="103" t="s">
        <v>67</v>
      </c>
      <c r="BM108" s="103" t="s">
        <v>68</v>
      </c>
      <c r="BN108" s="103" t="s">
        <v>73</v>
      </c>
      <c r="BO108" s="103" t="s">
        <v>13</v>
      </c>
      <c r="BP108" s="103" t="s">
        <v>14</v>
      </c>
      <c r="BQ108" s="103" t="s">
        <v>38</v>
      </c>
      <c r="BR108" s="103" t="s">
        <v>37</v>
      </c>
      <c r="BS108" s="103" t="s">
        <v>120</v>
      </c>
      <c r="BT108" s="103" t="s">
        <v>38</v>
      </c>
      <c r="BU108" s="103" t="s">
        <v>37</v>
      </c>
      <c r="BV108" s="103" t="s">
        <v>3</v>
      </c>
    </row>
    <row r="109" spans="2:75" ht="22.5" customHeight="1" outlineLevel="1" x14ac:dyDescent="0.35">
      <c r="C109" s="210" t="s">
        <v>261</v>
      </c>
      <c r="D109" s="211"/>
      <c r="F109" s="76" t="str">
        <f>IF(F$107="Inget antal angivet","",IFERROR(INDEX($AI$108:$BI$133,MATCH(F$104,$AG$108:$AG$133,0),MATCH("Varumärke",$AI$108:$BI$108,0)),""))</f>
        <v/>
      </c>
      <c r="G109" s="77" t="str">
        <f ca="1">IFERROR(INDEX($AI$108:$BI$133,MATCH(G$104,$AG$108:$AG$133,0),MATCH("Varumärke",$AI$108:$BI$108,0)),"")</f>
        <v>HP</v>
      </c>
      <c r="H109" s="77" t="str">
        <f ca="1">IFERROR(INDEX($AI$108:$BI$133,MATCH(H$104,$AG$108:$AG$133,0),MATCH("Varumärke",$AI$108:$BI$108,0)),"")</f>
        <v>Samsung</v>
      </c>
      <c r="I109" s="119" t="str">
        <f ca="1">IFERROR(INDEX($AI$108:$BI$133,MATCH(I$104,$AG$108:$AG$133,0),MATCH("Varumärke",$AI$108:$BI$108,0)),"")</f>
        <v>Dell</v>
      </c>
      <c r="K109" s="196">
        <f t="shared" ref="K109:K114" ca="1" si="82">O109*$D$131</f>
        <v>0</v>
      </c>
      <c r="L109" s="185" t="b">
        <f t="shared" ref="L109:L114" si="83">IF($D$131=0,TRUE,IF(K109=0,FALSE,TRUE))</f>
        <v>1</v>
      </c>
      <c r="M109" s="185" t="s">
        <v>162</v>
      </c>
      <c r="N109" s="185" t="str">
        <f t="shared" ref="N109:N114" ca="1" si="84">IFERROR(INDEX($W$109:$W$120,MATCH(O109,$V$109:$V$119,0)),"")</f>
        <v>Offererad produktnr. 11Advania Sverige AB</v>
      </c>
      <c r="O109" s="185" cm="1">
        <f t="array" aca="1" ref="O109" ca="1">MIN(IF(($BH$109:$BH$120=M109)*($AH$109:$AH$120=$O$106),$V$109:$V$120))</f>
        <v>1981</v>
      </c>
      <c r="P109" s="197">
        <f ca="1">IFERROR(SMALL($V$109:$V$133,1),"")</f>
        <v>1981</v>
      </c>
      <c r="Q109" s="185">
        <f t="shared" ref="Q109:Q118" si="85">SUM(R109:U109)</f>
        <v>0</v>
      </c>
      <c r="R109" s="185">
        <f t="shared" ref="R109:R118" si="86">IF($D$121="",0,AY109)</f>
        <v>0</v>
      </c>
      <c r="S109" s="185">
        <f t="shared" ref="S109:S118" si="87">IF($D$125="",0,AZ109)</f>
        <v>0</v>
      </c>
      <c r="T109" s="185">
        <f t="shared" ref="T109:T118" si="88">IF($D$126="",0,BA109)</f>
        <v>0</v>
      </c>
      <c r="U109" s="185">
        <f t="shared" ref="U109:U118" si="89">IF($D$127="",0,BD109)</f>
        <v>0</v>
      </c>
      <c r="V109" s="196">
        <f t="shared" ref="V109:V118" ca="1" si="90">IF(W109="","",SUM(AX109,R109:U109))</f>
        <v>1981</v>
      </c>
      <c r="W109" s="185" t="str">
        <f t="shared" ref="W109:W118" si="91">IF(COUNTIF(X109:AF109,FALSE)&gt;0,"",AG109)</f>
        <v>Offererad produktnr. 11Advania Sverige AB</v>
      </c>
      <c r="X109" s="185" t="b">
        <f>IF($D$110="",TRUE,IF(COUNTIF(Processor!$I$2:$I$9,$D$110)&gt;0,AND(AI109&gt;INDEX(Processor!$J$2:$J$9,MATCH($D$110,Processor!$I$2:$I$9,0)),AI109&lt;INDEX(Processor!$K$2:$K$9,MATCH($D$110,Processor!$I$2:$I$9,0))),IF(AI109=$D$110,TRUE,FALSE)))</f>
        <v>1</v>
      </c>
      <c r="Y109" s="185" t="b">
        <f t="shared" ref="Y109:Y118" si="92">IFERROR(IF($D$111="",TRUE,IF(AND(IF(LEFT(RIGHT($D$111,4),4)*1&lt;=1*LEFT(AJ109,4),TRUE,FALSE),IF(RIGHT(AJ109,LEN(AJ109)-FIND("x",AJ109))*1&gt;=1*RIGHT(RIGHT($D$111,4),4),TRUE,FALSE)),TRUE,FALSE)),0)</f>
        <v>1</v>
      </c>
      <c r="Z109" s="185" t="b">
        <f t="shared" ref="Z109:Z118" si="93">IF($D$112="",TRUE,IF(AK109&gt;=$D$112,TRUE,FALSE))</f>
        <v>1</v>
      </c>
      <c r="AA109" s="185" t="b">
        <f t="shared" ref="AA109:AA118" si="94">IF($D$113="",TRUE,IF(AL109&gt;=$D$113,TRUE,FALSE))</f>
        <v>1</v>
      </c>
      <c r="AB109" s="185" t="b">
        <f t="shared" ref="AB109:AB118" si="95">IF($D$114="",TRUE,IF(AM109&gt;=$D$114,TRUE,FALSE))</f>
        <v>1</v>
      </c>
      <c r="AC109" s="185" t="b">
        <f t="shared" ref="AC109:AC118" si="96">IF($D$115="",TRUE,IF(AN109&gt;=$D$115,TRUE,FALSE))</f>
        <v>1</v>
      </c>
      <c r="AD109" s="185"/>
      <c r="AE109" s="185" t="b">
        <f t="shared" ref="AE109:AE118" si="97">IF($D$116="",TRUE,IF(AO109&gt;=$D$116,TRUE,FALSE))</f>
        <v>1</v>
      </c>
      <c r="AF109" s="185" t="b">
        <f>IFERROR(IF($D117="",TRUE,IF(MID(AT109,LEN(AT109)-2,1)*1&gt;=MID($D117,LEN($D117)-2,1)*1,TRUE,FALSE)),FALSE)</f>
        <v>1</v>
      </c>
      <c r="AG109" s="185" t="s">
        <v>208</v>
      </c>
      <c r="AH109" s="201">
        <v>1</v>
      </c>
      <c r="AI109" s="185">
        <f t="shared" ref="AI109:AR118" ca="1" si="98">IFERROR(INDEX(INDIRECT(AI$104&amp;"!$A$10:CC100000"),MATCH($AG109,INDIRECT(AI$104&amp;"!BH$10:BH100000"),0),MATCH(AI$106,INDIRECT(AI$104&amp;"!a10:CC10"),0)),"False")</f>
        <v>24</v>
      </c>
      <c r="AJ109" s="185" t="str">
        <f t="shared" ca="1" si="98"/>
        <v>1920x1080</v>
      </c>
      <c r="AK109" s="185">
        <f t="shared" ca="1" si="98"/>
        <v>4</v>
      </c>
      <c r="AL109" s="185">
        <f t="shared" ca="1" si="98"/>
        <v>0</v>
      </c>
      <c r="AM109" s="185">
        <f t="shared" ca="1" si="98"/>
        <v>1</v>
      </c>
      <c r="AN109" s="185">
        <f t="shared" ca="1" si="98"/>
        <v>16700000</v>
      </c>
      <c r="AO109" s="185">
        <f t="shared" ca="1" si="98"/>
        <v>250</v>
      </c>
      <c r="AP109" s="185" t="str">
        <f t="shared" ca="1" si="98"/>
        <v>Version 8.0</v>
      </c>
      <c r="AQ109" s="185" t="str">
        <f t="shared" ca="1" si="98"/>
        <v>Ja</v>
      </c>
      <c r="AR109" s="185">
        <f t="shared" ca="1" si="98"/>
        <v>0</v>
      </c>
      <c r="AS109" s="185">
        <f t="shared" ref="AS109:BB118" ca="1" si="99">IFERROR(INDEX(INDIRECT(AS$104&amp;"!$A$10:CC100000"),MATCH($AG109,INDIRECT(AS$104&amp;"!BH$10:BH100000"),0),MATCH(AS$106,INDIRECT(AS$104&amp;"!a10:CC10"),0)),"False")</f>
        <v>0</v>
      </c>
      <c r="AT109" s="185" t="str">
        <f t="shared" ca="1" si="99"/>
        <v>Version 8.0</v>
      </c>
      <c r="AU109" s="185" t="str">
        <f t="shared" ca="1" si="99"/>
        <v>Ja</v>
      </c>
      <c r="AV109" s="185">
        <f t="shared" ca="1" si="99"/>
        <v>0</v>
      </c>
      <c r="AW109" s="185" t="str">
        <f t="shared" ca="1" si="99"/>
        <v>HP E24i G4 - E-Series - LED-skärm</v>
      </c>
      <c r="AX109" s="185">
        <f t="shared" ca="1" si="99"/>
        <v>1981</v>
      </c>
      <c r="AY109" s="192">
        <f t="shared" ca="1" si="99"/>
        <v>639</v>
      </c>
      <c r="AZ109" s="192">
        <f t="shared" ca="1" si="99"/>
        <v>101</v>
      </c>
      <c r="BA109" s="192">
        <f t="shared" ca="1" si="99"/>
        <v>50</v>
      </c>
      <c r="BB109" s="192">
        <f t="shared" ca="1" si="99"/>
        <v>50</v>
      </c>
      <c r="BC109" s="192" t="str">
        <f t="shared" ref="BC109:BI118" ca="1" si="100">IFERROR(INDEX(INDIRECT(BC$104&amp;"!$A$10:CC100000"),MATCH($AG109,INDIRECT(BC$104&amp;"!BH$10:BH100000"),0),MATCH(BC$106,INDIRECT(BC$104&amp;"!a10:CC10"),0)),"False")</f>
        <v>eSTUFF</v>
      </c>
      <c r="BD109" s="192" t="str">
        <f t="shared" ca="1" si="100"/>
        <v>GLBB24519325 -  Filter för personlig integritet - 2-vägs - 24" - svart</v>
      </c>
      <c r="BE109" s="192" t="str">
        <f t="shared" ca="1" si="100"/>
        <v>False</v>
      </c>
      <c r="BF109" s="192" t="str">
        <f t="shared" ca="1" si="100"/>
        <v>False</v>
      </c>
      <c r="BG109" s="192" t="str">
        <f t="shared" ca="1" si="100"/>
        <v>False</v>
      </c>
      <c r="BH109" s="192" t="str">
        <f t="shared" ca="1" si="100"/>
        <v>Advania Sverige AB</v>
      </c>
      <c r="BI109" s="192" t="str">
        <f t="shared" ca="1" si="100"/>
        <v>HP</v>
      </c>
      <c r="BJ109" s="199">
        <v>23.8</v>
      </c>
      <c r="BK109" s="185" t="s">
        <v>71</v>
      </c>
      <c r="BL109" s="185">
        <v>0</v>
      </c>
      <c r="BM109" s="185">
        <v>1</v>
      </c>
      <c r="BN109" s="185">
        <v>1</v>
      </c>
      <c r="BO109" s="185">
        <v>16700000</v>
      </c>
      <c r="BP109" s="185">
        <v>250</v>
      </c>
      <c r="BQ109" s="185" t="s">
        <v>352</v>
      </c>
      <c r="BR109" s="185" t="s">
        <v>69</v>
      </c>
      <c r="BS109" s="185"/>
      <c r="BT109" s="185"/>
      <c r="BU109" s="185" t="s">
        <v>352</v>
      </c>
      <c r="BV109" s="185" t="s">
        <v>69</v>
      </c>
      <c r="BW109">
        <v>0</v>
      </c>
    </row>
    <row r="110" spans="2:75" ht="22.5" customHeight="1" outlineLevel="1" x14ac:dyDescent="0.35">
      <c r="C110" s="61" t="s">
        <v>7</v>
      </c>
      <c r="D110" s="64"/>
      <c r="F110" s="78" t="str">
        <f t="shared" ref="F110:F118" si="101">IF(F$107="Inget antal angivet","",IFERROR(INDEX($AI$108:$BI$133,MATCH(F$104,$AG$108:$AG$133,0),MATCH($C110,$AI$108:$BI$108,0)),""))</f>
        <v/>
      </c>
      <c r="G110" s="79">
        <f t="shared" ref="G110:I118" ca="1" si="102">IFERROR(INDEX($AI$108:$BI$133,MATCH(G$104,$AG$108:$AG$133,0),MATCH($C110,$AI$108:$BI$108,0)),"")</f>
        <v>24</v>
      </c>
      <c r="H110" s="79">
        <f t="shared" ca="1" si="102"/>
        <v>23.8</v>
      </c>
      <c r="I110" s="120">
        <f t="shared" ca="1" si="102"/>
        <v>23.8</v>
      </c>
      <c r="J110" s="62"/>
      <c r="K110" s="196">
        <f t="shared" ca="1" si="82"/>
        <v>0</v>
      </c>
      <c r="L110" s="185" t="b">
        <f t="shared" si="83"/>
        <v>1</v>
      </c>
      <c r="M110" s="185" t="s">
        <v>150</v>
      </c>
      <c r="N110" s="185" t="str">
        <f t="shared" ca="1" si="84"/>
        <v>Offererad produktnr. 11Atea Sverige AB</v>
      </c>
      <c r="O110" s="185" cm="1">
        <f t="array" aca="1" ref="O110" ca="1">MIN(IF(($BH$109:$BH$120=M110)*($AH$109:$AH$120=$O$106),$V$109:$V$120))</f>
        <v>2034</v>
      </c>
      <c r="P110" s="197">
        <f ca="1">IFERROR(SMALL($V$109:$V$133,2),"")</f>
        <v>2034</v>
      </c>
      <c r="Q110" s="185">
        <f t="shared" si="85"/>
        <v>0</v>
      </c>
      <c r="R110" s="185">
        <f t="shared" si="86"/>
        <v>0</v>
      </c>
      <c r="S110" s="185">
        <f t="shared" si="87"/>
        <v>0</v>
      </c>
      <c r="T110" s="185">
        <f t="shared" si="88"/>
        <v>0</v>
      </c>
      <c r="U110" s="185">
        <f t="shared" si="89"/>
        <v>0</v>
      </c>
      <c r="V110" s="196">
        <f t="shared" ca="1" si="90"/>
        <v>3060</v>
      </c>
      <c r="W110" s="185" t="str">
        <f t="shared" si="91"/>
        <v>Offererad produktnr. 12Advania Sverige AB</v>
      </c>
      <c r="X110" s="185" t="b">
        <f>IF($D$110="",TRUE,IF(COUNTIF(Processor!$I$2:$I$9,$D$110)&gt;0,AND(AI110&gt;INDEX(Processor!$J$2:$J$9,MATCH($D$110,Processor!$I$2:$I$9,0)),AI110&lt;INDEX(Processor!$K$2:$K$9,MATCH($D$110,Processor!$I$2:$I$9,0))),IF(AI110=$D$110,TRUE,FALSE)))</f>
        <v>1</v>
      </c>
      <c r="Y110" s="185" t="b">
        <f t="shared" si="92"/>
        <v>1</v>
      </c>
      <c r="Z110" s="185" t="b">
        <f t="shared" si="93"/>
        <v>1</v>
      </c>
      <c r="AA110" s="185" t="b">
        <f t="shared" si="94"/>
        <v>1</v>
      </c>
      <c r="AB110" s="185" t="b">
        <f t="shared" si="95"/>
        <v>1</v>
      </c>
      <c r="AC110" s="185" t="b">
        <f t="shared" si="96"/>
        <v>1</v>
      </c>
      <c r="AD110" s="185"/>
      <c r="AE110" s="185" t="b">
        <f t="shared" si="97"/>
        <v>1</v>
      </c>
      <c r="AF110" s="185" t="b">
        <f>IFERROR(IF($D117="",TRUE,IF(MID(AT110,LEN(AT110)-2,1)*1&gt;=MID($D117,LEN($D117)-2,1)*1,TRUE,FALSE)),FALSE)</f>
        <v>1</v>
      </c>
      <c r="AG110" s="185" t="s">
        <v>209</v>
      </c>
      <c r="AH110" s="201">
        <v>1</v>
      </c>
      <c r="AI110" s="185">
        <f t="shared" ca="1" si="98"/>
        <v>27</v>
      </c>
      <c r="AJ110" s="185" t="str">
        <f t="shared" ca="1" si="98"/>
        <v>2560x1440</v>
      </c>
      <c r="AK110" s="185">
        <f t="shared" ca="1" si="98"/>
        <v>4</v>
      </c>
      <c r="AL110" s="185">
        <f t="shared" ca="1" si="98"/>
        <v>0</v>
      </c>
      <c r="AM110" s="185">
        <f t="shared" ca="1" si="98"/>
        <v>1</v>
      </c>
      <c r="AN110" s="185">
        <f t="shared" ca="1" si="98"/>
        <v>16700000</v>
      </c>
      <c r="AO110" s="185">
        <f t="shared" ca="1" si="98"/>
        <v>350</v>
      </c>
      <c r="AP110" s="185" t="str">
        <f t="shared" ca="1" si="98"/>
        <v>Version 8.0</v>
      </c>
      <c r="AQ110" s="185" t="str">
        <f t="shared" ca="1" si="98"/>
        <v>Ja</v>
      </c>
      <c r="AR110" s="185">
        <f t="shared" ca="1" si="98"/>
        <v>0</v>
      </c>
      <c r="AS110" s="185">
        <f t="shared" ca="1" si="99"/>
        <v>0</v>
      </c>
      <c r="AT110" s="185" t="str">
        <f t="shared" ca="1" si="99"/>
        <v>Version 8.0</v>
      </c>
      <c r="AU110" s="185" t="str">
        <f t="shared" ca="1" si="99"/>
        <v>Ja</v>
      </c>
      <c r="AV110" s="185">
        <f t="shared" ca="1" si="99"/>
        <v>0</v>
      </c>
      <c r="AW110" s="185" t="str">
        <f t="shared" ca="1" si="99"/>
        <v>HP E27q G5 - E-Series</v>
      </c>
      <c r="AX110" s="185">
        <f t="shared" ca="1" si="99"/>
        <v>3060</v>
      </c>
      <c r="AY110" s="192">
        <f t="shared" ca="1" si="99"/>
        <v>815</v>
      </c>
      <c r="AZ110" s="192">
        <f t="shared" ca="1" si="99"/>
        <v>101</v>
      </c>
      <c r="BA110" s="192">
        <f t="shared" ca="1" si="99"/>
        <v>50</v>
      </c>
      <c r="BB110" s="192">
        <f t="shared" ca="1" si="99"/>
        <v>50</v>
      </c>
      <c r="BC110" s="192" t="str">
        <f t="shared" ca="1" si="100"/>
        <v>eSTUFF</v>
      </c>
      <c r="BD110" s="192" t="str">
        <f t="shared" ca="1" si="100"/>
        <v>GLBB27598337 - Filter för personlig integritet - 2-vägs - 27" - svart</v>
      </c>
      <c r="BE110" s="192" t="str">
        <f t="shared" ca="1" si="100"/>
        <v>False</v>
      </c>
      <c r="BF110" s="192" t="str">
        <f t="shared" ca="1" si="100"/>
        <v>False</v>
      </c>
      <c r="BG110" s="192" t="str">
        <f t="shared" ca="1" si="100"/>
        <v>False</v>
      </c>
      <c r="BH110" s="192" t="str">
        <f t="shared" ca="1" si="100"/>
        <v>Advania Sverige AB</v>
      </c>
      <c r="BI110" s="192" t="str">
        <f t="shared" ca="1" si="100"/>
        <v>HP</v>
      </c>
      <c r="BJ110" s="199">
        <v>24</v>
      </c>
      <c r="BK110" s="185" t="s">
        <v>92</v>
      </c>
      <c r="BL110" s="185">
        <v>2</v>
      </c>
      <c r="BM110" s="185">
        <v>2</v>
      </c>
      <c r="BN110" s="185"/>
      <c r="BO110" s="185">
        <v>1070000000</v>
      </c>
      <c r="BP110" s="185">
        <v>300</v>
      </c>
      <c r="BQ110" s="185"/>
      <c r="BR110" s="185"/>
      <c r="BS110" s="185"/>
      <c r="BT110" s="185"/>
      <c r="BU110" s="185"/>
      <c r="BV110" s="185"/>
      <c r="BW110">
        <v>0</v>
      </c>
    </row>
    <row r="111" spans="2:75" ht="22.5" customHeight="1" outlineLevel="1" x14ac:dyDescent="0.35">
      <c r="C111" s="61" t="s">
        <v>2</v>
      </c>
      <c r="D111" s="64"/>
      <c r="F111" s="78" t="str">
        <f t="shared" si="101"/>
        <v/>
      </c>
      <c r="G111" s="79" t="str">
        <f t="shared" ca="1" si="102"/>
        <v>1920x1080</v>
      </c>
      <c r="H111" s="79" t="str">
        <f t="shared" ca="1" si="102"/>
        <v>1920x1080</v>
      </c>
      <c r="I111" s="120" t="str">
        <f t="shared" ca="1" si="102"/>
        <v>1920x1080</v>
      </c>
      <c r="J111" s="62"/>
      <c r="K111" s="196">
        <f t="shared" ca="1" si="82"/>
        <v>0</v>
      </c>
      <c r="L111" s="185" t="b">
        <f t="shared" si="83"/>
        <v>1</v>
      </c>
      <c r="M111" s="185" t="s">
        <v>128</v>
      </c>
      <c r="N111" s="185" t="str">
        <f t="shared" ca="1" si="84"/>
        <v>Offererad produktnr. 11Dustin Sverige AB</v>
      </c>
      <c r="O111" s="185" cm="1">
        <f t="array" aca="1" ref="O111" ca="1">MIN(IF(($BH$109:$BH$120=M111)*($AH$109:$AH$120=$O$106),$V$109:$V$120))</f>
        <v>2190</v>
      </c>
      <c r="P111" s="197">
        <f ca="1">IFERROR(SMALL($V$109:$V$133,3),"")</f>
        <v>2076</v>
      </c>
      <c r="Q111" s="185">
        <f t="shared" si="85"/>
        <v>0</v>
      </c>
      <c r="R111" s="185">
        <f t="shared" si="86"/>
        <v>0</v>
      </c>
      <c r="S111" s="185">
        <f t="shared" si="87"/>
        <v>0</v>
      </c>
      <c r="T111" s="185">
        <f t="shared" si="88"/>
        <v>0</v>
      </c>
      <c r="U111" s="185">
        <f t="shared" si="89"/>
        <v>0</v>
      </c>
      <c r="V111" s="196">
        <f t="shared" ca="1" si="90"/>
        <v>2034</v>
      </c>
      <c r="W111" s="185" t="str">
        <f t="shared" si="91"/>
        <v>Offererad produktnr. 11Atea Sverige AB</v>
      </c>
      <c r="X111" s="185" t="b">
        <f>IF($D$110="",TRUE,IF(COUNTIF(Processor!$I$2:$I$9,$D$110)&gt;0,AND(AI111&gt;INDEX(Processor!$J$2:$J$9,MATCH($D$110,Processor!$I$2:$I$9,0)),AI111&lt;INDEX(Processor!$K$2:$K$9,MATCH($D$110,Processor!$I$2:$I$9,0))),IF(AI111=$D$110,TRUE,FALSE)))</f>
        <v>1</v>
      </c>
      <c r="Y111" s="185" t="b">
        <f t="shared" si="92"/>
        <v>1</v>
      </c>
      <c r="Z111" s="185" t="b">
        <f t="shared" si="93"/>
        <v>1</v>
      </c>
      <c r="AA111" s="185" t="b">
        <f t="shared" si="94"/>
        <v>1</v>
      </c>
      <c r="AB111" s="185" t="b">
        <f t="shared" si="95"/>
        <v>1</v>
      </c>
      <c r="AC111" s="185" t="b">
        <f t="shared" si="96"/>
        <v>1</v>
      </c>
      <c r="AD111" s="185"/>
      <c r="AE111" s="185" t="b">
        <f t="shared" si="97"/>
        <v>1</v>
      </c>
      <c r="AF111" s="185" t="b">
        <f>IFERROR(IF($D117="",TRUE,IF(MID(AT111,LEN(AT111)-2,1)*1&gt;=MID($D117,LEN($D117)-2,1)*1,TRUE,FALSE)),FALSE)</f>
        <v>1</v>
      </c>
      <c r="AG111" s="185" t="s">
        <v>196</v>
      </c>
      <c r="AH111" s="201">
        <v>1</v>
      </c>
      <c r="AI111" s="185">
        <f t="shared" ca="1" si="98"/>
        <v>23.8</v>
      </c>
      <c r="AJ111" s="185" t="str">
        <f t="shared" ca="1" si="98"/>
        <v>1920x1080</v>
      </c>
      <c r="AK111" s="185">
        <f t="shared" ca="1" si="98"/>
        <v>2</v>
      </c>
      <c r="AL111" s="185">
        <f t="shared" ca="1" si="98"/>
        <v>0</v>
      </c>
      <c r="AM111" s="185">
        <f t="shared" ca="1" si="98"/>
        <v>1</v>
      </c>
      <c r="AN111" s="185">
        <f t="shared" ca="1" si="98"/>
        <v>16700000</v>
      </c>
      <c r="AO111" s="185">
        <f t="shared" ca="1" si="98"/>
        <v>250</v>
      </c>
      <c r="AP111" s="185" t="str">
        <f t="shared" ca="1" si="98"/>
        <v>Version 8.0</v>
      </c>
      <c r="AQ111" s="185" t="str">
        <f t="shared" ca="1" si="98"/>
        <v>Ja</v>
      </c>
      <c r="AR111" s="185">
        <f t="shared" ca="1" si="98"/>
        <v>0</v>
      </c>
      <c r="AS111" s="185">
        <f t="shared" ca="1" si="99"/>
        <v>0</v>
      </c>
      <c r="AT111" s="185" t="str">
        <f t="shared" ca="1" si="99"/>
        <v>Version 8.0</v>
      </c>
      <c r="AU111" s="185" t="str">
        <f t="shared" ca="1" si="99"/>
        <v>Ja</v>
      </c>
      <c r="AV111" s="185">
        <f t="shared" ca="1" si="99"/>
        <v>0</v>
      </c>
      <c r="AW111" s="185" t="str">
        <f t="shared" ca="1" si="99"/>
        <v>F24T450FQR</v>
      </c>
      <c r="AX111" s="185">
        <f t="shared" ca="1" si="99"/>
        <v>2034</v>
      </c>
      <c r="AY111" s="192">
        <f t="shared" ca="1" si="99"/>
        <v>778</v>
      </c>
      <c r="AZ111" s="192">
        <f t="shared" ca="1" si="99"/>
        <v>94</v>
      </c>
      <c r="BA111" s="192">
        <f t="shared" ca="1" si="99"/>
        <v>85</v>
      </c>
      <c r="BB111" s="192">
        <f t="shared" ca="1" si="99"/>
        <v>100</v>
      </c>
      <c r="BC111" s="192" t="str">
        <f t="shared" ca="1" si="100"/>
        <v>Targus</v>
      </c>
      <c r="BD111" s="192" t="str">
        <f t="shared" ca="1" si="100"/>
        <v>Targus Privacy Screen - filter för personlig integritet - 23,8 tum bred</v>
      </c>
      <c r="BE111" s="192" t="str">
        <f t="shared" ca="1" si="100"/>
        <v>False</v>
      </c>
      <c r="BF111" s="192" t="str">
        <f t="shared" ca="1" si="100"/>
        <v>False</v>
      </c>
      <c r="BG111" s="192" t="str">
        <f t="shared" ca="1" si="100"/>
        <v>False</v>
      </c>
      <c r="BH111" s="192" t="str">
        <f t="shared" ca="1" si="100"/>
        <v>Atea Sverige AB</v>
      </c>
      <c r="BI111" s="192" t="str">
        <f t="shared" ca="1" si="100"/>
        <v>Samsung</v>
      </c>
      <c r="BJ111" s="199">
        <v>27</v>
      </c>
      <c r="BK111" s="185"/>
      <c r="BL111" s="185">
        <v>4</v>
      </c>
      <c r="BM111" s="185"/>
      <c r="BN111" s="185"/>
      <c r="BO111" s="185"/>
      <c r="BP111" s="185">
        <v>350</v>
      </c>
      <c r="BQ111" s="185"/>
      <c r="BR111" s="185"/>
      <c r="BS111" s="185"/>
      <c r="BT111" s="185"/>
      <c r="BU111" s="185"/>
      <c r="BV111" s="185"/>
    </row>
    <row r="112" spans="2:75" ht="22.5" customHeight="1" outlineLevel="1" x14ac:dyDescent="0.35">
      <c r="B112" t="s">
        <v>272</v>
      </c>
      <c r="C112" s="61" t="s">
        <v>67</v>
      </c>
      <c r="D112" s="64"/>
      <c r="F112" s="78" t="str">
        <f t="shared" si="101"/>
        <v/>
      </c>
      <c r="G112" s="79">
        <f t="shared" ca="1" si="102"/>
        <v>4</v>
      </c>
      <c r="H112" s="79">
        <f t="shared" ca="1" si="102"/>
        <v>2</v>
      </c>
      <c r="I112" s="120">
        <f t="shared" ca="1" si="102"/>
        <v>5</v>
      </c>
      <c r="J112" s="62"/>
      <c r="K112" s="196">
        <f t="shared" ca="1" si="82"/>
        <v>0</v>
      </c>
      <c r="L112" s="185" t="b">
        <f t="shared" si="83"/>
        <v>1</v>
      </c>
      <c r="M112" s="185" t="s">
        <v>169</v>
      </c>
      <c r="N112" s="185" t="str">
        <f t="shared" ca="1" si="84"/>
        <v>Offererad produktnr. 11Foxway Education AB</v>
      </c>
      <c r="O112" s="185" cm="1">
        <f t="array" aca="1" ref="O112" ca="1">MIN(IF(($BH$109:$BH$120=M112)*($AH$109:$AH$120=$O$106),$V$109:$V$120))</f>
        <v>2361</v>
      </c>
      <c r="P112" s="197"/>
      <c r="Q112" s="185">
        <f t="shared" si="85"/>
        <v>0</v>
      </c>
      <c r="R112" s="185">
        <f t="shared" si="86"/>
        <v>0</v>
      </c>
      <c r="S112" s="185">
        <f t="shared" si="87"/>
        <v>0</v>
      </c>
      <c r="T112" s="185">
        <f t="shared" si="88"/>
        <v>0</v>
      </c>
      <c r="U112" s="185">
        <f t="shared" si="89"/>
        <v>0</v>
      </c>
      <c r="V112" s="196">
        <f t="shared" ca="1" si="90"/>
        <v>3234</v>
      </c>
      <c r="W112" s="185" t="str">
        <f t="shared" si="91"/>
        <v>Offererad produktnr. 12Atea Sverige AB</v>
      </c>
      <c r="X112" s="185" t="b">
        <f>IF($D$110="",TRUE,IF(COUNTIF(Processor!$I$2:$I$9,$D$110)&gt;0,AND(AI112&gt;INDEX(Processor!$J$2:$J$9,MATCH($D$110,Processor!$I$2:$I$9,0)),AI112&lt;INDEX(Processor!$K$2:$K$9,MATCH($D$110,Processor!$I$2:$I$9,0))),IF(AI112=$D$110,TRUE,FALSE)))</f>
        <v>1</v>
      </c>
      <c r="Y112" s="185" t="b">
        <f t="shared" si="92"/>
        <v>1</v>
      </c>
      <c r="Z112" s="185" t="b">
        <f t="shared" si="93"/>
        <v>1</v>
      </c>
      <c r="AA112" s="185" t="b">
        <f t="shared" si="94"/>
        <v>1</v>
      </c>
      <c r="AB112" s="185" t="b">
        <f t="shared" si="95"/>
        <v>1</v>
      </c>
      <c r="AC112" s="185" t="b">
        <f t="shared" si="96"/>
        <v>1</v>
      </c>
      <c r="AD112" s="185"/>
      <c r="AE112" s="185" t="b">
        <f t="shared" si="97"/>
        <v>1</v>
      </c>
      <c r="AF112" s="185" t="b">
        <f>IFERROR(IF($D117="",TRUE,IF(MID(AT112,LEN(AT112)-2,1)*1&gt;=MID($D117,LEN($D117)-2,1)*1,TRUE,FALSE)),FALSE)</f>
        <v>1</v>
      </c>
      <c r="AG112" s="185" t="s">
        <v>197</v>
      </c>
      <c r="AH112" s="201">
        <v>1</v>
      </c>
      <c r="AI112" s="185">
        <f t="shared" ca="1" si="98"/>
        <v>27</v>
      </c>
      <c r="AJ112" s="185" t="str">
        <f t="shared" ca="1" si="98"/>
        <v>2560x1440</v>
      </c>
      <c r="AK112" s="185">
        <f t="shared" ca="1" si="98"/>
        <v>4</v>
      </c>
      <c r="AL112" s="185">
        <f t="shared" ca="1" si="98"/>
        <v>0</v>
      </c>
      <c r="AM112" s="185">
        <f t="shared" ca="1" si="98"/>
        <v>1</v>
      </c>
      <c r="AN112" s="185">
        <f t="shared" ca="1" si="98"/>
        <v>1070000000</v>
      </c>
      <c r="AO112" s="185">
        <f t="shared" ca="1" si="98"/>
        <v>300</v>
      </c>
      <c r="AP112" s="185" t="str">
        <f t="shared" ca="1" si="98"/>
        <v>Version 8.0</v>
      </c>
      <c r="AQ112" s="185" t="str">
        <f t="shared" ca="1" si="98"/>
        <v>Ja</v>
      </c>
      <c r="AR112" s="185">
        <f t="shared" ca="1" si="98"/>
        <v>0</v>
      </c>
      <c r="AS112" s="185">
        <f t="shared" ca="1" si="99"/>
        <v>0</v>
      </c>
      <c r="AT112" s="185" t="str">
        <f t="shared" ca="1" si="99"/>
        <v>Version 8.0</v>
      </c>
      <c r="AU112" s="185" t="str">
        <f t="shared" ca="1" si="99"/>
        <v>Ja</v>
      </c>
      <c r="AV112" s="185">
        <f t="shared" ca="1" si="99"/>
        <v>0</v>
      </c>
      <c r="AW112" s="185" t="str">
        <f t="shared" ca="1" si="99"/>
        <v>S27A600NAU</v>
      </c>
      <c r="AX112" s="185">
        <f t="shared" ca="1" si="99"/>
        <v>3234</v>
      </c>
      <c r="AY112" s="192">
        <f t="shared" ca="1" si="99"/>
        <v>1020</v>
      </c>
      <c r="AZ112" s="192">
        <f t="shared" ca="1" si="99"/>
        <v>164</v>
      </c>
      <c r="BA112" s="192">
        <f t="shared" ca="1" si="99"/>
        <v>85</v>
      </c>
      <c r="BB112" s="192">
        <f t="shared" ca="1" si="99"/>
        <v>100</v>
      </c>
      <c r="BC112" s="192" t="str">
        <f t="shared" ca="1" si="100"/>
        <v>Targus</v>
      </c>
      <c r="BD112" s="192" t="str">
        <f t="shared" ca="1" si="100"/>
        <v>Targus Privacy Screen 27" Widescreen (16:9) - filter för personlig integritet - 27 tum bred</v>
      </c>
      <c r="BE112" s="192" t="str">
        <f t="shared" ca="1" si="100"/>
        <v>False</v>
      </c>
      <c r="BF112" s="192" t="str">
        <f t="shared" ca="1" si="100"/>
        <v>False</v>
      </c>
      <c r="BG112" s="192" t="str">
        <f t="shared" ca="1" si="100"/>
        <v>False</v>
      </c>
      <c r="BH112" s="192" t="str">
        <f t="shared" ca="1" si="100"/>
        <v>Atea Sverige AB</v>
      </c>
      <c r="BI112" s="192" t="str">
        <f t="shared" ca="1" si="100"/>
        <v>Samsung</v>
      </c>
      <c r="BJ112" s="199"/>
      <c r="BK112" s="185"/>
      <c r="BL112" s="185">
        <v>5</v>
      </c>
      <c r="BM112" s="185"/>
      <c r="BN112" s="185"/>
      <c r="BO112" s="185"/>
      <c r="BP112" s="185"/>
      <c r="BQ112" s="185"/>
      <c r="BR112" s="185"/>
      <c r="BS112" s="185"/>
      <c r="BT112" s="185"/>
      <c r="BU112" s="185"/>
      <c r="BV112" s="185"/>
    </row>
    <row r="113" spans="2:61" ht="22.5" customHeight="1" outlineLevel="1" x14ac:dyDescent="0.35">
      <c r="C113" s="61" t="s">
        <v>68</v>
      </c>
      <c r="D113" s="64"/>
      <c r="F113" s="78" t="str">
        <f t="shared" si="101"/>
        <v/>
      </c>
      <c r="G113" s="79">
        <f t="shared" ca="1" si="102"/>
        <v>0</v>
      </c>
      <c r="H113" s="79">
        <f t="shared" ca="1" si="102"/>
        <v>0</v>
      </c>
      <c r="I113" s="120">
        <f t="shared" ca="1" si="102"/>
        <v>0</v>
      </c>
      <c r="J113" s="62"/>
      <c r="K113" s="196">
        <f t="shared" ca="1" si="82"/>
        <v>0</v>
      </c>
      <c r="L113" s="185" t="b">
        <f t="shared" si="83"/>
        <v>1</v>
      </c>
      <c r="M113" s="185" t="s">
        <v>167</v>
      </c>
      <c r="N113" s="185" t="str">
        <f t="shared" ca="1" si="84"/>
        <v/>
      </c>
      <c r="O113" s="185" cm="1">
        <f t="array" aca="1" ref="O113" ca="1">MIN(IF(($BH$109:$BH$120=M113)*($AH$109:$AH$120=$O$106),$V$109:$V$120))</f>
        <v>0</v>
      </c>
      <c r="P113" s="197"/>
      <c r="Q113" s="185">
        <f t="shared" si="85"/>
        <v>0</v>
      </c>
      <c r="R113" s="185">
        <f t="shared" si="86"/>
        <v>0</v>
      </c>
      <c r="S113" s="185">
        <f t="shared" si="87"/>
        <v>0</v>
      </c>
      <c r="T113" s="185">
        <f t="shared" si="88"/>
        <v>0</v>
      </c>
      <c r="U113" s="185">
        <f t="shared" si="89"/>
        <v>0</v>
      </c>
      <c r="V113" s="196">
        <f t="shared" ca="1" si="90"/>
        <v>2190</v>
      </c>
      <c r="W113" s="185" t="str">
        <f t="shared" si="91"/>
        <v>Offererad produktnr. 11Dustin Sverige AB</v>
      </c>
      <c r="X113" s="185" t="b">
        <f>IF($D$110="",TRUE,IF(COUNTIF(Processor!$I$2:$I$9,$D$110)&gt;0,AND(AI113&gt;INDEX(Processor!$J$2:$J$9,MATCH($D$110,Processor!$I$2:$I$9,0)),AI113&lt;INDEX(Processor!$K$2:$K$9,MATCH($D$110,Processor!$I$2:$I$9,0))),IF(AI113=$D$110,TRUE,FALSE)))</f>
        <v>1</v>
      </c>
      <c r="Y113" s="185" t="b">
        <f t="shared" si="92"/>
        <v>1</v>
      </c>
      <c r="Z113" s="185" t="b">
        <f t="shared" si="93"/>
        <v>1</v>
      </c>
      <c r="AA113" s="185" t="b">
        <f t="shared" si="94"/>
        <v>1</v>
      </c>
      <c r="AB113" s="185" t="b">
        <f t="shared" si="95"/>
        <v>1</v>
      </c>
      <c r="AC113" s="185" t="b">
        <f t="shared" si="96"/>
        <v>1</v>
      </c>
      <c r="AD113" s="185"/>
      <c r="AE113" s="185" t="b">
        <f t="shared" si="97"/>
        <v>1</v>
      </c>
      <c r="AF113" s="185" t="b">
        <f>IFERROR(IF($D117="",TRUE,IF(MID(AT113,LEN(AT113)-2,1)*1&gt;=MID($D117,LEN($D117)-2,1)*1,TRUE,FALSE)),FALSE)</f>
        <v>1</v>
      </c>
      <c r="AG113" s="185" t="s">
        <v>184</v>
      </c>
      <c r="AH113" s="201">
        <v>1</v>
      </c>
      <c r="AI113" s="185">
        <f t="shared" ca="1" si="98"/>
        <v>23.8</v>
      </c>
      <c r="AJ113" s="185" t="str">
        <f t="shared" ca="1" si="98"/>
        <v>1920x1080</v>
      </c>
      <c r="AK113" s="185">
        <f t="shared" ca="1" si="98"/>
        <v>0</v>
      </c>
      <c r="AL113" s="185">
        <f t="shared" ca="1" si="98"/>
        <v>0</v>
      </c>
      <c r="AM113" s="185">
        <f t="shared" ca="1" si="98"/>
        <v>1</v>
      </c>
      <c r="AN113" s="185">
        <f t="shared" ca="1" si="98"/>
        <v>16700000</v>
      </c>
      <c r="AO113" s="185">
        <f t="shared" ca="1" si="98"/>
        <v>250</v>
      </c>
      <c r="AP113" s="185" t="str">
        <f t="shared" ca="1" si="98"/>
        <v>Version 8.0</v>
      </c>
      <c r="AQ113" s="185" t="str">
        <f t="shared" ca="1" si="98"/>
        <v>Ja</v>
      </c>
      <c r="AR113" s="185">
        <f t="shared" ca="1" si="98"/>
        <v>0</v>
      </c>
      <c r="AS113" s="185">
        <f t="shared" ca="1" si="99"/>
        <v>0</v>
      </c>
      <c r="AT113" s="185" t="str">
        <f t="shared" ca="1" si="99"/>
        <v>Version 8.0</v>
      </c>
      <c r="AU113" s="185" t="str">
        <f t="shared" ca="1" si="99"/>
        <v>Ja</v>
      </c>
      <c r="AV113" s="185">
        <f t="shared" ca="1" si="99"/>
        <v>0</v>
      </c>
      <c r="AW113" s="185" t="str">
        <f t="shared" ca="1" si="99"/>
        <v>HP P24h G5</v>
      </c>
      <c r="AX113" s="185">
        <f t="shared" ca="1" si="99"/>
        <v>2190</v>
      </c>
      <c r="AY113" s="192">
        <f t="shared" ca="1" si="99"/>
        <v>620</v>
      </c>
      <c r="AZ113" s="192">
        <f t="shared" ca="1" si="99"/>
        <v>28</v>
      </c>
      <c r="BA113" s="192">
        <f t="shared" ca="1" si="99"/>
        <v>20</v>
      </c>
      <c r="BB113" s="192">
        <f t="shared" ca="1" si="99"/>
        <v>20</v>
      </c>
      <c r="BC113" s="192" t="str">
        <f t="shared" ca="1" si="100"/>
        <v>Cirafon</v>
      </c>
      <c r="BD113" s="192" t="str">
        <f t="shared" ca="1" si="100"/>
        <v>DPF23.8-9</v>
      </c>
      <c r="BE113" s="192" t="str">
        <f t="shared" ca="1" si="100"/>
        <v>False</v>
      </c>
      <c r="BF113" s="192" t="str">
        <f t="shared" ca="1" si="100"/>
        <v>False</v>
      </c>
      <c r="BG113" s="192" t="str">
        <f t="shared" ca="1" si="100"/>
        <v>False</v>
      </c>
      <c r="BH113" s="192" t="str">
        <f t="shared" ca="1" si="100"/>
        <v>Dustin Sverige AB</v>
      </c>
      <c r="BI113" s="192" t="str">
        <f t="shared" ca="1" si="100"/>
        <v>HP</v>
      </c>
    </row>
    <row r="114" spans="2:61" ht="22.5" customHeight="1" outlineLevel="1" x14ac:dyDescent="0.35">
      <c r="C114" s="61" t="s">
        <v>73</v>
      </c>
      <c r="D114" s="64"/>
      <c r="F114" s="78" t="str">
        <f t="shared" si="101"/>
        <v/>
      </c>
      <c r="G114" s="79">
        <f t="shared" ca="1" si="102"/>
        <v>1</v>
      </c>
      <c r="H114" s="79">
        <f t="shared" ca="1" si="102"/>
        <v>1</v>
      </c>
      <c r="I114" s="120">
        <f t="shared" ca="1" si="102"/>
        <v>1</v>
      </c>
      <c r="J114" s="62"/>
      <c r="K114" s="196">
        <f t="shared" ca="1" si="82"/>
        <v>0</v>
      </c>
      <c r="L114" s="185" t="b">
        <f t="shared" si="83"/>
        <v>1</v>
      </c>
      <c r="M114" s="185" t="s">
        <v>546</v>
      </c>
      <c r="N114" s="185" t="str">
        <f t="shared" ca="1" si="84"/>
        <v>Offererad produktnr. 11Qlosr Göteborg AB</v>
      </c>
      <c r="O114" s="185" cm="1">
        <f t="array" aca="1" ref="O114" ca="1">MIN(IF(($BH$109:$BH$120=M114)*($AH$109:$AH$120=$O$106),$V$109:$V$120))</f>
        <v>2076</v>
      </c>
      <c r="P114" s="197"/>
      <c r="Q114" s="185">
        <f t="shared" si="85"/>
        <v>0</v>
      </c>
      <c r="R114" s="185">
        <f t="shared" si="86"/>
        <v>0</v>
      </c>
      <c r="S114" s="185">
        <f t="shared" si="87"/>
        <v>0</v>
      </c>
      <c r="T114" s="185">
        <f t="shared" si="88"/>
        <v>0</v>
      </c>
      <c r="U114" s="185">
        <f t="shared" si="89"/>
        <v>0</v>
      </c>
      <c r="V114" s="196">
        <f t="shared" ca="1" si="90"/>
        <v>3010</v>
      </c>
      <c r="W114" s="185" t="str">
        <f t="shared" si="91"/>
        <v>Offererad produktnr. 12Dustin Sverige AB</v>
      </c>
      <c r="X114" s="185" t="b">
        <f>IF($D$110="",TRUE,IF(COUNTIF(Processor!$I$2:$I$9,$D$110)&gt;0,AND(AI114&gt;INDEX(Processor!$J$2:$J$9,MATCH($D$110,Processor!$I$2:$I$9,0)),AI114&lt;INDEX(Processor!$K$2:$K$9,MATCH($D$110,Processor!$I$2:$I$9,0))),IF(AI114=$D$110,TRUE,FALSE)))</f>
        <v>1</v>
      </c>
      <c r="Y114" s="185" t="b">
        <f t="shared" si="92"/>
        <v>1</v>
      </c>
      <c r="Z114" s="185" t="b">
        <f t="shared" si="93"/>
        <v>1</v>
      </c>
      <c r="AA114" s="185" t="b">
        <f t="shared" si="94"/>
        <v>1</v>
      </c>
      <c r="AB114" s="185" t="b">
        <f t="shared" si="95"/>
        <v>1</v>
      </c>
      <c r="AC114" s="185" t="b">
        <f t="shared" si="96"/>
        <v>1</v>
      </c>
      <c r="AD114" s="185"/>
      <c r="AE114" s="185" t="b">
        <f t="shared" si="97"/>
        <v>1</v>
      </c>
      <c r="AF114" s="185" t="b">
        <f>IFERROR(IF($D117="",TRUE,IF(MID(AT114,LEN(AT114)-2,1)*1&gt;=MID($D117,LEN($D117)-2,1)*1,TRUE,FALSE)),FALSE)</f>
        <v>1</v>
      </c>
      <c r="AG114" s="185" t="s">
        <v>185</v>
      </c>
      <c r="AH114" s="201">
        <v>1</v>
      </c>
      <c r="AI114" s="185">
        <f t="shared" ca="1" si="98"/>
        <v>27</v>
      </c>
      <c r="AJ114" s="185" t="str">
        <f t="shared" ca="1" si="98"/>
        <v>2560x1440</v>
      </c>
      <c r="AK114" s="185">
        <f t="shared" ca="1" si="98"/>
        <v>4</v>
      </c>
      <c r="AL114" s="185">
        <f t="shared" ca="1" si="98"/>
        <v>0</v>
      </c>
      <c r="AM114" s="185">
        <f t="shared" ca="1" si="98"/>
        <v>1</v>
      </c>
      <c r="AN114" s="185">
        <f t="shared" ca="1" si="98"/>
        <v>16700000</v>
      </c>
      <c r="AO114" s="185">
        <f t="shared" ca="1" si="98"/>
        <v>350</v>
      </c>
      <c r="AP114" s="185" t="str">
        <f t="shared" ca="1" si="98"/>
        <v>Version 8.0</v>
      </c>
      <c r="AQ114" s="185" t="str">
        <f t="shared" ca="1" si="98"/>
        <v>Ja</v>
      </c>
      <c r="AR114" s="185">
        <f t="shared" ca="1" si="98"/>
        <v>0</v>
      </c>
      <c r="AS114" s="185">
        <f t="shared" ca="1" si="99"/>
        <v>0</v>
      </c>
      <c r="AT114" s="185" t="str">
        <f t="shared" ca="1" si="99"/>
        <v>Version 8.0</v>
      </c>
      <c r="AU114" s="185" t="str">
        <f t="shared" ca="1" si="99"/>
        <v>Ja</v>
      </c>
      <c r="AV114" s="185">
        <f t="shared" ca="1" si="99"/>
        <v>0</v>
      </c>
      <c r="AW114" s="185" t="str">
        <f t="shared" ca="1" si="99"/>
        <v>HP E27Q G5 PVC Free </v>
      </c>
      <c r="AX114" s="185">
        <f t="shared" ca="1" si="99"/>
        <v>3010</v>
      </c>
      <c r="AY114" s="192">
        <f t="shared" ca="1" si="99"/>
        <v>700</v>
      </c>
      <c r="AZ114" s="192">
        <f t="shared" ca="1" si="99"/>
        <v>28</v>
      </c>
      <c r="BA114" s="192">
        <f t="shared" ca="1" si="99"/>
        <v>20</v>
      </c>
      <c r="BB114" s="192">
        <f t="shared" ca="1" si="99"/>
        <v>20</v>
      </c>
      <c r="BC114" s="192" t="str">
        <f t="shared" ca="1" si="100"/>
        <v>Cirafon</v>
      </c>
      <c r="BD114" s="192" t="str">
        <f t="shared" ca="1" si="100"/>
        <v>DPF27-9</v>
      </c>
      <c r="BE114" s="192" t="str">
        <f t="shared" ca="1" si="100"/>
        <v>False</v>
      </c>
      <c r="BF114" s="192" t="str">
        <f t="shared" ca="1" si="100"/>
        <v>False</v>
      </c>
      <c r="BG114" s="192" t="str">
        <f t="shared" ca="1" si="100"/>
        <v>False</v>
      </c>
      <c r="BH114" s="192" t="str">
        <f t="shared" ca="1" si="100"/>
        <v>Dustin Sverige AB</v>
      </c>
      <c r="BI114" s="192" t="str">
        <f t="shared" ca="1" si="100"/>
        <v>HP</v>
      </c>
    </row>
    <row r="115" spans="2:61" ht="22.5" customHeight="1" outlineLevel="1" x14ac:dyDescent="0.35">
      <c r="C115" s="61" t="s">
        <v>13</v>
      </c>
      <c r="D115" s="135"/>
      <c r="F115" s="176" t="str">
        <f t="shared" si="101"/>
        <v/>
      </c>
      <c r="G115" s="136">
        <f t="shared" ca="1" si="102"/>
        <v>16700000</v>
      </c>
      <c r="H115" s="136">
        <f t="shared" ca="1" si="102"/>
        <v>16700000</v>
      </c>
      <c r="I115" s="137">
        <f t="shared" ca="1" si="102"/>
        <v>16700000</v>
      </c>
      <c r="J115" s="62"/>
      <c r="Q115" s="185">
        <f t="shared" si="85"/>
        <v>0</v>
      </c>
      <c r="R115" s="185">
        <f t="shared" si="86"/>
        <v>0</v>
      </c>
      <c r="S115" s="185">
        <f t="shared" si="87"/>
        <v>0</v>
      </c>
      <c r="T115" s="185">
        <f t="shared" si="88"/>
        <v>0</v>
      </c>
      <c r="U115" s="185">
        <f t="shared" si="89"/>
        <v>0</v>
      </c>
      <c r="V115" s="196">
        <f t="shared" ca="1" si="90"/>
        <v>2361</v>
      </c>
      <c r="W115" s="185" t="str">
        <f t="shared" si="91"/>
        <v>Offererad produktnr. 11Foxway Education AB</v>
      </c>
      <c r="X115" s="185" t="b">
        <f>IF($D$110="",TRUE,IF(COUNTIF(Processor!$I$2:$I$9,$D$110)&gt;0,AND(AI115&gt;INDEX(Processor!$J$2:$J$9,MATCH($D$110,Processor!$I$2:$I$9,0)),AI115&lt;INDEX(Processor!$K$2:$K$9,MATCH($D$110,Processor!$I$2:$I$9,0))),IF(AI115=$D$110,TRUE,FALSE)))</f>
        <v>1</v>
      </c>
      <c r="Y115" s="185" t="b">
        <f t="shared" si="92"/>
        <v>1</v>
      </c>
      <c r="Z115" s="185" t="b">
        <f t="shared" si="93"/>
        <v>1</v>
      </c>
      <c r="AA115" s="185" t="b">
        <f t="shared" si="94"/>
        <v>1</v>
      </c>
      <c r="AB115" s="185" t="b">
        <f t="shared" si="95"/>
        <v>1</v>
      </c>
      <c r="AC115" s="185" t="b">
        <f t="shared" si="96"/>
        <v>1</v>
      </c>
      <c r="AD115" s="185"/>
      <c r="AE115" s="185" t="b">
        <f t="shared" si="97"/>
        <v>1</v>
      </c>
      <c r="AF115" s="185" t="b">
        <f>IFERROR(IF($D117="",TRUE,IF(MID(AT115,LEN(AT115)-2,1)*1&gt;=MID($D117,LEN($D117)-2,1)*1,TRUE,FALSE)),FALSE)</f>
        <v>1</v>
      </c>
      <c r="AG115" s="185" t="s">
        <v>220</v>
      </c>
      <c r="AH115" s="201">
        <v>1</v>
      </c>
      <c r="AI115" s="185">
        <f t="shared" ca="1" si="98"/>
        <v>23.8</v>
      </c>
      <c r="AJ115" s="185" t="str">
        <f t="shared" ca="1" si="98"/>
        <v>1920x1080</v>
      </c>
      <c r="AK115" s="185">
        <f t="shared" ca="1" si="98"/>
        <v>0</v>
      </c>
      <c r="AL115" s="185">
        <f t="shared" ca="1" si="98"/>
        <v>0</v>
      </c>
      <c r="AM115" s="185">
        <f t="shared" ca="1" si="98"/>
        <v>1</v>
      </c>
      <c r="AN115" s="185">
        <f t="shared" ca="1" si="98"/>
        <v>16700000</v>
      </c>
      <c r="AO115" s="185">
        <f t="shared" ca="1" si="98"/>
        <v>250</v>
      </c>
      <c r="AP115" s="185" t="str">
        <f t="shared" ca="1" si="98"/>
        <v>Version 8.0</v>
      </c>
      <c r="AQ115" s="185" t="str">
        <f t="shared" ca="1" si="98"/>
        <v>Ja</v>
      </c>
      <c r="AR115" s="185">
        <f t="shared" ca="1" si="98"/>
        <v>0</v>
      </c>
      <c r="AS115" s="185">
        <f t="shared" ca="1" si="99"/>
        <v>0</v>
      </c>
      <c r="AT115" s="185" t="str">
        <f t="shared" ca="1" si="99"/>
        <v>Version 8.0</v>
      </c>
      <c r="AU115" s="185" t="str">
        <f t="shared" ca="1" si="99"/>
        <v>Ja</v>
      </c>
      <c r="AV115" s="185">
        <f t="shared" ca="1" si="99"/>
        <v>0</v>
      </c>
      <c r="AW115" s="185" t="str">
        <f t="shared" ca="1" si="99"/>
        <v>E24-29</v>
      </c>
      <c r="AX115" s="185">
        <f t="shared" ca="1" si="99"/>
        <v>2361</v>
      </c>
      <c r="AY115" s="192">
        <f t="shared" ca="1" si="99"/>
        <v>516</v>
      </c>
      <c r="AZ115" s="192">
        <f t="shared" ca="1" si="99"/>
        <v>90</v>
      </c>
      <c r="BA115" s="192">
        <f t="shared" ca="1" si="99"/>
        <v>60</v>
      </c>
      <c r="BB115" s="192">
        <f t="shared" ca="1" si="99"/>
        <v>50</v>
      </c>
      <c r="BC115" s="192" t="str">
        <f t="shared" ca="1" si="100"/>
        <v>Targus</v>
      </c>
      <c r="BD115" s="192" t="str">
        <f t="shared" ca="1" si="100"/>
        <v>Targus Privacy Screen 23.8"</v>
      </c>
      <c r="BE115" s="192" t="str">
        <f t="shared" ca="1" si="100"/>
        <v>False</v>
      </c>
      <c r="BF115" s="192" t="str">
        <f t="shared" ca="1" si="100"/>
        <v>False</v>
      </c>
      <c r="BG115" s="192" t="str">
        <f t="shared" ca="1" si="100"/>
        <v>False</v>
      </c>
      <c r="BH115" s="192" t="str">
        <f t="shared" ca="1" si="100"/>
        <v>Foxway Education AB</v>
      </c>
      <c r="BI115" s="192" t="str">
        <f t="shared" ca="1" si="100"/>
        <v>Lenovo</v>
      </c>
    </row>
    <row r="116" spans="2:61" ht="22.5" customHeight="1" outlineLevel="1" x14ac:dyDescent="0.35">
      <c r="C116" s="61" t="s">
        <v>14</v>
      </c>
      <c r="D116" s="64"/>
      <c r="F116" s="78" t="str">
        <f t="shared" si="101"/>
        <v/>
      </c>
      <c r="G116" s="79">
        <f t="shared" ca="1" si="102"/>
        <v>250</v>
      </c>
      <c r="H116" s="79">
        <f t="shared" ca="1" si="102"/>
        <v>250</v>
      </c>
      <c r="I116" s="120">
        <f t="shared" ca="1" si="102"/>
        <v>250</v>
      </c>
      <c r="J116" s="62"/>
      <c r="Q116" s="185">
        <f t="shared" si="85"/>
        <v>0</v>
      </c>
      <c r="R116" s="185">
        <f t="shared" si="86"/>
        <v>0</v>
      </c>
      <c r="S116" s="185">
        <f t="shared" si="87"/>
        <v>0</v>
      </c>
      <c r="T116" s="185">
        <f t="shared" si="88"/>
        <v>0</v>
      </c>
      <c r="U116" s="185">
        <f t="shared" si="89"/>
        <v>0</v>
      </c>
      <c r="V116" s="196">
        <f t="shared" ca="1" si="90"/>
        <v>3002</v>
      </c>
      <c r="W116" s="185" t="str">
        <f t="shared" si="91"/>
        <v>Offererad produktnr. 12Foxway Education AB</v>
      </c>
      <c r="X116" s="185" t="b">
        <f>IF($D$110="",TRUE,IF(COUNTIF(Processor!$I$2:$I$9,$D$110)&gt;0,AND(AI116&gt;INDEX(Processor!$J$2:$J$9,MATCH($D$110,Processor!$I$2:$I$9,0)),AI116&lt;INDEX(Processor!$K$2:$K$9,MATCH($D$110,Processor!$I$2:$I$9,0))),IF(AI116=$D$110,TRUE,FALSE)))</f>
        <v>1</v>
      </c>
      <c r="Y116" s="185" t="b">
        <f t="shared" si="92"/>
        <v>1</v>
      </c>
      <c r="Z116" s="185" t="b">
        <f t="shared" si="93"/>
        <v>1</v>
      </c>
      <c r="AA116" s="185" t="b">
        <f t="shared" si="94"/>
        <v>1</v>
      </c>
      <c r="AB116" s="185" t="b">
        <f t="shared" si="95"/>
        <v>1</v>
      </c>
      <c r="AC116" s="185" t="b">
        <f t="shared" si="96"/>
        <v>1</v>
      </c>
      <c r="AD116" s="185"/>
      <c r="AE116" s="185" t="b">
        <f t="shared" si="97"/>
        <v>1</v>
      </c>
      <c r="AF116" s="185" t="b">
        <f>IFERROR(IF($D117="",TRUE,IF(MID(AT116,LEN(AT116)-2,1)*1&gt;=MID($D117,LEN($D117)-2,1)*1,TRUE,FALSE)),FALSE)</f>
        <v>1</v>
      </c>
      <c r="AG116" s="185" t="s">
        <v>221</v>
      </c>
      <c r="AH116" s="201">
        <v>1</v>
      </c>
      <c r="AI116" s="185">
        <f t="shared" ca="1" si="98"/>
        <v>27</v>
      </c>
      <c r="AJ116" s="185" t="str">
        <f t="shared" ca="1" si="98"/>
        <v>2560x1440</v>
      </c>
      <c r="AK116" s="185">
        <f t="shared" ca="1" si="98"/>
        <v>0</v>
      </c>
      <c r="AL116" s="185">
        <f t="shared" ca="1" si="98"/>
        <v>0</v>
      </c>
      <c r="AM116" s="185">
        <f t="shared" ca="1" si="98"/>
        <v>1</v>
      </c>
      <c r="AN116" s="185">
        <f t="shared" ca="1" si="98"/>
        <v>16700000</v>
      </c>
      <c r="AO116" s="185">
        <f t="shared" ca="1" si="98"/>
        <v>350</v>
      </c>
      <c r="AP116" s="185" t="str">
        <f t="shared" ca="1" si="98"/>
        <v>Version 8.0</v>
      </c>
      <c r="AQ116" s="185" t="str">
        <f t="shared" ca="1" si="98"/>
        <v>Ja</v>
      </c>
      <c r="AR116" s="185">
        <f t="shared" ca="1" si="98"/>
        <v>0</v>
      </c>
      <c r="AS116" s="185">
        <f t="shared" ca="1" si="99"/>
        <v>0</v>
      </c>
      <c r="AT116" s="185" t="str">
        <f t="shared" ca="1" si="99"/>
        <v>Version 8.0</v>
      </c>
      <c r="AU116" s="185" t="str">
        <f t="shared" ca="1" si="99"/>
        <v>Ja</v>
      </c>
      <c r="AV116" s="185">
        <f t="shared" ca="1" si="99"/>
        <v>0</v>
      </c>
      <c r="AW116" s="185" t="str">
        <f t="shared" ca="1" si="99"/>
        <v>E27q-20</v>
      </c>
      <c r="AX116" s="185">
        <f t="shared" ca="1" si="99"/>
        <v>3002</v>
      </c>
      <c r="AY116" s="192">
        <f t="shared" ca="1" si="99"/>
        <v>672</v>
      </c>
      <c r="AZ116" s="192">
        <f t="shared" ca="1" si="99"/>
        <v>90</v>
      </c>
      <c r="BA116" s="192">
        <f t="shared" ca="1" si="99"/>
        <v>60</v>
      </c>
      <c r="BB116" s="192">
        <f t="shared" ca="1" si="99"/>
        <v>50</v>
      </c>
      <c r="BC116" s="192" t="str">
        <f t="shared" ca="1" si="100"/>
        <v>Targus</v>
      </c>
      <c r="BD116" s="192" t="str">
        <f t="shared" ca="1" si="100"/>
        <v>Targus Privacy Screen 27"</v>
      </c>
      <c r="BE116" s="192" t="str">
        <f t="shared" ca="1" si="100"/>
        <v>False</v>
      </c>
      <c r="BF116" s="192" t="str">
        <f t="shared" ca="1" si="100"/>
        <v>False</v>
      </c>
      <c r="BG116" s="192" t="str">
        <f t="shared" ca="1" si="100"/>
        <v>False</v>
      </c>
      <c r="BH116" s="192" t="str">
        <f t="shared" ca="1" si="100"/>
        <v>Foxway Education AB</v>
      </c>
      <c r="BI116" s="192" t="str">
        <f t="shared" ca="1" si="100"/>
        <v>Lenovo</v>
      </c>
    </row>
    <row r="117" spans="2:61" ht="22.5" customHeight="1" outlineLevel="1" x14ac:dyDescent="0.35">
      <c r="C117" s="61" t="s">
        <v>38</v>
      </c>
      <c r="D117" s="64"/>
      <c r="F117" s="78" t="str">
        <f t="shared" si="101"/>
        <v/>
      </c>
      <c r="G117" s="79" t="str">
        <f t="shared" ca="1" si="102"/>
        <v>Version 8.0</v>
      </c>
      <c r="H117" s="79" t="str">
        <f t="shared" ca="1" si="102"/>
        <v>Version 8.0</v>
      </c>
      <c r="I117" s="120" t="str">
        <f t="shared" ca="1" si="102"/>
        <v>Version 8.0</v>
      </c>
      <c r="J117" s="62"/>
      <c r="Q117" s="185">
        <f t="shared" si="85"/>
        <v>0</v>
      </c>
      <c r="R117" s="185">
        <f t="shared" si="86"/>
        <v>0</v>
      </c>
      <c r="S117" s="185">
        <f t="shared" si="87"/>
        <v>0</v>
      </c>
      <c r="T117" s="185">
        <f t="shared" si="88"/>
        <v>0</v>
      </c>
      <c r="U117" s="185">
        <f t="shared" si="89"/>
        <v>0</v>
      </c>
      <c r="V117" s="196">
        <f t="shared" ca="1" si="90"/>
        <v>2076</v>
      </c>
      <c r="W117" s="185" t="str">
        <f t="shared" si="91"/>
        <v>Offererad produktnr. 11Qlosr Göteborg AB</v>
      </c>
      <c r="X117" s="185" t="b">
        <f>IF($D$110="",TRUE,IF(COUNTIF(Processor!$I$2:$I$9,$D$110)&gt;0,AND(AI117&gt;INDEX(Processor!$J$2:$J$9,MATCH($D$110,Processor!$I$2:$I$9,0)),AI117&lt;INDEX(Processor!$K$2:$K$9,MATCH($D$110,Processor!$I$2:$I$9,0))),IF(AI117=$D$110,TRUE,FALSE)))</f>
        <v>1</v>
      </c>
      <c r="Y117" s="185" t="b">
        <f t="shared" si="92"/>
        <v>1</v>
      </c>
      <c r="Z117" s="185" t="b">
        <f t="shared" si="93"/>
        <v>1</v>
      </c>
      <c r="AA117" s="185" t="b">
        <f t="shared" si="94"/>
        <v>1</v>
      </c>
      <c r="AB117" s="185" t="b">
        <f t="shared" si="95"/>
        <v>1</v>
      </c>
      <c r="AC117" s="185" t="b">
        <f t="shared" si="96"/>
        <v>1</v>
      </c>
      <c r="AD117" s="185"/>
      <c r="AE117" s="185" t="b">
        <f t="shared" si="97"/>
        <v>1</v>
      </c>
      <c r="AF117" s="185" t="b">
        <f>IFERROR(IF($D117="",TRUE,IF(MID(AT117,LEN(AT117)-2,1)*1&gt;=MID($D117,LEN($D117)-2,1)*1,TRUE,FALSE)),FALSE)</f>
        <v>1</v>
      </c>
      <c r="AG117" s="185" t="s">
        <v>562</v>
      </c>
      <c r="AH117" s="201">
        <v>1</v>
      </c>
      <c r="AI117" s="185">
        <f t="shared" ca="1" si="98"/>
        <v>23.8</v>
      </c>
      <c r="AJ117" s="185" t="str">
        <f t="shared" ca="1" si="98"/>
        <v>1920x1080</v>
      </c>
      <c r="AK117" s="185">
        <f t="shared" ca="1" si="98"/>
        <v>5</v>
      </c>
      <c r="AL117" s="185">
        <f t="shared" ca="1" si="98"/>
        <v>0</v>
      </c>
      <c r="AM117" s="185">
        <f t="shared" ca="1" si="98"/>
        <v>1</v>
      </c>
      <c r="AN117" s="185">
        <f t="shared" ca="1" si="98"/>
        <v>16700000</v>
      </c>
      <c r="AO117" s="185">
        <f t="shared" ca="1" si="98"/>
        <v>250</v>
      </c>
      <c r="AP117" s="185" t="str">
        <f t="shared" ca="1" si="98"/>
        <v>Version 8.0</v>
      </c>
      <c r="AQ117" s="185" t="str">
        <f t="shared" ca="1" si="98"/>
        <v>Ja</v>
      </c>
      <c r="AR117" s="185">
        <f t="shared" ca="1" si="98"/>
        <v>0</v>
      </c>
      <c r="AS117" s="185">
        <f t="shared" ca="1" si="99"/>
        <v>0</v>
      </c>
      <c r="AT117" s="185" t="str">
        <f t="shared" ca="1" si="99"/>
        <v>Version 8.0</v>
      </c>
      <c r="AU117" s="185" t="str">
        <f t="shared" ca="1" si="99"/>
        <v>Ja</v>
      </c>
      <c r="AV117" s="185">
        <f t="shared" ca="1" si="99"/>
        <v>0</v>
      </c>
      <c r="AW117" s="185" t="str">
        <f t="shared" ca="1" si="99"/>
        <v>P2422h</v>
      </c>
      <c r="AX117" s="185">
        <f t="shared" ca="1" si="99"/>
        <v>2076</v>
      </c>
      <c r="AY117" s="192">
        <f t="shared" ca="1" si="99"/>
        <v>540</v>
      </c>
      <c r="AZ117" s="192">
        <f t="shared" ca="1" si="99"/>
        <v>89</v>
      </c>
      <c r="BA117" s="192">
        <f t="shared" ca="1" si="99"/>
        <v>25</v>
      </c>
      <c r="BB117" s="192">
        <f t="shared" ca="1" si="99"/>
        <v>25</v>
      </c>
      <c r="BC117" s="192" t="str">
        <f t="shared" ca="1" si="100"/>
        <v>Kapsolo</v>
      </c>
      <c r="BD117" s="192" t="str">
        <f t="shared" ca="1" si="100"/>
        <v>GBXKAP10786</v>
      </c>
      <c r="BE117" s="192" t="str">
        <f t="shared" ca="1" si="100"/>
        <v>False</v>
      </c>
      <c r="BF117" s="192" t="str">
        <f t="shared" ca="1" si="100"/>
        <v>False</v>
      </c>
      <c r="BG117" s="192" t="str">
        <f t="shared" ca="1" si="100"/>
        <v>False</v>
      </c>
      <c r="BH117" s="192" t="str">
        <f t="shared" ca="1" si="100"/>
        <v>Qlosr Göteborg AB</v>
      </c>
      <c r="BI117" s="192" t="str">
        <f t="shared" ca="1" si="100"/>
        <v>Dell</v>
      </c>
    </row>
    <row r="118" spans="2:61" ht="22.5" customHeight="1" outlineLevel="1" x14ac:dyDescent="0.35">
      <c r="C118" s="61" t="s">
        <v>37</v>
      </c>
      <c r="D118" s="64"/>
      <c r="F118" s="78" t="str">
        <f t="shared" si="101"/>
        <v/>
      </c>
      <c r="G118" s="79" t="str">
        <f t="shared" ca="1" si="102"/>
        <v>Ja</v>
      </c>
      <c r="H118" s="79" t="str">
        <f t="shared" ca="1" si="102"/>
        <v>Ja</v>
      </c>
      <c r="I118" s="120" t="str">
        <f t="shared" ca="1" si="102"/>
        <v>Ja</v>
      </c>
      <c r="J118" s="62"/>
      <c r="Q118" s="185">
        <f t="shared" si="85"/>
        <v>0</v>
      </c>
      <c r="R118" s="185">
        <f t="shared" si="86"/>
        <v>0</v>
      </c>
      <c r="S118" s="185">
        <f t="shared" si="87"/>
        <v>0</v>
      </c>
      <c r="T118" s="185">
        <f t="shared" si="88"/>
        <v>0</v>
      </c>
      <c r="U118" s="185">
        <f t="shared" si="89"/>
        <v>0</v>
      </c>
      <c r="V118" s="196">
        <f t="shared" ca="1" si="90"/>
        <v>2430</v>
      </c>
      <c r="W118" s="185" t="str">
        <f t="shared" si="91"/>
        <v>Offererad produktnr. 12Qlosr Göteborg AB</v>
      </c>
      <c r="X118" s="185" t="b">
        <f>IF($D$110="",TRUE,IF(COUNTIF(Processor!$I$2:$I$9,$D$110)&gt;0,AND(AI118&gt;INDEX(Processor!$J$2:$J$9,MATCH($D$110,Processor!$I$2:$I$9,0)),AI118&lt;INDEX(Processor!$K$2:$K$9,MATCH($D$110,Processor!$I$2:$I$9,0))),IF(AI118=$D$110,TRUE,FALSE)))</f>
        <v>1</v>
      </c>
      <c r="Y118" s="185" t="b">
        <f t="shared" si="92"/>
        <v>1</v>
      </c>
      <c r="Z118" s="185" t="b">
        <f t="shared" si="93"/>
        <v>1</v>
      </c>
      <c r="AA118" s="185" t="b">
        <f t="shared" si="94"/>
        <v>1</v>
      </c>
      <c r="AB118" s="185" t="b">
        <f t="shared" si="95"/>
        <v>1</v>
      </c>
      <c r="AC118" s="185" t="b">
        <f t="shared" si="96"/>
        <v>1</v>
      </c>
      <c r="AD118" s="185"/>
      <c r="AE118" s="185" t="b">
        <f t="shared" si="97"/>
        <v>1</v>
      </c>
      <c r="AF118" s="185" t="b">
        <f>IFERROR(IF($D117="",TRUE,IF(MID(AT118,LEN(AT118)-2,1)*1&gt;=MID($D117,LEN($D117)-2,1)*1,TRUE,FALSE)),FALSE)</f>
        <v>1</v>
      </c>
      <c r="AG118" s="185" t="s">
        <v>563</v>
      </c>
      <c r="AH118" s="201">
        <v>1</v>
      </c>
      <c r="AI118" s="185">
        <f t="shared" ca="1" si="98"/>
        <v>27</v>
      </c>
      <c r="AJ118" s="185" t="str">
        <f t="shared" ca="1" si="98"/>
        <v>2560x1440</v>
      </c>
      <c r="AK118" s="185">
        <f t="shared" ca="1" si="98"/>
        <v>0</v>
      </c>
      <c r="AL118" s="185">
        <f t="shared" ca="1" si="98"/>
        <v>0</v>
      </c>
      <c r="AM118" s="185">
        <f t="shared" ca="1" si="98"/>
        <v>1</v>
      </c>
      <c r="AN118" s="185">
        <f t="shared" ca="1" si="98"/>
        <v>16700000</v>
      </c>
      <c r="AO118" s="185">
        <f t="shared" ca="1" si="98"/>
        <v>350</v>
      </c>
      <c r="AP118" s="185" t="str">
        <f t="shared" ca="1" si="98"/>
        <v>Version 8.0</v>
      </c>
      <c r="AQ118" s="185" t="str">
        <f t="shared" ca="1" si="98"/>
        <v>Ja</v>
      </c>
      <c r="AR118" s="185">
        <f t="shared" ca="1" si="98"/>
        <v>0</v>
      </c>
      <c r="AS118" s="185">
        <f t="shared" ca="1" si="99"/>
        <v>0</v>
      </c>
      <c r="AT118" s="185" t="str">
        <f t="shared" ca="1" si="99"/>
        <v>Version 8.0</v>
      </c>
      <c r="AU118" s="185" t="str">
        <f t="shared" ca="1" si="99"/>
        <v>Ja</v>
      </c>
      <c r="AV118" s="185">
        <f t="shared" ca="1" si="99"/>
        <v>0</v>
      </c>
      <c r="AW118" s="185" t="str">
        <f t="shared" ca="1" si="99"/>
        <v>E27q-20</v>
      </c>
      <c r="AX118" s="185">
        <f t="shared" ca="1" si="99"/>
        <v>2430</v>
      </c>
      <c r="AY118" s="192">
        <f t="shared" ca="1" si="99"/>
        <v>669</v>
      </c>
      <c r="AZ118" s="192">
        <f t="shared" ca="1" si="99"/>
        <v>89</v>
      </c>
      <c r="BA118" s="192">
        <f t="shared" ca="1" si="99"/>
        <v>25</v>
      </c>
      <c r="BB118" s="192">
        <f t="shared" ca="1" si="99"/>
        <v>25</v>
      </c>
      <c r="BC118" s="192" t="str">
        <f t="shared" ca="1" si="100"/>
        <v>Kapsolo</v>
      </c>
      <c r="BD118" s="192" t="str">
        <f t="shared" ca="1" si="100"/>
        <v>GBXKAP11019</v>
      </c>
      <c r="BE118" s="192" t="str">
        <f t="shared" ca="1" si="100"/>
        <v>False</v>
      </c>
      <c r="BF118" s="192" t="str">
        <f t="shared" ca="1" si="100"/>
        <v>False</v>
      </c>
      <c r="BG118" s="192" t="str">
        <f t="shared" ca="1" si="100"/>
        <v>False</v>
      </c>
      <c r="BH118" s="192" t="str">
        <f t="shared" ca="1" si="100"/>
        <v>Qlosr Göteborg AB</v>
      </c>
      <c r="BI118" s="192" t="str">
        <f t="shared" ca="1" si="100"/>
        <v>Lenovo</v>
      </c>
    </row>
    <row r="119" spans="2:61" ht="22.5" customHeight="1" outlineLevel="1" x14ac:dyDescent="0.35">
      <c r="C119" s="66"/>
      <c r="D119" s="67"/>
      <c r="G119" s="62"/>
      <c r="H119" s="62"/>
      <c r="I119" s="62"/>
      <c r="J119" s="94"/>
      <c r="AH119" s="50"/>
      <c r="AY119" s="63"/>
      <c r="AZ119" s="63"/>
      <c r="BA119" s="63"/>
      <c r="BB119" s="63"/>
      <c r="BC119" s="63"/>
      <c r="BD119" s="63"/>
      <c r="BE119" s="63"/>
      <c r="BF119" s="63"/>
      <c r="BG119" s="63"/>
      <c r="BH119" s="63"/>
      <c r="BI119" s="63"/>
    </row>
    <row r="120" spans="2:61" ht="22.5" customHeight="1" outlineLevel="1" x14ac:dyDescent="0.35">
      <c r="C120" s="212" t="s">
        <v>366</v>
      </c>
      <c r="D120" s="213"/>
      <c r="E120" s="213"/>
      <c r="F120" s="213"/>
      <c r="G120" s="213"/>
      <c r="H120" s="213"/>
      <c r="I120" s="214"/>
      <c r="J120" s="62"/>
      <c r="AH120" s="50"/>
      <c r="AY120" s="63"/>
      <c r="AZ120" s="63"/>
      <c r="BA120" s="63"/>
      <c r="BB120" s="63"/>
      <c r="BC120" s="63"/>
      <c r="BD120" s="63"/>
      <c r="BE120" s="63"/>
      <c r="BF120" s="63"/>
      <c r="BG120" s="63"/>
      <c r="BH120" s="63"/>
      <c r="BI120" s="63"/>
    </row>
    <row r="121" spans="2:61" ht="22.5" customHeight="1" outlineLevel="1" x14ac:dyDescent="0.35">
      <c r="B121" s="69" t="s">
        <v>53</v>
      </c>
      <c r="C121" s="115" t="s">
        <v>77</v>
      </c>
      <c r="D121" s="70"/>
      <c r="F121" s="161" t="str">
        <f>IF(F$107="Inget antal angivet","",IFERROR(INDEX($AI$108:$BI$133,MATCH(F$104,$AG$108:$AG$133,0),MATCH($B121,$AI$108:$BI$108,0)),""))</f>
        <v/>
      </c>
      <c r="G121" s="162">
        <f ca="1">IFERROR(INDEX($AI$108:$BI$133,MATCH(G$104,$AG$108:$AG$133,0),MATCH($B121,$AI$108:$BI$108,0)),"")</f>
        <v>639</v>
      </c>
      <c r="H121" s="162">
        <f ca="1">IFERROR(INDEX($AI$108:$BI$133,MATCH(H$104,$AG$108:$AG$133,0),MATCH($B121,$AI$108:$BI$108,0)),"")</f>
        <v>778</v>
      </c>
      <c r="I121" s="162">
        <f ca="1">IFERROR(INDEX($AI$108:$BI$133,MATCH(I$104,$AG$108:$AG$133,0),MATCH($B121,$AI$108:$BI$108,0)),"")</f>
        <v>540</v>
      </c>
      <c r="J121" s="62"/>
      <c r="AY121" s="63"/>
      <c r="AZ121" s="63"/>
      <c r="BA121" s="63"/>
      <c r="BB121" s="63"/>
      <c r="BC121" s="63"/>
      <c r="BD121" s="63"/>
      <c r="BE121" s="63"/>
      <c r="BF121" s="63"/>
      <c r="BG121" s="63"/>
      <c r="BH121" s="63"/>
      <c r="BI121" s="63"/>
    </row>
    <row r="122" spans="2:61" ht="22.5" customHeight="1" outlineLevel="1" x14ac:dyDescent="0.35">
      <c r="B122" s="69" t="s">
        <v>340</v>
      </c>
      <c r="C122" s="96" t="s">
        <v>51</v>
      </c>
      <c r="D122" s="131" t="str">
        <f>IF("Ska Ingå"=D121,"Ska Ingå","")</f>
        <v/>
      </c>
      <c r="F122" s="84" t="str">
        <f>IF(F$107="Inget antal angivet","",IFERROR(INDEX($AI$108:$BI$133,MATCH(F$104,$AG$108:$AG$133,0),MATCH($B122,$AI$108:$BI$108,0)),""))</f>
        <v/>
      </c>
      <c r="G122" s="85" t="str">
        <f ca="1">IFERROR(INDEX($AI$108:$BI$133,MATCH(G$104,$AG$108:$AG$133,0),MATCH($B122,$AI$108:$BI$108,0)),"")</f>
        <v>eSTUFF</v>
      </c>
      <c r="H122" s="85" t="str">
        <f ca="1">IFERROR(INDEX($AI$108:$BI$133,MATCH(H$104,$AG$108:$AG$133,0),MATCH($B122,$AI$108:$BI$108,0)),"")</f>
        <v>Targus</v>
      </c>
      <c r="I122" s="85" t="str">
        <f ca="1">IFERROR(INDEX($AI$108:$BI$133,MATCH(I$104,$AG$108:$AG$133,0),MATCH($C122,$AI$108:$BI$108,0)),"")</f>
        <v>Dell</v>
      </c>
      <c r="J122" s="62"/>
      <c r="AY122" s="63"/>
      <c r="AZ122" s="63"/>
      <c r="BA122" s="63"/>
      <c r="BB122" s="63"/>
      <c r="BC122" s="63"/>
      <c r="BD122" s="63"/>
      <c r="BE122" s="63"/>
      <c r="BF122" s="63"/>
      <c r="BG122" s="63"/>
      <c r="BH122" s="63"/>
      <c r="BI122" s="63"/>
    </row>
    <row r="123" spans="2:61" ht="64.5" customHeight="1" outlineLevel="1" x14ac:dyDescent="0.35">
      <c r="B123" s="71" t="s">
        <v>345</v>
      </c>
      <c r="C123" s="116" t="s">
        <v>52</v>
      </c>
      <c r="D123" s="132" t="str">
        <f>IF("Ska Ingå"=D121,"Ska Ingå","")</f>
        <v/>
      </c>
      <c r="F123" s="117" t="str">
        <f>IF(F$107="Inget antal angivet","",IFERROR(INDEX($AI$108:$BI$133,MATCH(F$104,$AG$108:$AG$133,0),MATCH($B123,$AI$108:$BI$108,0)),""))</f>
        <v/>
      </c>
      <c r="G123" s="118" t="str">
        <f ca="1">IFERROR(INDEX($AI$108:$BI$133,MATCH(G$104,$AG$108:$AG$133,0),MATCH($B123,$AI$108:$BI$108,0)),"")</f>
        <v>GLBB24519325 -  Filter för personlig integritet - 2-vägs - 24" - svart</v>
      </c>
      <c r="H123" s="118" t="str">
        <f ca="1">IFERROR(INDEX($AI$108:$BI$133,MATCH(H$104,$AG$108:$AG$133,0),MATCH($B123,$AI$108:$BI$108,0)),"")</f>
        <v>Targus Privacy Screen - filter för personlig integritet - 23,8 tum bred</v>
      </c>
      <c r="I123" s="118" t="str">
        <f ca="1">IFERROR(INDEX($AI$108:$BI$133,MATCH(I$104,$AG$108:$AG$133,0),MATCH($C123,$AI$108:$BI$108,0)),"")</f>
        <v>P2422h</v>
      </c>
      <c r="J123" s="62"/>
      <c r="AY123" s="63"/>
      <c r="AZ123" s="63"/>
      <c r="BA123" s="63"/>
      <c r="BB123" s="63"/>
      <c r="BC123" s="63"/>
      <c r="BD123" s="63"/>
      <c r="BE123" s="63"/>
      <c r="BF123" s="63"/>
      <c r="BG123" s="63"/>
      <c r="BH123" s="63"/>
      <c r="BI123" s="63"/>
    </row>
    <row r="124" spans="2:61" ht="22.5" customHeight="1" outlineLevel="1" x14ac:dyDescent="0.35">
      <c r="B124" s="71"/>
      <c r="C124" s="212" t="s">
        <v>365</v>
      </c>
      <c r="D124" s="215"/>
      <c r="E124" s="213"/>
      <c r="F124" s="213"/>
      <c r="G124" s="213"/>
      <c r="H124" s="213"/>
      <c r="I124" s="214"/>
      <c r="J124" s="62"/>
      <c r="AY124" s="63"/>
      <c r="AZ124" s="63"/>
      <c r="BA124" s="63"/>
      <c r="BB124" s="63"/>
      <c r="BC124" s="63"/>
      <c r="BD124" s="63"/>
      <c r="BE124" s="63"/>
      <c r="BF124" s="63"/>
      <c r="BG124" s="63"/>
      <c r="BH124" s="63"/>
      <c r="BI124" s="63"/>
    </row>
    <row r="125" spans="2:61" ht="22.5" customHeight="1" outlineLevel="1" x14ac:dyDescent="0.35">
      <c r="B125" s="71" t="s">
        <v>228</v>
      </c>
      <c r="C125" s="115" t="s">
        <v>367</v>
      </c>
      <c r="D125" s="70"/>
      <c r="F125" s="161" t="str">
        <f>IF(F$107="Inget antal angivet","",IFERROR(INDEX($AI$108:$BI$133,MATCH(F$104,$AG$108:$AG$133,0),MATCH($B125,$AI$108:$BI$108,0)),""))</f>
        <v/>
      </c>
      <c r="G125" s="162">
        <f t="shared" ref="G125:I127" ca="1" si="103">IFERROR(INDEX($AI$108:$BI$133,MATCH(G$104,$AG$108:$AG$133,0),MATCH($B125,$AI$108:$BI$108,0)),"")</f>
        <v>101</v>
      </c>
      <c r="H125" s="162">
        <f t="shared" ca="1" si="103"/>
        <v>94</v>
      </c>
      <c r="I125" s="162">
        <f t="shared" ca="1" si="103"/>
        <v>89</v>
      </c>
      <c r="J125" s="62"/>
      <c r="AY125" s="63"/>
      <c r="AZ125" s="63"/>
      <c r="BA125" s="63"/>
      <c r="BB125" s="63"/>
      <c r="BC125" s="63"/>
      <c r="BD125" s="63"/>
      <c r="BE125" s="63"/>
      <c r="BF125" s="63"/>
      <c r="BG125" s="63"/>
      <c r="BH125" s="63"/>
      <c r="BI125" s="63"/>
    </row>
    <row r="126" spans="2:61" ht="22.5" customHeight="1" outlineLevel="1" x14ac:dyDescent="0.35">
      <c r="B126" s="71" t="s">
        <v>229</v>
      </c>
      <c r="C126" s="61" t="s">
        <v>368</v>
      </c>
      <c r="D126" s="70"/>
      <c r="F126" s="165" t="str">
        <f>IF(F$107="Inget antal angivet","",IFERROR(INDEX($AI$108:$BI$133,MATCH(F$104,$AG$108:$AG$133,0),MATCH($B126,$AI$108:$BI$108,0)),""))</f>
        <v/>
      </c>
      <c r="G126" s="166">
        <f t="shared" ca="1" si="103"/>
        <v>50</v>
      </c>
      <c r="H126" s="166">
        <f t="shared" ca="1" si="103"/>
        <v>85</v>
      </c>
      <c r="I126" s="166">
        <f t="shared" ca="1" si="103"/>
        <v>25</v>
      </c>
      <c r="J126" s="73"/>
      <c r="AY126" s="63"/>
      <c r="AZ126" s="63"/>
      <c r="BA126" s="63"/>
      <c r="BB126" s="63"/>
      <c r="BC126" s="63"/>
      <c r="BD126" s="63"/>
      <c r="BE126" s="63"/>
      <c r="BF126" s="63"/>
      <c r="BG126" s="63"/>
      <c r="BH126" s="63"/>
      <c r="BI126" s="63"/>
    </row>
    <row r="127" spans="2:61" ht="22.5" customHeight="1" outlineLevel="1" x14ac:dyDescent="0.35">
      <c r="B127" s="71" t="s">
        <v>230</v>
      </c>
      <c r="C127" s="96" t="s">
        <v>369</v>
      </c>
      <c r="D127" s="70"/>
      <c r="F127" s="163" t="str">
        <f>IF(F$107="Inget antal angivet","",IFERROR(INDEX($AI$108:$BI$133,MATCH(F$104,$AG$108:$AG$133,0),MATCH($B127,$AI$108:$BI$108,0)),""))</f>
        <v/>
      </c>
      <c r="G127" s="164">
        <f t="shared" ca="1" si="103"/>
        <v>50</v>
      </c>
      <c r="H127" s="164">
        <f t="shared" ca="1" si="103"/>
        <v>100</v>
      </c>
      <c r="I127" s="164">
        <f t="shared" ca="1" si="103"/>
        <v>25</v>
      </c>
      <c r="J127" s="54"/>
      <c r="AY127" s="63"/>
      <c r="AZ127" s="63"/>
      <c r="BA127" s="63"/>
      <c r="BB127" s="63"/>
      <c r="BC127" s="63"/>
      <c r="BD127" s="63"/>
      <c r="BE127" s="63"/>
      <c r="BF127" s="63"/>
      <c r="BG127" s="63"/>
      <c r="BH127" s="63"/>
      <c r="BI127" s="63"/>
    </row>
    <row r="128" spans="2:61" ht="22.5" customHeight="1" outlineLevel="1" x14ac:dyDescent="0.35">
      <c r="J128" s="73"/>
      <c r="AY128" s="63"/>
      <c r="AZ128" s="63"/>
      <c r="BA128" s="63"/>
      <c r="BB128" s="63"/>
      <c r="BC128" s="63"/>
      <c r="BD128" s="63"/>
      <c r="BE128" s="63"/>
      <c r="BF128" s="63"/>
      <c r="BG128" s="63"/>
      <c r="BH128" s="63"/>
      <c r="BI128" s="63"/>
    </row>
    <row r="129" spans="2:75" ht="22.5" customHeight="1" x14ac:dyDescent="0.35">
      <c r="J129" s="54"/>
      <c r="AY129" s="63"/>
      <c r="AZ129" s="63"/>
      <c r="BA129" s="63"/>
      <c r="BB129" s="63"/>
      <c r="BC129" s="63"/>
      <c r="BD129" s="63"/>
      <c r="BE129" s="63"/>
      <c r="BF129" s="63"/>
      <c r="BG129" s="63"/>
      <c r="BH129" s="63"/>
      <c r="BI129" s="63"/>
    </row>
    <row r="130" spans="2:75" ht="22.5" customHeight="1" x14ac:dyDescent="0.35">
      <c r="D130" s="72" t="s">
        <v>233</v>
      </c>
      <c r="F130" s="221" t="s">
        <v>252</v>
      </c>
      <c r="G130" s="221"/>
      <c r="H130" s="221"/>
      <c r="I130" s="222"/>
      <c r="J130" s="73"/>
      <c r="AY130" s="63"/>
      <c r="AZ130" s="63"/>
      <c r="BA130" s="63"/>
      <c r="BB130" s="63"/>
      <c r="BC130" s="63"/>
      <c r="BD130" s="63"/>
      <c r="BE130" s="63"/>
      <c r="BF130" s="63"/>
      <c r="BG130" s="63"/>
      <c r="BH130" s="63"/>
      <c r="BI130" s="63"/>
    </row>
    <row r="131" spans="2:75" ht="22.5" customHeight="1" x14ac:dyDescent="0.35">
      <c r="D131" s="74"/>
      <c r="F131" s="202" t="str">
        <f ca="1">IFERROR(INDEX($V$109:$V$120,MATCH(F104,$W$109:$W$120,0))*D131,"")</f>
        <v/>
      </c>
      <c r="G131" s="202">
        <f ca="1">IFERROR(P109 *D131,"")</f>
        <v>0</v>
      </c>
      <c r="H131" s="202">
        <f ca="1">IFERROR(P110 *D131,"")</f>
        <v>0</v>
      </c>
      <c r="I131" s="202">
        <f ca="1">IFERROR(P111 * D131,"")</f>
        <v>0</v>
      </c>
      <c r="J131" s="54"/>
      <c r="AY131" s="63"/>
      <c r="AZ131" s="63"/>
      <c r="BA131" s="63"/>
      <c r="BB131" s="63"/>
      <c r="BC131" s="63"/>
      <c r="BD131" s="63"/>
      <c r="BE131" s="63"/>
      <c r="BF131" s="63"/>
      <c r="BG131" s="63"/>
      <c r="BH131" s="63"/>
      <c r="BI131" s="63"/>
    </row>
    <row r="132" spans="2:75" x14ac:dyDescent="0.35">
      <c r="AY132" s="63"/>
      <c r="AZ132" s="63"/>
      <c r="BA132" s="63"/>
      <c r="BB132" s="63"/>
      <c r="BC132" s="63"/>
      <c r="BD132" s="63"/>
      <c r="BE132" s="63"/>
      <c r="BF132" s="63"/>
      <c r="BG132" s="63"/>
      <c r="BH132" s="63"/>
      <c r="BI132" s="63"/>
    </row>
    <row r="133" spans="2:75" ht="15" thickBot="1" x14ac:dyDescent="0.4">
      <c r="C133" s="174"/>
      <c r="D133" s="174"/>
      <c r="E133" s="174"/>
      <c r="F133" s="174"/>
      <c r="G133" s="174"/>
      <c r="H133" s="174"/>
      <c r="I133" s="174"/>
      <c r="AY133" s="63"/>
      <c r="AZ133" s="63"/>
      <c r="BA133" s="63"/>
      <c r="BB133" s="63"/>
      <c r="BC133" s="63"/>
      <c r="BD133" s="63"/>
      <c r="BE133" s="63"/>
      <c r="BF133" s="63"/>
      <c r="BG133" s="63"/>
      <c r="BH133" s="63"/>
      <c r="BI133" s="63"/>
    </row>
    <row r="134" spans="2:75" ht="15" thickTop="1" x14ac:dyDescent="0.35"/>
    <row r="135" spans="2:75" ht="71.25" customHeight="1" collapsed="1" x14ac:dyDescent="0.35">
      <c r="C135" s="53"/>
      <c r="D135" s="53"/>
      <c r="F135" s="50" t="e">
        <f ca="1">N139</f>
        <v>#N/A</v>
      </c>
      <c r="G135" s="50" t="str">
        <f ca="1">INDEX(W140:W164,MATCH(P140,V140:V164,0))</f>
        <v>Offererad produktnr. 11Advania Sverige AB</v>
      </c>
      <c r="H135" s="50" t="str">
        <f ca="1">INDEX(W139:W163,MATCH(P141,V139:V163,0))</f>
        <v>Offererad produktnr. 11Atea Sverige AB</v>
      </c>
      <c r="I135" s="50" t="str">
        <f ca="1">INDEX(W139:W163,MATCH(P142,V139:V163,0))</f>
        <v>Offererad produktnr. 11Qlosr Göteborg AB</v>
      </c>
      <c r="AI135" s="12" t="s">
        <v>124</v>
      </c>
      <c r="AJ135" s="12" t="s">
        <v>124</v>
      </c>
      <c r="AK135" s="12" t="s">
        <v>124</v>
      </c>
      <c r="AL135" s="12" t="s">
        <v>124</v>
      </c>
      <c r="AM135" s="12" t="s">
        <v>124</v>
      </c>
      <c r="AN135" s="12" t="s">
        <v>124</v>
      </c>
      <c r="AO135" s="12" t="s">
        <v>124</v>
      </c>
      <c r="AP135" s="12" t="s">
        <v>124</v>
      </c>
      <c r="AQ135" s="12" t="s">
        <v>124</v>
      </c>
      <c r="AR135" s="12" t="s">
        <v>124</v>
      </c>
      <c r="AS135" s="12" t="s">
        <v>124</v>
      </c>
      <c r="AT135" s="12" t="s">
        <v>124</v>
      </c>
      <c r="AU135" s="12" t="s">
        <v>124</v>
      </c>
      <c r="AV135" s="12" t="s">
        <v>124</v>
      </c>
      <c r="AW135" s="12" t="s">
        <v>124</v>
      </c>
      <c r="AX135" s="12" t="s">
        <v>124</v>
      </c>
      <c r="AY135" s="12" t="s">
        <v>124</v>
      </c>
      <c r="AZ135" s="12" t="s">
        <v>124</v>
      </c>
      <c r="BA135" s="12" t="s">
        <v>124</v>
      </c>
      <c r="BB135" s="12" t="s">
        <v>124</v>
      </c>
      <c r="BC135" s="12" t="s">
        <v>124</v>
      </c>
      <c r="BD135" s="12" t="s">
        <v>124</v>
      </c>
      <c r="BE135" s="12" t="s">
        <v>124</v>
      </c>
      <c r="BF135" s="12" t="s">
        <v>124</v>
      </c>
      <c r="BG135" s="12" t="s">
        <v>124</v>
      </c>
      <c r="BH135" s="12" t="s">
        <v>124</v>
      </c>
      <c r="BI135" s="12" t="s">
        <v>124</v>
      </c>
      <c r="BJ135" s="12"/>
      <c r="BK135" s="12"/>
      <c r="BL135" s="12"/>
      <c r="BM135" s="12"/>
      <c r="BN135" s="12"/>
      <c r="BO135" s="12"/>
      <c r="BP135" s="12"/>
      <c r="BQ135" s="12"/>
      <c r="BR135" s="12"/>
      <c r="BS135" s="12"/>
      <c r="BT135" s="12"/>
      <c r="BU135" s="12"/>
      <c r="BV135" s="12"/>
      <c r="BW135" s="12"/>
    </row>
    <row r="136" spans="2:75" ht="26.25" customHeight="1" thickBot="1" x14ac:dyDescent="0.4">
      <c r="C136" s="53"/>
      <c r="D136" s="53"/>
      <c r="F136" s="140" t="s">
        <v>446</v>
      </c>
      <c r="G136" s="205" t="s">
        <v>447</v>
      </c>
      <c r="H136" s="205"/>
      <c r="I136" s="205"/>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row>
    <row r="137" spans="2:75" ht="22.5" customHeight="1" thickBot="1" x14ac:dyDescent="0.4">
      <c r="B137" t="str">
        <f ca="1" xml:space="preserve"> "Produkt "  &amp; B138</f>
        <v>Produkt 5</v>
      </c>
      <c r="C137" s="206" t="str">
        <f>IF(F138="Ingen produkt motsvarar","Felmeddelande",IF(COUNTIF($P$1:$P$6,TRUE)&gt;0,"","Felmeddelande"))</f>
        <v/>
      </c>
      <c r="D137" s="207"/>
      <c r="F137" s="218" t="s">
        <v>271</v>
      </c>
      <c r="G137" s="218"/>
      <c r="H137" s="218"/>
      <c r="I137" s="219"/>
      <c r="O137">
        <v>1</v>
      </c>
      <c r="AI137" s="13" t="str">
        <f t="shared" ref="AI137:AW137" si="104">AI139</f>
        <v>Skärmstorlek (tum)</v>
      </c>
      <c r="AJ137" s="13" t="str">
        <f t="shared" si="104"/>
        <v>Upplösning</v>
      </c>
      <c r="AK137" s="13" t="str">
        <f t="shared" si="104"/>
        <v>Portar USB</v>
      </c>
      <c r="AL137" s="13" t="str">
        <f t="shared" si="104"/>
        <v>Portar HDMI</v>
      </c>
      <c r="AM137" s="13" t="str">
        <f t="shared" si="104"/>
        <v>Portar Display</v>
      </c>
      <c r="AN137" s="13" t="str">
        <f t="shared" si="104"/>
        <v>Antal färger</v>
      </c>
      <c r="AO137" s="13" t="str">
        <f t="shared" si="104"/>
        <v>Ljusstyrka</v>
      </c>
      <c r="AP137" s="13" t="str">
        <f t="shared" si="104"/>
        <v>Energiprestanda</v>
      </c>
      <c r="AQ137" s="13" t="str">
        <f t="shared" si="104"/>
        <v>Låsskydd</v>
      </c>
      <c r="AR137" s="13" t="str">
        <f t="shared" si="104"/>
        <v>Kommunikation Bluetooth</v>
      </c>
      <c r="AS137" s="13" t="str">
        <f t="shared" si="104"/>
        <v>Batteritid (tim)</v>
      </c>
      <c r="AT137" s="13" t="str">
        <f t="shared" si="104"/>
        <v>Energiprestanda</v>
      </c>
      <c r="AU137" s="13" t="str">
        <f t="shared" si="104"/>
        <v>Låsskydd</v>
      </c>
      <c r="AV137" s="13" t="str">
        <f t="shared" si="104"/>
        <v>Operativsystem</v>
      </c>
      <c r="AW137" s="13" t="str">
        <f t="shared" si="104"/>
        <v>Modellbenämning</v>
      </c>
      <c r="AX137" t="s">
        <v>224</v>
      </c>
      <c r="AY137" s="56" t="s">
        <v>53</v>
      </c>
      <c r="AZ137" s="57" t="s">
        <v>228</v>
      </c>
      <c r="BA137" s="57" t="s">
        <v>229</v>
      </c>
      <c r="BB137" s="57" t="s">
        <v>230</v>
      </c>
      <c r="BC137" s="56" t="s">
        <v>340</v>
      </c>
      <c r="BD137" s="57" t="s">
        <v>345</v>
      </c>
      <c r="BE137" s="57"/>
      <c r="BF137" s="57"/>
      <c r="BG137" s="57"/>
      <c r="BH137" s="57" t="s">
        <v>6</v>
      </c>
      <c r="BI137" s="4" t="s">
        <v>51</v>
      </c>
      <c r="BJ137" s="13"/>
      <c r="BK137" s="13"/>
      <c r="BL137" s="13"/>
      <c r="BM137" s="13"/>
      <c r="BN137" s="13"/>
      <c r="BO137" s="13"/>
      <c r="BP137" s="13"/>
      <c r="BQ137" s="13"/>
      <c r="BR137" s="13"/>
      <c r="BS137" s="13"/>
      <c r="BT137" s="13"/>
      <c r="BU137" s="13"/>
      <c r="BV137" s="13"/>
      <c r="BW137" s="13"/>
    </row>
    <row r="138" spans="2:75" ht="22.5" customHeight="1" x14ac:dyDescent="0.35">
      <c r="B138">
        <f ca="1">COUNTIF($F$7:F141,"Produkt I varukorg*")</f>
        <v>5</v>
      </c>
      <c r="F138" s="51" t="str">
        <f>IF(D162&lt;1,"Inget antal angivet",IFERROR(INDEX($V$140:$V$151,MATCH(F135,$W$140:$W$151,0)),"Ingen produkt motsvarar"))</f>
        <v>Inget antal angivet</v>
      </c>
      <c r="G138" s="52">
        <f ca="1">IFERROR(P140,"Ingen produkt motsvarar")</f>
        <v>1981</v>
      </c>
      <c r="H138" s="52">
        <f ca="1">IFERROR(P141,"")</f>
        <v>2034</v>
      </c>
      <c r="I138" s="52">
        <f ca="1">IFERROR(P142,"")</f>
        <v>2076</v>
      </c>
      <c r="W138" t="str">
        <f>IF(COUNTIF(X138:AF138,FALSE)&gt;0,AG138,"")</f>
        <v/>
      </c>
      <c r="X138" t="b">
        <f>IF($D$141="",TRUE,IF(AI138=$D$141,TRUE,FALSE))</f>
        <v>1</v>
      </c>
      <c r="Y138" t="b">
        <f>IF(D140="",TRUE,IF(AJ138=$D$142,TRUE,FALSE))</f>
        <v>1</v>
      </c>
      <c r="Z138" t="b">
        <f>IF(D141="",TRUE,IF(AK138=D141,TRUE,FALSE))</f>
        <v>1</v>
      </c>
      <c r="AA138" t="b">
        <f>IF(D142="",TRUE,IF(AL138=D142,TRUE,FALSE))</f>
        <v>1</v>
      </c>
      <c r="AB138" t="b">
        <f>IF(D146="",TRUE,IF(AM138=D146,TRUE,FALSE))</f>
        <v>1</v>
      </c>
      <c r="AC138" t="b">
        <f>IF(D147="",TRUE,IF(AN138=D147,TRUE,FALSE))</f>
        <v>1</v>
      </c>
      <c r="AE138" t="b">
        <f>IF(D145="",TRUE,IF(AO138=D145,TRUE,FALSE))</f>
        <v>1</v>
      </c>
      <c r="AF138" t="b">
        <f>IFERROR(IF($D148="",TRUE,IF(MID(AT138,LEN(AT138)-2,1)*1&gt;=MID($D148,LEN($D148)-2,1)*1,TRUE,FALSE)),FALSE)</f>
        <v>1</v>
      </c>
      <c r="AG138" t="s">
        <v>126</v>
      </c>
      <c r="AI138" s="58" t="str">
        <f t="shared" ref="AI138:BI138" ca="1" si="105">IFERROR(INDEX(INDIRECT(AI$135&amp;"!$A$10:CC100000"),MATCH($AG138,INDIRECT(AI$135&amp;"!BH$10:BH100000"),0),MATCH(AI$137,INDIRECT(AI$135&amp;"!a10:CC10"),0)),"False")</f>
        <v>False</v>
      </c>
      <c r="AJ138" s="58" t="str">
        <f t="shared" ca="1" si="105"/>
        <v>False</v>
      </c>
      <c r="AK138" s="58" t="str">
        <f t="shared" ca="1" si="105"/>
        <v>False</v>
      </c>
      <c r="AL138" s="58" t="str">
        <f t="shared" ca="1" si="105"/>
        <v>False</v>
      </c>
      <c r="AM138" s="58" t="str">
        <f t="shared" ca="1" si="105"/>
        <v>False</v>
      </c>
      <c r="AN138" s="58" t="str">
        <f t="shared" ca="1" si="105"/>
        <v>False</v>
      </c>
      <c r="AO138" s="58" t="str">
        <f t="shared" ca="1" si="105"/>
        <v>False</v>
      </c>
      <c r="AP138" s="58" t="str">
        <f t="shared" ca="1" si="105"/>
        <v>False</v>
      </c>
      <c r="AQ138" s="58" t="str">
        <f t="shared" ca="1" si="105"/>
        <v>False</v>
      </c>
      <c r="AR138" s="58" t="str">
        <f t="shared" ca="1" si="105"/>
        <v>False</v>
      </c>
      <c r="AS138" s="58" t="str">
        <f t="shared" ca="1" si="105"/>
        <v>False</v>
      </c>
      <c r="AT138" s="58" t="str">
        <f t="shared" ca="1" si="105"/>
        <v>False</v>
      </c>
      <c r="AU138" s="58" t="str">
        <f t="shared" ca="1" si="105"/>
        <v>False</v>
      </c>
      <c r="AV138" s="58" t="str">
        <f t="shared" ca="1" si="105"/>
        <v>False</v>
      </c>
      <c r="AW138" s="58" t="str">
        <f t="shared" ca="1" si="105"/>
        <v>False</v>
      </c>
      <c r="AX138" s="58" t="str">
        <f t="shared" ca="1" si="105"/>
        <v>False</v>
      </c>
      <c r="AY138" s="58" t="str">
        <f t="shared" ca="1" si="105"/>
        <v>False</v>
      </c>
      <c r="AZ138" s="58" t="str">
        <f t="shared" ca="1" si="105"/>
        <v>False</v>
      </c>
      <c r="BA138" s="58" t="str">
        <f t="shared" ca="1" si="105"/>
        <v>False</v>
      </c>
      <c r="BB138" s="58" t="str">
        <f t="shared" ca="1" si="105"/>
        <v>False</v>
      </c>
      <c r="BC138" s="58" t="str">
        <f t="shared" ca="1" si="105"/>
        <v>False</v>
      </c>
      <c r="BD138" s="58" t="str">
        <f t="shared" ca="1" si="105"/>
        <v>False</v>
      </c>
      <c r="BE138" s="58" t="str">
        <f t="shared" ca="1" si="105"/>
        <v>False</v>
      </c>
      <c r="BF138" s="58" t="str">
        <f t="shared" ca="1" si="105"/>
        <v>False</v>
      </c>
      <c r="BG138" s="58" t="str">
        <f t="shared" ca="1" si="105"/>
        <v>False</v>
      </c>
      <c r="BH138" s="58" t="str">
        <f t="shared" ca="1" si="105"/>
        <v>False</v>
      </c>
      <c r="BI138" s="58" t="str">
        <f t="shared" ca="1" si="105"/>
        <v>False</v>
      </c>
      <c r="BJ138" s="58"/>
      <c r="BK138" s="58"/>
      <c r="BL138" s="58"/>
      <c r="BM138" s="58"/>
      <c r="BN138" s="58"/>
      <c r="BO138" s="58"/>
      <c r="BP138" s="58"/>
      <c r="BQ138" s="58"/>
      <c r="BR138" s="58"/>
      <c r="BS138" s="58"/>
      <c r="BT138" s="58"/>
      <c r="BU138" s="58"/>
      <c r="BV138" s="58"/>
      <c r="BW138" s="58"/>
    </row>
    <row r="139" spans="2:75" ht="22.5" customHeight="1" x14ac:dyDescent="0.35">
      <c r="C139" s="210" t="str">
        <f ca="1" xml:space="preserve"> "Bildskärm "  &amp; RIGHT("00" &amp; B138,2)</f>
        <v>Bildskärm 05</v>
      </c>
      <c r="D139" s="211"/>
      <c r="F139" s="103" t="str">
        <f>IF(F$138="Inget antal angivet","",IFERROR(INDEX($AI$139:$BI$164,MATCH(F$135,$AG$139:$AG$164,0),MATCH("Modellbenämning",$AI$139:$BI$139,0)),""))</f>
        <v/>
      </c>
      <c r="G139" s="103" t="str">
        <f ca="1">IFERROR(INDEX($AI$139:$BI$164,MATCH(G$135,$AG$139:$AG$164,0),MATCH("Modellbenämning",$AI$139:$BI$139,0)),"")</f>
        <v>HP E24i G4 - E-Series - LED-skärm</v>
      </c>
      <c r="H139" s="103" t="str">
        <f ca="1">IFERROR(INDEX($AI$139:$BI$164,MATCH(H$135,$AG$139:$AG$164,0),MATCH("Modellbenämning",$AI$139:$BI$139,0)),"")</f>
        <v>F24T450FQR</v>
      </c>
      <c r="I139" s="103" t="str">
        <f ca="1">IFERROR(INDEX($AI$139:$BI$164,MATCH(I$135,$AG$139:$AG$164,0),MATCH("Modellbenämning",$AI$139:$BI$139,0)),"")</f>
        <v>P2422h</v>
      </c>
      <c r="J139" s="93"/>
      <c r="K139" s="103"/>
      <c r="L139" s="103"/>
      <c r="M139" s="103"/>
      <c r="N139" s="103" t="e">
        <f ca="1">INDEX($N$140:$N$145,MATCH(Överblick!$L$2,$M$140:$M$145,0))</f>
        <v>#N/A</v>
      </c>
      <c r="O139" s="103"/>
      <c r="P139" s="103"/>
      <c r="Q139" s="103"/>
      <c r="R139" s="103">
        <v>1</v>
      </c>
      <c r="S139" s="103">
        <v>2</v>
      </c>
      <c r="T139" s="103">
        <v>3</v>
      </c>
      <c r="U139" s="103">
        <v>5</v>
      </c>
      <c r="V139" s="103"/>
      <c r="W139" s="103" t="s">
        <v>122</v>
      </c>
      <c r="X139" s="103" t="s">
        <v>7</v>
      </c>
      <c r="Y139" s="103" t="s">
        <v>2</v>
      </c>
      <c r="Z139" s="103" t="s">
        <v>67</v>
      </c>
      <c r="AA139" s="103" t="s">
        <v>68</v>
      </c>
      <c r="AB139" s="103" t="s">
        <v>73</v>
      </c>
      <c r="AC139" s="103" t="s">
        <v>13</v>
      </c>
      <c r="AD139" s="103"/>
      <c r="AE139" s="103" t="s">
        <v>14</v>
      </c>
      <c r="AF139" s="103" t="s">
        <v>38</v>
      </c>
      <c r="AG139" s="103" t="s">
        <v>222</v>
      </c>
      <c r="AH139" s="103">
        <v>1</v>
      </c>
      <c r="AI139" s="103" t="s">
        <v>7</v>
      </c>
      <c r="AJ139" s="103" t="s">
        <v>2</v>
      </c>
      <c r="AK139" s="103" t="s">
        <v>67</v>
      </c>
      <c r="AL139" s="103" t="s">
        <v>68</v>
      </c>
      <c r="AM139" s="103" t="s">
        <v>73</v>
      </c>
      <c r="AN139" s="103" t="s">
        <v>13</v>
      </c>
      <c r="AO139" s="103" t="s">
        <v>14</v>
      </c>
      <c r="AP139" s="103" t="s">
        <v>38</v>
      </c>
      <c r="AQ139" s="103" t="s">
        <v>37</v>
      </c>
      <c r="AR139" s="103" t="s">
        <v>75</v>
      </c>
      <c r="AS139" s="103" t="s">
        <v>120</v>
      </c>
      <c r="AT139" s="103" t="s">
        <v>38</v>
      </c>
      <c r="AU139" s="103" t="s">
        <v>37</v>
      </c>
      <c r="AV139" s="103" t="s">
        <v>3</v>
      </c>
      <c r="AW139" s="103" t="s">
        <v>52</v>
      </c>
      <c r="AX139" s="103" t="s">
        <v>25</v>
      </c>
      <c r="AY139" s="103" t="s">
        <v>53</v>
      </c>
      <c r="AZ139" s="103" t="s">
        <v>228</v>
      </c>
      <c r="BA139" s="103" t="s">
        <v>229</v>
      </c>
      <c r="BB139" s="103" t="s">
        <v>230</v>
      </c>
      <c r="BC139" s="103" t="s">
        <v>340</v>
      </c>
      <c r="BD139" s="103" t="s">
        <v>345</v>
      </c>
      <c r="BE139" s="103"/>
      <c r="BF139" s="103"/>
      <c r="BG139" s="103"/>
      <c r="BH139" s="103" t="s">
        <v>6</v>
      </c>
      <c r="BI139" s="103" t="s">
        <v>51</v>
      </c>
      <c r="BJ139" s="103" t="s">
        <v>7</v>
      </c>
      <c r="BK139" s="103" t="s">
        <v>2</v>
      </c>
      <c r="BL139" s="103" t="s">
        <v>67</v>
      </c>
      <c r="BM139" s="103" t="s">
        <v>68</v>
      </c>
      <c r="BN139" s="103" t="s">
        <v>73</v>
      </c>
      <c r="BO139" s="103" t="s">
        <v>13</v>
      </c>
      <c r="BP139" s="103" t="s">
        <v>14</v>
      </c>
      <c r="BQ139" s="103" t="s">
        <v>38</v>
      </c>
      <c r="BR139" s="103" t="s">
        <v>37</v>
      </c>
      <c r="BS139" s="103" t="s">
        <v>120</v>
      </c>
      <c r="BT139" s="103" t="s">
        <v>38</v>
      </c>
      <c r="BU139" s="103" t="s">
        <v>37</v>
      </c>
      <c r="BV139" s="103" t="s">
        <v>3</v>
      </c>
    </row>
    <row r="140" spans="2:75" ht="22.5" customHeight="1" outlineLevel="1" x14ac:dyDescent="0.35">
      <c r="C140" s="210" t="s">
        <v>261</v>
      </c>
      <c r="D140" s="211"/>
      <c r="F140" s="76" t="str">
        <f>IF(F$138="Inget antal angivet","",IFERROR(INDEX($AI$139:$BI$164,MATCH(F$135,$AG$139:$AG$164,0),MATCH("Varumärke",$AI$139:$BI$139,0)),""))</f>
        <v/>
      </c>
      <c r="G140" s="77" t="str">
        <f ca="1">IFERROR(INDEX($AI$139:$BI$164,MATCH(G$135,$AG$139:$AG$164,0),MATCH("Varumärke",$AI$139:$BI$139,0)),"")</f>
        <v>HP</v>
      </c>
      <c r="H140" s="77" t="str">
        <f ca="1">IFERROR(INDEX($AI$139:$BI$164,MATCH(H$135,$AG$139:$AG$164,0),MATCH("Varumärke",$AI$139:$BI$139,0)),"")</f>
        <v>Samsung</v>
      </c>
      <c r="I140" s="119" t="str">
        <f ca="1">IFERROR(INDEX($AI$139:$BI$164,MATCH(I$135,$AG$139:$AG$164,0),MATCH("Varumärke",$AI$139:$BI$139,0)),"")</f>
        <v>Dell</v>
      </c>
      <c r="K140" s="196">
        <f t="shared" ref="K140:K145" ca="1" si="106">O140*$D$162</f>
        <v>0</v>
      </c>
      <c r="L140" s="185" t="b">
        <f t="shared" ref="L140:L145" si="107">IF($D$162=0,TRUE,IF(K140=0,FALSE,TRUE))</f>
        <v>1</v>
      </c>
      <c r="M140" s="185" t="s">
        <v>162</v>
      </c>
      <c r="N140" s="185" t="str">
        <f t="shared" ref="N140:N145" ca="1" si="108">IFERROR(INDEX($W$140:$W$151,MATCH(O140,$V$140:$V$150,0)),"")</f>
        <v>Offererad produktnr. 11Advania Sverige AB</v>
      </c>
      <c r="O140" s="185" cm="1">
        <f t="array" aca="1" ref="O140" ca="1">MIN(IF(($BH$140:$BH$151=M140)*($AH$140:$AH$151=$O$137),$V$140:$V$151))</f>
        <v>1981</v>
      </c>
      <c r="P140" s="197">
        <f ca="1">IFERROR(SMALL($V$140:$V$164,1),"")</f>
        <v>1981</v>
      </c>
      <c r="Q140" s="185">
        <f t="shared" ref="Q140:Q149" si="109">SUM(R140:U140)</f>
        <v>0</v>
      </c>
      <c r="R140" s="185">
        <f t="shared" ref="R140:R149" si="110">IF($D$152="",0,AY140)</f>
        <v>0</v>
      </c>
      <c r="S140" s="185">
        <f t="shared" ref="S140:S149" si="111">IF($D$156="",0,AZ140)</f>
        <v>0</v>
      </c>
      <c r="T140" s="185">
        <f t="shared" ref="T140:T149" si="112">IF($D$157="",0,BA140)</f>
        <v>0</v>
      </c>
      <c r="U140" s="185">
        <f t="shared" ref="U140:U149" si="113">IF($D$158="",0,BD140)</f>
        <v>0</v>
      </c>
      <c r="V140" s="196">
        <f t="shared" ref="V140:V149" ca="1" si="114">IF(W140="","",SUM(AX140,R140:U140))</f>
        <v>1981</v>
      </c>
      <c r="W140" s="185" t="str">
        <f t="shared" ref="W140:W149" si="115">IF(COUNTIF(X140:AF140,FALSE)&gt;0,"",AG140)</f>
        <v>Offererad produktnr. 11Advania Sverige AB</v>
      </c>
      <c r="X140" s="185" t="b">
        <f>IF($D$141="",TRUE,IF(COUNTIF(Processor!$I$2:$I$9,$D$141)&gt;0,AND(AI140&gt;INDEX(Processor!$J$2:$J$9,MATCH($D$141,Processor!$I$2:$I$9,0)),AI140&lt;INDEX(Processor!$K$2:$K$9,MATCH($D$141,Processor!$I$2:$I$9,0))),IF(AI140=$D$141,TRUE,FALSE)))</f>
        <v>1</v>
      </c>
      <c r="Y140" s="185" t="b">
        <f t="shared" ref="Y140:Y149" si="116">IFERROR(IF($D$142="",TRUE,IF(AND(IF(LEFT(RIGHT($D$142,4),4)*1&lt;=1*LEFT(AJ140,4),TRUE,FALSE),IF(RIGHT(AJ140,LEN(AJ140)-FIND("x",AJ140))*1&gt;=1*RIGHT(RIGHT($D$142,4),4),TRUE,FALSE)),TRUE,FALSE)),0)</f>
        <v>1</v>
      </c>
      <c r="Z140" s="185" t="b">
        <f t="shared" ref="Z140:Z149" si="117">IF($D$143="",TRUE,IF(AK140&gt;=$D$143,TRUE,FALSE))</f>
        <v>1</v>
      </c>
      <c r="AA140" s="185" t="b">
        <f t="shared" ref="AA140:AA149" si="118">IF($D$144="",TRUE,IF(AL140&gt;=$D$144,TRUE,FALSE))</f>
        <v>1</v>
      </c>
      <c r="AB140" s="185" t="b">
        <f t="shared" ref="AB140:AB149" si="119">IF($D$145="",TRUE,IF(AM140&gt;=$D$145,TRUE,FALSE))</f>
        <v>1</v>
      </c>
      <c r="AC140" s="185" t="b">
        <f t="shared" ref="AC140:AC149" si="120">IF($D$146="",TRUE,IF(AN140&gt;=$D$146,TRUE,FALSE))</f>
        <v>1</v>
      </c>
      <c r="AD140" s="185"/>
      <c r="AE140" s="185" t="b">
        <f t="shared" ref="AE140:AE149" si="121">IF($D$147="",TRUE,IF(AO140&gt;=$D$147,TRUE,FALSE))</f>
        <v>1</v>
      </c>
      <c r="AF140" s="185" t="b">
        <f>IFERROR(IF($D148="",TRUE,IF(MID(AT140,LEN(AT140)-2,1)*1&gt;=MID($D148,LEN($D148)-2,1)*1,TRUE,FALSE)),FALSE)</f>
        <v>1</v>
      </c>
      <c r="AG140" s="185" t="s">
        <v>208</v>
      </c>
      <c r="AH140" s="201">
        <v>1</v>
      </c>
      <c r="AI140" s="185">
        <f t="shared" ref="AI140:AR149" ca="1" si="122">IFERROR(INDEX(INDIRECT(AI$135&amp;"!$A$10:CC100000"),MATCH($AG140,INDIRECT(AI$135&amp;"!BH$10:BH100000"),0),MATCH(AI$137,INDIRECT(AI$135&amp;"!a10:CC10"),0)),"False")</f>
        <v>24</v>
      </c>
      <c r="AJ140" s="185" t="str">
        <f t="shared" ca="1" si="122"/>
        <v>1920x1080</v>
      </c>
      <c r="AK140" s="185">
        <f t="shared" ca="1" si="122"/>
        <v>4</v>
      </c>
      <c r="AL140" s="185">
        <f t="shared" ca="1" si="122"/>
        <v>0</v>
      </c>
      <c r="AM140" s="185">
        <f t="shared" ca="1" si="122"/>
        <v>1</v>
      </c>
      <c r="AN140" s="185">
        <f t="shared" ca="1" si="122"/>
        <v>16700000</v>
      </c>
      <c r="AO140" s="185">
        <f t="shared" ca="1" si="122"/>
        <v>250</v>
      </c>
      <c r="AP140" s="185" t="str">
        <f t="shared" ca="1" si="122"/>
        <v>Version 8.0</v>
      </c>
      <c r="AQ140" s="185" t="str">
        <f t="shared" ca="1" si="122"/>
        <v>Ja</v>
      </c>
      <c r="AR140" s="185">
        <f t="shared" ca="1" si="122"/>
        <v>0</v>
      </c>
      <c r="AS140" s="185">
        <f t="shared" ref="AS140:BB149" ca="1" si="123">IFERROR(INDEX(INDIRECT(AS$135&amp;"!$A$10:CC100000"),MATCH($AG140,INDIRECT(AS$135&amp;"!BH$10:BH100000"),0),MATCH(AS$137,INDIRECT(AS$135&amp;"!a10:CC10"),0)),"False")</f>
        <v>0</v>
      </c>
      <c r="AT140" s="185" t="str">
        <f t="shared" ca="1" si="123"/>
        <v>Version 8.0</v>
      </c>
      <c r="AU140" s="185" t="str">
        <f t="shared" ca="1" si="123"/>
        <v>Ja</v>
      </c>
      <c r="AV140" s="185">
        <f t="shared" ca="1" si="123"/>
        <v>0</v>
      </c>
      <c r="AW140" s="185" t="str">
        <f t="shared" ca="1" si="123"/>
        <v>HP E24i G4 - E-Series - LED-skärm</v>
      </c>
      <c r="AX140" s="185">
        <f t="shared" ca="1" si="123"/>
        <v>1981</v>
      </c>
      <c r="AY140" s="192">
        <f t="shared" ca="1" si="123"/>
        <v>639</v>
      </c>
      <c r="AZ140" s="192">
        <f t="shared" ca="1" si="123"/>
        <v>101</v>
      </c>
      <c r="BA140" s="192">
        <f t="shared" ca="1" si="123"/>
        <v>50</v>
      </c>
      <c r="BB140" s="192">
        <f t="shared" ca="1" si="123"/>
        <v>50</v>
      </c>
      <c r="BC140" s="192" t="str">
        <f t="shared" ref="BC140:BI149" ca="1" si="124">IFERROR(INDEX(INDIRECT(BC$135&amp;"!$A$10:CC100000"),MATCH($AG140,INDIRECT(BC$135&amp;"!BH$10:BH100000"),0),MATCH(BC$137,INDIRECT(BC$135&amp;"!a10:CC10"),0)),"False")</f>
        <v>eSTUFF</v>
      </c>
      <c r="BD140" s="192" t="str">
        <f t="shared" ca="1" si="124"/>
        <v>GLBB24519325 -  Filter för personlig integritet - 2-vägs - 24" - svart</v>
      </c>
      <c r="BE140" s="192" t="str">
        <f t="shared" ca="1" si="124"/>
        <v>False</v>
      </c>
      <c r="BF140" s="192" t="str">
        <f t="shared" ca="1" si="124"/>
        <v>False</v>
      </c>
      <c r="BG140" s="192" t="str">
        <f t="shared" ca="1" si="124"/>
        <v>False</v>
      </c>
      <c r="BH140" s="192" t="str">
        <f t="shared" ca="1" si="124"/>
        <v>Advania Sverige AB</v>
      </c>
      <c r="BI140" s="192" t="str">
        <f t="shared" ca="1" si="124"/>
        <v>HP</v>
      </c>
      <c r="BJ140" s="199">
        <v>23.8</v>
      </c>
      <c r="BK140" s="185" t="s">
        <v>71</v>
      </c>
      <c r="BL140" s="185">
        <v>0</v>
      </c>
      <c r="BM140" s="185">
        <v>1</v>
      </c>
      <c r="BN140" s="185">
        <v>1</v>
      </c>
      <c r="BO140" s="185">
        <v>16700000</v>
      </c>
      <c r="BP140" s="185">
        <v>250</v>
      </c>
      <c r="BQ140" s="185" t="s">
        <v>352</v>
      </c>
      <c r="BR140" s="185" t="s">
        <v>69</v>
      </c>
      <c r="BS140" s="185"/>
      <c r="BT140" s="185"/>
      <c r="BU140" s="185" t="s">
        <v>352</v>
      </c>
      <c r="BV140" s="185" t="s">
        <v>69</v>
      </c>
      <c r="BW140">
        <v>0</v>
      </c>
    </row>
    <row r="141" spans="2:75" ht="22.5" customHeight="1" outlineLevel="1" x14ac:dyDescent="0.35">
      <c r="C141" s="61" t="s">
        <v>7</v>
      </c>
      <c r="D141" s="64"/>
      <c r="F141" s="78" t="str">
        <f t="shared" ref="F141:F149" si="125">IF(F$138="Inget antal angivet","",IFERROR(INDEX($AI$139:$BI$164,MATCH(F$135,$AG$139:$AG$164,0),MATCH($C141,$AI$139:$BI$139,0)),""))</f>
        <v/>
      </c>
      <c r="G141" s="79">
        <f t="shared" ref="G141:I149" ca="1" si="126">IFERROR(INDEX($AI$139:$BI$164,MATCH(G$135,$AG$139:$AG$164,0),MATCH($C141,$AI$139:$BI$139,0)),"")</f>
        <v>24</v>
      </c>
      <c r="H141" s="79">
        <f t="shared" ca="1" si="126"/>
        <v>23.8</v>
      </c>
      <c r="I141" s="120">
        <f t="shared" ca="1" si="126"/>
        <v>23.8</v>
      </c>
      <c r="J141" s="62"/>
      <c r="K141" s="196">
        <f t="shared" ca="1" si="106"/>
        <v>0</v>
      </c>
      <c r="L141" s="185" t="b">
        <f t="shared" si="107"/>
        <v>1</v>
      </c>
      <c r="M141" s="185" t="s">
        <v>150</v>
      </c>
      <c r="N141" s="185" t="str">
        <f t="shared" ca="1" si="108"/>
        <v>Offererad produktnr. 11Atea Sverige AB</v>
      </c>
      <c r="O141" s="185" cm="1">
        <f t="array" aca="1" ref="O141" ca="1">MIN(IF(($BH$140:$BH$151=M141)*($AH$140:$AH$151=$O$137),$V$140:$V$151))</f>
        <v>2034</v>
      </c>
      <c r="P141" s="197">
        <f ca="1">IFERROR(SMALL($V$140:$V$164,2),"")</f>
        <v>2034</v>
      </c>
      <c r="Q141" s="185">
        <f t="shared" si="109"/>
        <v>0</v>
      </c>
      <c r="R141" s="185">
        <f t="shared" si="110"/>
        <v>0</v>
      </c>
      <c r="S141" s="185">
        <f t="shared" si="111"/>
        <v>0</v>
      </c>
      <c r="T141" s="185">
        <f t="shared" si="112"/>
        <v>0</v>
      </c>
      <c r="U141" s="185">
        <f t="shared" si="113"/>
        <v>0</v>
      </c>
      <c r="V141" s="196">
        <f t="shared" ca="1" si="114"/>
        <v>3060</v>
      </c>
      <c r="W141" s="185" t="str">
        <f t="shared" si="115"/>
        <v>Offererad produktnr. 12Advania Sverige AB</v>
      </c>
      <c r="X141" s="185" t="b">
        <f>IF($D$141="",TRUE,IF(COUNTIF(Processor!$I$2:$I$9,$D$141)&gt;0,AND(AI141&gt;INDEX(Processor!$J$2:$J$9,MATCH($D$141,Processor!$I$2:$I$9,0)),AI141&lt;INDEX(Processor!$K$2:$K$9,MATCH($D$141,Processor!$I$2:$I$9,0))),IF(AI141=$D$141,TRUE,FALSE)))</f>
        <v>1</v>
      </c>
      <c r="Y141" s="185" t="b">
        <f t="shared" si="116"/>
        <v>1</v>
      </c>
      <c r="Z141" s="185" t="b">
        <f t="shared" si="117"/>
        <v>1</v>
      </c>
      <c r="AA141" s="185" t="b">
        <f t="shared" si="118"/>
        <v>1</v>
      </c>
      <c r="AB141" s="185" t="b">
        <f t="shared" si="119"/>
        <v>1</v>
      </c>
      <c r="AC141" s="185" t="b">
        <f t="shared" si="120"/>
        <v>1</v>
      </c>
      <c r="AD141" s="185"/>
      <c r="AE141" s="185" t="b">
        <f t="shared" si="121"/>
        <v>1</v>
      </c>
      <c r="AF141" s="185" t="b">
        <f>IFERROR(IF($D148="",TRUE,IF(MID(AT141,LEN(AT141)-2,1)*1&gt;=MID($D148,LEN($D148)-2,1)*1,TRUE,FALSE)),FALSE)</f>
        <v>1</v>
      </c>
      <c r="AG141" s="185" t="s">
        <v>209</v>
      </c>
      <c r="AH141" s="201">
        <v>1</v>
      </c>
      <c r="AI141" s="185">
        <f t="shared" ca="1" si="122"/>
        <v>27</v>
      </c>
      <c r="AJ141" s="185" t="str">
        <f t="shared" ca="1" si="122"/>
        <v>2560x1440</v>
      </c>
      <c r="AK141" s="185">
        <f t="shared" ca="1" si="122"/>
        <v>4</v>
      </c>
      <c r="AL141" s="185">
        <f t="shared" ca="1" si="122"/>
        <v>0</v>
      </c>
      <c r="AM141" s="185">
        <f t="shared" ca="1" si="122"/>
        <v>1</v>
      </c>
      <c r="AN141" s="185">
        <f t="shared" ca="1" si="122"/>
        <v>16700000</v>
      </c>
      <c r="AO141" s="185">
        <f t="shared" ca="1" si="122"/>
        <v>350</v>
      </c>
      <c r="AP141" s="185" t="str">
        <f t="shared" ca="1" si="122"/>
        <v>Version 8.0</v>
      </c>
      <c r="AQ141" s="185" t="str">
        <f t="shared" ca="1" si="122"/>
        <v>Ja</v>
      </c>
      <c r="AR141" s="185">
        <f t="shared" ca="1" si="122"/>
        <v>0</v>
      </c>
      <c r="AS141" s="185">
        <f t="shared" ca="1" si="123"/>
        <v>0</v>
      </c>
      <c r="AT141" s="185" t="str">
        <f t="shared" ca="1" si="123"/>
        <v>Version 8.0</v>
      </c>
      <c r="AU141" s="185" t="str">
        <f t="shared" ca="1" si="123"/>
        <v>Ja</v>
      </c>
      <c r="AV141" s="185">
        <f t="shared" ca="1" si="123"/>
        <v>0</v>
      </c>
      <c r="AW141" s="185" t="str">
        <f t="shared" ca="1" si="123"/>
        <v>HP E27q G5 - E-Series</v>
      </c>
      <c r="AX141" s="185">
        <f t="shared" ca="1" si="123"/>
        <v>3060</v>
      </c>
      <c r="AY141" s="192">
        <f t="shared" ca="1" si="123"/>
        <v>815</v>
      </c>
      <c r="AZ141" s="192">
        <f t="shared" ca="1" si="123"/>
        <v>101</v>
      </c>
      <c r="BA141" s="192">
        <f t="shared" ca="1" si="123"/>
        <v>50</v>
      </c>
      <c r="BB141" s="192">
        <f t="shared" ca="1" si="123"/>
        <v>50</v>
      </c>
      <c r="BC141" s="192" t="str">
        <f t="shared" ca="1" si="124"/>
        <v>eSTUFF</v>
      </c>
      <c r="BD141" s="192" t="str">
        <f t="shared" ca="1" si="124"/>
        <v>GLBB27598337 - Filter för personlig integritet - 2-vägs - 27" - svart</v>
      </c>
      <c r="BE141" s="192" t="str">
        <f t="shared" ca="1" si="124"/>
        <v>False</v>
      </c>
      <c r="BF141" s="192" t="str">
        <f t="shared" ca="1" si="124"/>
        <v>False</v>
      </c>
      <c r="BG141" s="192" t="str">
        <f t="shared" ca="1" si="124"/>
        <v>False</v>
      </c>
      <c r="BH141" s="192" t="str">
        <f t="shared" ca="1" si="124"/>
        <v>Advania Sverige AB</v>
      </c>
      <c r="BI141" s="192" t="str">
        <f t="shared" ca="1" si="124"/>
        <v>HP</v>
      </c>
      <c r="BJ141" s="199">
        <v>24</v>
      </c>
      <c r="BK141" s="185" t="s">
        <v>92</v>
      </c>
      <c r="BL141" s="185">
        <v>2</v>
      </c>
      <c r="BM141" s="185">
        <v>2</v>
      </c>
      <c r="BN141" s="185"/>
      <c r="BO141" s="185">
        <v>1070000000</v>
      </c>
      <c r="BP141" s="185">
        <v>300</v>
      </c>
      <c r="BQ141" s="185"/>
      <c r="BR141" s="185"/>
      <c r="BS141" s="185"/>
      <c r="BT141" s="185"/>
      <c r="BU141" s="185"/>
      <c r="BV141" s="185"/>
      <c r="BW141">
        <v>0</v>
      </c>
    </row>
    <row r="142" spans="2:75" ht="22.5" customHeight="1" outlineLevel="1" x14ac:dyDescent="0.35">
      <c r="C142" s="61" t="s">
        <v>2</v>
      </c>
      <c r="D142" s="64"/>
      <c r="F142" s="78" t="str">
        <f t="shared" si="125"/>
        <v/>
      </c>
      <c r="G142" s="79" t="str">
        <f t="shared" ca="1" si="126"/>
        <v>1920x1080</v>
      </c>
      <c r="H142" s="79" t="str">
        <f t="shared" ca="1" si="126"/>
        <v>1920x1080</v>
      </c>
      <c r="I142" s="120" t="str">
        <f t="shared" ca="1" si="126"/>
        <v>1920x1080</v>
      </c>
      <c r="J142" s="62"/>
      <c r="K142" s="196">
        <f t="shared" ca="1" si="106"/>
        <v>0</v>
      </c>
      <c r="L142" s="185" t="b">
        <f t="shared" si="107"/>
        <v>1</v>
      </c>
      <c r="M142" s="185" t="s">
        <v>128</v>
      </c>
      <c r="N142" s="185" t="str">
        <f t="shared" ca="1" si="108"/>
        <v>Offererad produktnr. 11Dustin Sverige AB</v>
      </c>
      <c r="O142" s="185" cm="1">
        <f t="array" aca="1" ref="O142" ca="1">MIN(IF(($BH$140:$BH$151=M142)*($AH$140:$AH$151=$O$137),$V$140:$V$151))</f>
        <v>2190</v>
      </c>
      <c r="P142" s="197">
        <f ca="1">IFERROR(SMALL($V$140:$V$164,3),"")</f>
        <v>2076</v>
      </c>
      <c r="Q142" s="185">
        <f t="shared" si="109"/>
        <v>0</v>
      </c>
      <c r="R142" s="185">
        <f t="shared" si="110"/>
        <v>0</v>
      </c>
      <c r="S142" s="185">
        <f t="shared" si="111"/>
        <v>0</v>
      </c>
      <c r="T142" s="185">
        <f t="shared" si="112"/>
        <v>0</v>
      </c>
      <c r="U142" s="185">
        <f t="shared" si="113"/>
        <v>0</v>
      </c>
      <c r="V142" s="196">
        <f t="shared" ca="1" si="114"/>
        <v>2034</v>
      </c>
      <c r="W142" s="185" t="str">
        <f t="shared" si="115"/>
        <v>Offererad produktnr. 11Atea Sverige AB</v>
      </c>
      <c r="X142" s="185" t="b">
        <f>IF($D$141="",TRUE,IF(COUNTIF(Processor!$I$2:$I$9,$D$141)&gt;0,AND(AI142&gt;INDEX(Processor!$J$2:$J$9,MATCH($D$141,Processor!$I$2:$I$9,0)),AI142&lt;INDEX(Processor!$K$2:$K$9,MATCH($D$141,Processor!$I$2:$I$9,0))),IF(AI142=$D$141,TRUE,FALSE)))</f>
        <v>1</v>
      </c>
      <c r="Y142" s="185" t="b">
        <f t="shared" si="116"/>
        <v>1</v>
      </c>
      <c r="Z142" s="185" t="b">
        <f t="shared" si="117"/>
        <v>1</v>
      </c>
      <c r="AA142" s="185" t="b">
        <f t="shared" si="118"/>
        <v>1</v>
      </c>
      <c r="AB142" s="185" t="b">
        <f t="shared" si="119"/>
        <v>1</v>
      </c>
      <c r="AC142" s="185" t="b">
        <f t="shared" si="120"/>
        <v>1</v>
      </c>
      <c r="AD142" s="185"/>
      <c r="AE142" s="185" t="b">
        <f t="shared" si="121"/>
        <v>1</v>
      </c>
      <c r="AF142" s="185" t="b">
        <f>IFERROR(IF($D148="",TRUE,IF(MID(AT142,LEN(AT142)-2,1)*1&gt;=MID($D148,LEN($D148)-2,1)*1,TRUE,FALSE)),FALSE)</f>
        <v>1</v>
      </c>
      <c r="AG142" s="185" t="s">
        <v>196</v>
      </c>
      <c r="AH142" s="201">
        <v>1</v>
      </c>
      <c r="AI142" s="185">
        <f t="shared" ca="1" si="122"/>
        <v>23.8</v>
      </c>
      <c r="AJ142" s="185" t="str">
        <f t="shared" ca="1" si="122"/>
        <v>1920x1080</v>
      </c>
      <c r="AK142" s="185">
        <f t="shared" ca="1" si="122"/>
        <v>2</v>
      </c>
      <c r="AL142" s="185">
        <f t="shared" ca="1" si="122"/>
        <v>0</v>
      </c>
      <c r="AM142" s="185">
        <f t="shared" ca="1" si="122"/>
        <v>1</v>
      </c>
      <c r="AN142" s="185">
        <f t="shared" ca="1" si="122"/>
        <v>16700000</v>
      </c>
      <c r="AO142" s="185">
        <f t="shared" ca="1" si="122"/>
        <v>250</v>
      </c>
      <c r="AP142" s="185" t="str">
        <f t="shared" ca="1" si="122"/>
        <v>Version 8.0</v>
      </c>
      <c r="AQ142" s="185" t="str">
        <f t="shared" ca="1" si="122"/>
        <v>Ja</v>
      </c>
      <c r="AR142" s="185">
        <f t="shared" ca="1" si="122"/>
        <v>0</v>
      </c>
      <c r="AS142" s="185">
        <f t="shared" ca="1" si="123"/>
        <v>0</v>
      </c>
      <c r="AT142" s="185" t="str">
        <f t="shared" ca="1" si="123"/>
        <v>Version 8.0</v>
      </c>
      <c r="AU142" s="185" t="str">
        <f t="shared" ca="1" si="123"/>
        <v>Ja</v>
      </c>
      <c r="AV142" s="185">
        <f t="shared" ca="1" si="123"/>
        <v>0</v>
      </c>
      <c r="AW142" s="185" t="str">
        <f t="shared" ca="1" si="123"/>
        <v>F24T450FQR</v>
      </c>
      <c r="AX142" s="185">
        <f t="shared" ca="1" si="123"/>
        <v>2034</v>
      </c>
      <c r="AY142" s="192">
        <f t="shared" ca="1" si="123"/>
        <v>778</v>
      </c>
      <c r="AZ142" s="192">
        <f t="shared" ca="1" si="123"/>
        <v>94</v>
      </c>
      <c r="BA142" s="192">
        <f t="shared" ca="1" si="123"/>
        <v>85</v>
      </c>
      <c r="BB142" s="192">
        <f t="shared" ca="1" si="123"/>
        <v>100</v>
      </c>
      <c r="BC142" s="192" t="str">
        <f t="shared" ca="1" si="124"/>
        <v>Targus</v>
      </c>
      <c r="BD142" s="192" t="str">
        <f t="shared" ca="1" si="124"/>
        <v>Targus Privacy Screen - filter för personlig integritet - 23,8 tum bred</v>
      </c>
      <c r="BE142" s="192" t="str">
        <f t="shared" ca="1" si="124"/>
        <v>False</v>
      </c>
      <c r="BF142" s="192" t="str">
        <f t="shared" ca="1" si="124"/>
        <v>False</v>
      </c>
      <c r="BG142" s="192" t="str">
        <f t="shared" ca="1" si="124"/>
        <v>False</v>
      </c>
      <c r="BH142" s="192" t="str">
        <f t="shared" ca="1" si="124"/>
        <v>Atea Sverige AB</v>
      </c>
      <c r="BI142" s="192" t="str">
        <f t="shared" ca="1" si="124"/>
        <v>Samsung</v>
      </c>
      <c r="BJ142" s="199">
        <v>27</v>
      </c>
      <c r="BK142" s="185"/>
      <c r="BL142" s="185">
        <v>4</v>
      </c>
      <c r="BM142" s="185"/>
      <c r="BN142" s="185"/>
      <c r="BO142" s="185"/>
      <c r="BP142" s="185">
        <v>350</v>
      </c>
      <c r="BQ142" s="185"/>
      <c r="BR142" s="185"/>
      <c r="BS142" s="185"/>
      <c r="BT142" s="185"/>
      <c r="BU142" s="185"/>
      <c r="BV142" s="185"/>
    </row>
    <row r="143" spans="2:75" ht="22.5" customHeight="1" outlineLevel="1" x14ac:dyDescent="0.35">
      <c r="B143" t="s">
        <v>272</v>
      </c>
      <c r="C143" s="61" t="s">
        <v>67</v>
      </c>
      <c r="D143" s="64"/>
      <c r="F143" s="78" t="str">
        <f t="shared" si="125"/>
        <v/>
      </c>
      <c r="G143" s="79">
        <f t="shared" ca="1" si="126"/>
        <v>4</v>
      </c>
      <c r="H143" s="79">
        <f t="shared" ca="1" si="126"/>
        <v>2</v>
      </c>
      <c r="I143" s="120">
        <f t="shared" ca="1" si="126"/>
        <v>5</v>
      </c>
      <c r="J143" s="62"/>
      <c r="K143" s="196">
        <f t="shared" ca="1" si="106"/>
        <v>0</v>
      </c>
      <c r="L143" s="185" t="b">
        <f t="shared" si="107"/>
        <v>1</v>
      </c>
      <c r="M143" s="185" t="s">
        <v>169</v>
      </c>
      <c r="N143" s="185" t="str">
        <f t="shared" ca="1" si="108"/>
        <v>Offererad produktnr. 11Foxway Education AB</v>
      </c>
      <c r="O143" s="185" cm="1">
        <f t="array" aca="1" ref="O143" ca="1">MIN(IF(($BH$140:$BH$151=M143)*($AH$140:$AH$151=$O$137),$V$140:$V$151))</f>
        <v>2361</v>
      </c>
      <c r="P143" s="197"/>
      <c r="Q143" s="185">
        <f t="shared" si="109"/>
        <v>0</v>
      </c>
      <c r="R143" s="185">
        <f t="shared" si="110"/>
        <v>0</v>
      </c>
      <c r="S143" s="185">
        <f t="shared" si="111"/>
        <v>0</v>
      </c>
      <c r="T143" s="185">
        <f t="shared" si="112"/>
        <v>0</v>
      </c>
      <c r="U143" s="185">
        <f t="shared" si="113"/>
        <v>0</v>
      </c>
      <c r="V143" s="196">
        <f t="shared" ca="1" si="114"/>
        <v>3234</v>
      </c>
      <c r="W143" s="185" t="str">
        <f t="shared" si="115"/>
        <v>Offererad produktnr. 12Atea Sverige AB</v>
      </c>
      <c r="X143" s="185" t="b">
        <f>IF($D$141="",TRUE,IF(COUNTIF(Processor!$I$2:$I$9,$D$141)&gt;0,AND(AI143&gt;INDEX(Processor!$J$2:$J$9,MATCH($D$141,Processor!$I$2:$I$9,0)),AI143&lt;INDEX(Processor!$K$2:$K$9,MATCH($D$141,Processor!$I$2:$I$9,0))),IF(AI143=$D$141,TRUE,FALSE)))</f>
        <v>1</v>
      </c>
      <c r="Y143" s="185" t="b">
        <f t="shared" si="116"/>
        <v>1</v>
      </c>
      <c r="Z143" s="185" t="b">
        <f t="shared" si="117"/>
        <v>1</v>
      </c>
      <c r="AA143" s="185" t="b">
        <f t="shared" si="118"/>
        <v>1</v>
      </c>
      <c r="AB143" s="185" t="b">
        <f t="shared" si="119"/>
        <v>1</v>
      </c>
      <c r="AC143" s="185" t="b">
        <f t="shared" si="120"/>
        <v>1</v>
      </c>
      <c r="AD143" s="185"/>
      <c r="AE143" s="185" t="b">
        <f t="shared" si="121"/>
        <v>1</v>
      </c>
      <c r="AF143" s="185" t="b">
        <f>IFERROR(IF($D148="",TRUE,IF(MID(AT143,LEN(AT143)-2,1)*1&gt;=MID($D148,LEN($D148)-2,1)*1,TRUE,FALSE)),FALSE)</f>
        <v>1</v>
      </c>
      <c r="AG143" s="185" t="s">
        <v>197</v>
      </c>
      <c r="AH143" s="201">
        <v>1</v>
      </c>
      <c r="AI143" s="185">
        <f t="shared" ca="1" si="122"/>
        <v>27</v>
      </c>
      <c r="AJ143" s="185" t="str">
        <f t="shared" ca="1" si="122"/>
        <v>2560x1440</v>
      </c>
      <c r="AK143" s="185">
        <f t="shared" ca="1" si="122"/>
        <v>4</v>
      </c>
      <c r="AL143" s="185">
        <f t="shared" ca="1" si="122"/>
        <v>0</v>
      </c>
      <c r="AM143" s="185">
        <f t="shared" ca="1" si="122"/>
        <v>1</v>
      </c>
      <c r="AN143" s="185">
        <f t="shared" ca="1" si="122"/>
        <v>1070000000</v>
      </c>
      <c r="AO143" s="185">
        <f t="shared" ca="1" si="122"/>
        <v>300</v>
      </c>
      <c r="AP143" s="185" t="str">
        <f t="shared" ca="1" si="122"/>
        <v>Version 8.0</v>
      </c>
      <c r="AQ143" s="185" t="str">
        <f t="shared" ca="1" si="122"/>
        <v>Ja</v>
      </c>
      <c r="AR143" s="185">
        <f t="shared" ca="1" si="122"/>
        <v>0</v>
      </c>
      <c r="AS143" s="185">
        <f t="shared" ca="1" si="123"/>
        <v>0</v>
      </c>
      <c r="AT143" s="185" t="str">
        <f t="shared" ca="1" si="123"/>
        <v>Version 8.0</v>
      </c>
      <c r="AU143" s="185" t="str">
        <f t="shared" ca="1" si="123"/>
        <v>Ja</v>
      </c>
      <c r="AV143" s="185">
        <f t="shared" ca="1" si="123"/>
        <v>0</v>
      </c>
      <c r="AW143" s="185" t="str">
        <f t="shared" ca="1" si="123"/>
        <v>S27A600NAU</v>
      </c>
      <c r="AX143" s="185">
        <f t="shared" ca="1" si="123"/>
        <v>3234</v>
      </c>
      <c r="AY143" s="192">
        <f t="shared" ca="1" si="123"/>
        <v>1020</v>
      </c>
      <c r="AZ143" s="192">
        <f t="shared" ca="1" si="123"/>
        <v>164</v>
      </c>
      <c r="BA143" s="192">
        <f t="shared" ca="1" si="123"/>
        <v>85</v>
      </c>
      <c r="BB143" s="192">
        <f t="shared" ca="1" si="123"/>
        <v>100</v>
      </c>
      <c r="BC143" s="192" t="str">
        <f t="shared" ca="1" si="124"/>
        <v>Targus</v>
      </c>
      <c r="BD143" s="192" t="str">
        <f t="shared" ca="1" si="124"/>
        <v>Targus Privacy Screen 27" Widescreen (16:9) - filter för personlig integritet - 27 tum bred</v>
      </c>
      <c r="BE143" s="192" t="str">
        <f t="shared" ca="1" si="124"/>
        <v>False</v>
      </c>
      <c r="BF143" s="192" t="str">
        <f t="shared" ca="1" si="124"/>
        <v>False</v>
      </c>
      <c r="BG143" s="192" t="str">
        <f t="shared" ca="1" si="124"/>
        <v>False</v>
      </c>
      <c r="BH143" s="192" t="str">
        <f t="shared" ca="1" si="124"/>
        <v>Atea Sverige AB</v>
      </c>
      <c r="BI143" s="192" t="str">
        <f t="shared" ca="1" si="124"/>
        <v>Samsung</v>
      </c>
      <c r="BJ143" s="199"/>
      <c r="BK143" s="185"/>
      <c r="BL143" s="185">
        <v>5</v>
      </c>
      <c r="BM143" s="185"/>
      <c r="BN143" s="185"/>
      <c r="BO143" s="185"/>
      <c r="BP143" s="185"/>
      <c r="BQ143" s="185"/>
      <c r="BR143" s="185"/>
      <c r="BS143" s="185"/>
      <c r="BT143" s="185"/>
      <c r="BU143" s="185"/>
      <c r="BV143" s="185"/>
    </row>
    <row r="144" spans="2:75" ht="22.5" customHeight="1" outlineLevel="1" x14ac:dyDescent="0.35">
      <c r="C144" s="61" t="s">
        <v>68</v>
      </c>
      <c r="D144" s="64"/>
      <c r="F144" s="78" t="str">
        <f t="shared" si="125"/>
        <v/>
      </c>
      <c r="G144" s="79">
        <f t="shared" ca="1" si="126"/>
        <v>0</v>
      </c>
      <c r="H144" s="79">
        <f t="shared" ca="1" si="126"/>
        <v>0</v>
      </c>
      <c r="I144" s="120">
        <f t="shared" ca="1" si="126"/>
        <v>0</v>
      </c>
      <c r="J144" s="62"/>
      <c r="K144" s="196">
        <f t="shared" ca="1" si="106"/>
        <v>0</v>
      </c>
      <c r="L144" s="185" t="b">
        <f t="shared" si="107"/>
        <v>1</v>
      </c>
      <c r="M144" s="185" t="s">
        <v>167</v>
      </c>
      <c r="N144" s="185" t="str">
        <f t="shared" ca="1" si="108"/>
        <v/>
      </c>
      <c r="O144" s="185" cm="1">
        <f t="array" aca="1" ref="O144" ca="1">MIN(IF(($BH$140:$BH$151=M144)*($AH$140:$AH$151=$O$137),$V$140:$V$151))</f>
        <v>0</v>
      </c>
      <c r="P144" s="197"/>
      <c r="Q144" s="185">
        <f t="shared" si="109"/>
        <v>0</v>
      </c>
      <c r="R144" s="185">
        <f t="shared" si="110"/>
        <v>0</v>
      </c>
      <c r="S144" s="185">
        <f t="shared" si="111"/>
        <v>0</v>
      </c>
      <c r="T144" s="185">
        <f t="shared" si="112"/>
        <v>0</v>
      </c>
      <c r="U144" s="185">
        <f t="shared" si="113"/>
        <v>0</v>
      </c>
      <c r="V144" s="196">
        <f t="shared" ca="1" si="114"/>
        <v>2190</v>
      </c>
      <c r="W144" s="185" t="str">
        <f t="shared" si="115"/>
        <v>Offererad produktnr. 11Dustin Sverige AB</v>
      </c>
      <c r="X144" s="185" t="b">
        <f>IF($D$141="",TRUE,IF(COUNTIF(Processor!$I$2:$I$9,$D$141)&gt;0,AND(AI144&gt;INDEX(Processor!$J$2:$J$9,MATCH($D$141,Processor!$I$2:$I$9,0)),AI144&lt;INDEX(Processor!$K$2:$K$9,MATCH($D$141,Processor!$I$2:$I$9,0))),IF(AI144=$D$141,TRUE,FALSE)))</f>
        <v>1</v>
      </c>
      <c r="Y144" s="185" t="b">
        <f t="shared" si="116"/>
        <v>1</v>
      </c>
      <c r="Z144" s="185" t="b">
        <f t="shared" si="117"/>
        <v>1</v>
      </c>
      <c r="AA144" s="185" t="b">
        <f t="shared" si="118"/>
        <v>1</v>
      </c>
      <c r="AB144" s="185" t="b">
        <f t="shared" si="119"/>
        <v>1</v>
      </c>
      <c r="AC144" s="185" t="b">
        <f t="shared" si="120"/>
        <v>1</v>
      </c>
      <c r="AD144" s="185"/>
      <c r="AE144" s="185" t="b">
        <f t="shared" si="121"/>
        <v>1</v>
      </c>
      <c r="AF144" s="185" t="b">
        <f>IFERROR(IF($D148="",TRUE,IF(MID(AT144,LEN(AT144)-2,1)*1&gt;=MID($D148,LEN($D148)-2,1)*1,TRUE,FALSE)),FALSE)</f>
        <v>1</v>
      </c>
      <c r="AG144" s="185" t="s">
        <v>184</v>
      </c>
      <c r="AH144" s="201">
        <v>1</v>
      </c>
      <c r="AI144" s="185">
        <f t="shared" ca="1" si="122"/>
        <v>23.8</v>
      </c>
      <c r="AJ144" s="185" t="str">
        <f t="shared" ca="1" si="122"/>
        <v>1920x1080</v>
      </c>
      <c r="AK144" s="185">
        <f t="shared" ca="1" si="122"/>
        <v>0</v>
      </c>
      <c r="AL144" s="185">
        <f t="shared" ca="1" si="122"/>
        <v>0</v>
      </c>
      <c r="AM144" s="185">
        <f t="shared" ca="1" si="122"/>
        <v>1</v>
      </c>
      <c r="AN144" s="185">
        <f t="shared" ca="1" si="122"/>
        <v>16700000</v>
      </c>
      <c r="AO144" s="185">
        <f t="shared" ca="1" si="122"/>
        <v>250</v>
      </c>
      <c r="AP144" s="185" t="str">
        <f t="shared" ca="1" si="122"/>
        <v>Version 8.0</v>
      </c>
      <c r="AQ144" s="185" t="str">
        <f t="shared" ca="1" si="122"/>
        <v>Ja</v>
      </c>
      <c r="AR144" s="185">
        <f t="shared" ca="1" si="122"/>
        <v>0</v>
      </c>
      <c r="AS144" s="185">
        <f t="shared" ca="1" si="123"/>
        <v>0</v>
      </c>
      <c r="AT144" s="185" t="str">
        <f t="shared" ca="1" si="123"/>
        <v>Version 8.0</v>
      </c>
      <c r="AU144" s="185" t="str">
        <f t="shared" ca="1" si="123"/>
        <v>Ja</v>
      </c>
      <c r="AV144" s="185">
        <f t="shared" ca="1" si="123"/>
        <v>0</v>
      </c>
      <c r="AW144" s="185" t="str">
        <f t="shared" ca="1" si="123"/>
        <v>HP P24h G5</v>
      </c>
      <c r="AX144" s="185">
        <f t="shared" ca="1" si="123"/>
        <v>2190</v>
      </c>
      <c r="AY144" s="192">
        <f t="shared" ca="1" si="123"/>
        <v>620</v>
      </c>
      <c r="AZ144" s="192">
        <f t="shared" ca="1" si="123"/>
        <v>28</v>
      </c>
      <c r="BA144" s="192">
        <f t="shared" ca="1" si="123"/>
        <v>20</v>
      </c>
      <c r="BB144" s="192">
        <f t="shared" ca="1" si="123"/>
        <v>20</v>
      </c>
      <c r="BC144" s="192" t="str">
        <f t="shared" ca="1" si="124"/>
        <v>Cirafon</v>
      </c>
      <c r="BD144" s="192" t="str">
        <f t="shared" ca="1" si="124"/>
        <v>DPF23.8-9</v>
      </c>
      <c r="BE144" s="192" t="str">
        <f t="shared" ca="1" si="124"/>
        <v>False</v>
      </c>
      <c r="BF144" s="192" t="str">
        <f t="shared" ca="1" si="124"/>
        <v>False</v>
      </c>
      <c r="BG144" s="192" t="str">
        <f t="shared" ca="1" si="124"/>
        <v>False</v>
      </c>
      <c r="BH144" s="192" t="str">
        <f t="shared" ca="1" si="124"/>
        <v>Dustin Sverige AB</v>
      </c>
      <c r="BI144" s="192" t="str">
        <f t="shared" ca="1" si="124"/>
        <v>HP</v>
      </c>
    </row>
    <row r="145" spans="2:61" ht="22.5" customHeight="1" outlineLevel="1" x14ac:dyDescent="0.35">
      <c r="C145" s="61" t="s">
        <v>73</v>
      </c>
      <c r="D145" s="64"/>
      <c r="F145" s="78" t="str">
        <f t="shared" si="125"/>
        <v/>
      </c>
      <c r="G145" s="79">
        <f t="shared" ca="1" si="126"/>
        <v>1</v>
      </c>
      <c r="H145" s="79">
        <f t="shared" ca="1" si="126"/>
        <v>1</v>
      </c>
      <c r="I145" s="120">
        <f t="shared" ca="1" si="126"/>
        <v>1</v>
      </c>
      <c r="J145" s="62"/>
      <c r="K145" s="196">
        <f t="shared" ca="1" si="106"/>
        <v>0</v>
      </c>
      <c r="L145" s="185" t="b">
        <f t="shared" si="107"/>
        <v>1</v>
      </c>
      <c r="M145" s="185" t="s">
        <v>546</v>
      </c>
      <c r="N145" s="185" t="str">
        <f t="shared" ca="1" si="108"/>
        <v>Offererad produktnr. 11Qlosr Göteborg AB</v>
      </c>
      <c r="O145" s="185" cm="1">
        <f t="array" aca="1" ref="O145" ca="1">MIN(IF(($BH$140:$BH$151=M145)*($AH$140:$AH$151=$O$137),$V$140:$V$151))</f>
        <v>2076</v>
      </c>
      <c r="P145" s="197"/>
      <c r="Q145" s="185">
        <f t="shared" si="109"/>
        <v>0</v>
      </c>
      <c r="R145" s="185">
        <f t="shared" si="110"/>
        <v>0</v>
      </c>
      <c r="S145" s="185">
        <f t="shared" si="111"/>
        <v>0</v>
      </c>
      <c r="T145" s="185">
        <f t="shared" si="112"/>
        <v>0</v>
      </c>
      <c r="U145" s="185">
        <f t="shared" si="113"/>
        <v>0</v>
      </c>
      <c r="V145" s="196">
        <f t="shared" ca="1" si="114"/>
        <v>3010</v>
      </c>
      <c r="W145" s="185" t="str">
        <f t="shared" si="115"/>
        <v>Offererad produktnr. 12Dustin Sverige AB</v>
      </c>
      <c r="X145" s="185" t="b">
        <f>IF($D$141="",TRUE,IF(COUNTIF(Processor!$I$2:$I$9,$D$141)&gt;0,AND(AI145&gt;INDEX(Processor!$J$2:$J$9,MATCH($D$141,Processor!$I$2:$I$9,0)),AI145&lt;INDEX(Processor!$K$2:$K$9,MATCH($D$141,Processor!$I$2:$I$9,0))),IF(AI145=$D$141,TRUE,FALSE)))</f>
        <v>1</v>
      </c>
      <c r="Y145" s="185" t="b">
        <f t="shared" si="116"/>
        <v>1</v>
      </c>
      <c r="Z145" s="185" t="b">
        <f t="shared" si="117"/>
        <v>1</v>
      </c>
      <c r="AA145" s="185" t="b">
        <f t="shared" si="118"/>
        <v>1</v>
      </c>
      <c r="AB145" s="185" t="b">
        <f t="shared" si="119"/>
        <v>1</v>
      </c>
      <c r="AC145" s="185" t="b">
        <f t="shared" si="120"/>
        <v>1</v>
      </c>
      <c r="AD145" s="185"/>
      <c r="AE145" s="185" t="b">
        <f t="shared" si="121"/>
        <v>1</v>
      </c>
      <c r="AF145" s="185" t="b">
        <f>IFERROR(IF($D148="",TRUE,IF(MID(AT145,LEN(AT145)-2,1)*1&gt;=MID($D148,LEN($D148)-2,1)*1,TRUE,FALSE)),FALSE)</f>
        <v>1</v>
      </c>
      <c r="AG145" s="185" t="s">
        <v>185</v>
      </c>
      <c r="AH145" s="201">
        <v>1</v>
      </c>
      <c r="AI145" s="185">
        <f t="shared" ca="1" si="122"/>
        <v>27</v>
      </c>
      <c r="AJ145" s="185" t="str">
        <f t="shared" ca="1" si="122"/>
        <v>2560x1440</v>
      </c>
      <c r="AK145" s="185">
        <f t="shared" ca="1" si="122"/>
        <v>4</v>
      </c>
      <c r="AL145" s="185">
        <f t="shared" ca="1" si="122"/>
        <v>0</v>
      </c>
      <c r="AM145" s="185">
        <f t="shared" ca="1" si="122"/>
        <v>1</v>
      </c>
      <c r="AN145" s="185">
        <f t="shared" ca="1" si="122"/>
        <v>16700000</v>
      </c>
      <c r="AO145" s="185">
        <f t="shared" ca="1" si="122"/>
        <v>350</v>
      </c>
      <c r="AP145" s="185" t="str">
        <f t="shared" ca="1" si="122"/>
        <v>Version 8.0</v>
      </c>
      <c r="AQ145" s="185" t="str">
        <f t="shared" ca="1" si="122"/>
        <v>Ja</v>
      </c>
      <c r="AR145" s="185">
        <f t="shared" ca="1" si="122"/>
        <v>0</v>
      </c>
      <c r="AS145" s="185">
        <f t="shared" ca="1" si="123"/>
        <v>0</v>
      </c>
      <c r="AT145" s="185" t="str">
        <f t="shared" ca="1" si="123"/>
        <v>Version 8.0</v>
      </c>
      <c r="AU145" s="185" t="str">
        <f t="shared" ca="1" si="123"/>
        <v>Ja</v>
      </c>
      <c r="AV145" s="185">
        <f t="shared" ca="1" si="123"/>
        <v>0</v>
      </c>
      <c r="AW145" s="185" t="str">
        <f t="shared" ca="1" si="123"/>
        <v>HP E27Q G5 PVC Free </v>
      </c>
      <c r="AX145" s="185">
        <f t="shared" ca="1" si="123"/>
        <v>3010</v>
      </c>
      <c r="AY145" s="192">
        <f t="shared" ca="1" si="123"/>
        <v>700</v>
      </c>
      <c r="AZ145" s="192">
        <f t="shared" ca="1" si="123"/>
        <v>28</v>
      </c>
      <c r="BA145" s="192">
        <f t="shared" ca="1" si="123"/>
        <v>20</v>
      </c>
      <c r="BB145" s="192">
        <f t="shared" ca="1" si="123"/>
        <v>20</v>
      </c>
      <c r="BC145" s="192" t="str">
        <f t="shared" ca="1" si="124"/>
        <v>Cirafon</v>
      </c>
      <c r="BD145" s="192" t="str">
        <f t="shared" ca="1" si="124"/>
        <v>DPF27-9</v>
      </c>
      <c r="BE145" s="192" t="str">
        <f t="shared" ca="1" si="124"/>
        <v>False</v>
      </c>
      <c r="BF145" s="192" t="str">
        <f t="shared" ca="1" si="124"/>
        <v>False</v>
      </c>
      <c r="BG145" s="192" t="str">
        <f t="shared" ca="1" si="124"/>
        <v>False</v>
      </c>
      <c r="BH145" s="192" t="str">
        <f t="shared" ca="1" si="124"/>
        <v>Dustin Sverige AB</v>
      </c>
      <c r="BI145" s="192" t="str">
        <f t="shared" ca="1" si="124"/>
        <v>HP</v>
      </c>
    </row>
    <row r="146" spans="2:61" ht="22.5" customHeight="1" outlineLevel="1" x14ac:dyDescent="0.35">
      <c r="C146" s="61" t="s">
        <v>13</v>
      </c>
      <c r="D146" s="135"/>
      <c r="F146" s="176" t="str">
        <f t="shared" si="125"/>
        <v/>
      </c>
      <c r="G146" s="136">
        <f t="shared" ca="1" si="126"/>
        <v>16700000</v>
      </c>
      <c r="H146" s="136">
        <f t="shared" ca="1" si="126"/>
        <v>16700000</v>
      </c>
      <c r="I146" s="137">
        <f t="shared" ca="1" si="126"/>
        <v>16700000</v>
      </c>
      <c r="J146" s="62"/>
      <c r="Q146" s="185">
        <f t="shared" si="109"/>
        <v>0</v>
      </c>
      <c r="R146" s="185">
        <f t="shared" si="110"/>
        <v>0</v>
      </c>
      <c r="S146" s="185">
        <f t="shared" si="111"/>
        <v>0</v>
      </c>
      <c r="T146" s="185">
        <f t="shared" si="112"/>
        <v>0</v>
      </c>
      <c r="U146" s="185">
        <f t="shared" si="113"/>
        <v>0</v>
      </c>
      <c r="V146" s="196">
        <f t="shared" ca="1" si="114"/>
        <v>2361</v>
      </c>
      <c r="W146" s="185" t="str">
        <f t="shared" si="115"/>
        <v>Offererad produktnr. 11Foxway Education AB</v>
      </c>
      <c r="X146" s="185" t="b">
        <f>IF($D$141="",TRUE,IF(COUNTIF(Processor!$I$2:$I$9,$D$141)&gt;0,AND(AI146&gt;INDEX(Processor!$J$2:$J$9,MATCH($D$141,Processor!$I$2:$I$9,0)),AI146&lt;INDEX(Processor!$K$2:$K$9,MATCH($D$141,Processor!$I$2:$I$9,0))),IF(AI146=$D$141,TRUE,FALSE)))</f>
        <v>1</v>
      </c>
      <c r="Y146" s="185" t="b">
        <f t="shared" si="116"/>
        <v>1</v>
      </c>
      <c r="Z146" s="185" t="b">
        <f t="shared" si="117"/>
        <v>1</v>
      </c>
      <c r="AA146" s="185" t="b">
        <f t="shared" si="118"/>
        <v>1</v>
      </c>
      <c r="AB146" s="185" t="b">
        <f t="shared" si="119"/>
        <v>1</v>
      </c>
      <c r="AC146" s="185" t="b">
        <f t="shared" si="120"/>
        <v>1</v>
      </c>
      <c r="AD146" s="185"/>
      <c r="AE146" s="185" t="b">
        <f t="shared" si="121"/>
        <v>1</v>
      </c>
      <c r="AF146" s="185" t="b">
        <f>IFERROR(IF($D148="",TRUE,IF(MID(AT146,LEN(AT146)-2,1)*1&gt;=MID($D148,LEN($D148)-2,1)*1,TRUE,FALSE)),FALSE)</f>
        <v>1</v>
      </c>
      <c r="AG146" s="185" t="s">
        <v>220</v>
      </c>
      <c r="AH146" s="201">
        <v>1</v>
      </c>
      <c r="AI146" s="185">
        <f t="shared" ca="1" si="122"/>
        <v>23.8</v>
      </c>
      <c r="AJ146" s="185" t="str">
        <f t="shared" ca="1" si="122"/>
        <v>1920x1080</v>
      </c>
      <c r="AK146" s="185">
        <f t="shared" ca="1" si="122"/>
        <v>0</v>
      </c>
      <c r="AL146" s="185">
        <f t="shared" ca="1" si="122"/>
        <v>0</v>
      </c>
      <c r="AM146" s="185">
        <f t="shared" ca="1" si="122"/>
        <v>1</v>
      </c>
      <c r="AN146" s="185">
        <f t="shared" ca="1" si="122"/>
        <v>16700000</v>
      </c>
      <c r="AO146" s="185">
        <f t="shared" ca="1" si="122"/>
        <v>250</v>
      </c>
      <c r="AP146" s="185" t="str">
        <f t="shared" ca="1" si="122"/>
        <v>Version 8.0</v>
      </c>
      <c r="AQ146" s="185" t="str">
        <f t="shared" ca="1" si="122"/>
        <v>Ja</v>
      </c>
      <c r="AR146" s="185">
        <f t="shared" ca="1" si="122"/>
        <v>0</v>
      </c>
      <c r="AS146" s="185">
        <f t="shared" ca="1" si="123"/>
        <v>0</v>
      </c>
      <c r="AT146" s="185" t="str">
        <f t="shared" ca="1" si="123"/>
        <v>Version 8.0</v>
      </c>
      <c r="AU146" s="185" t="str">
        <f t="shared" ca="1" si="123"/>
        <v>Ja</v>
      </c>
      <c r="AV146" s="185">
        <f t="shared" ca="1" si="123"/>
        <v>0</v>
      </c>
      <c r="AW146" s="185" t="str">
        <f t="shared" ca="1" si="123"/>
        <v>E24-29</v>
      </c>
      <c r="AX146" s="185">
        <f t="shared" ca="1" si="123"/>
        <v>2361</v>
      </c>
      <c r="AY146" s="192">
        <f t="shared" ca="1" si="123"/>
        <v>516</v>
      </c>
      <c r="AZ146" s="192">
        <f t="shared" ca="1" si="123"/>
        <v>90</v>
      </c>
      <c r="BA146" s="192">
        <f t="shared" ca="1" si="123"/>
        <v>60</v>
      </c>
      <c r="BB146" s="192">
        <f t="shared" ca="1" si="123"/>
        <v>50</v>
      </c>
      <c r="BC146" s="192" t="str">
        <f t="shared" ca="1" si="124"/>
        <v>Targus</v>
      </c>
      <c r="BD146" s="192" t="str">
        <f t="shared" ca="1" si="124"/>
        <v>Targus Privacy Screen 23.8"</v>
      </c>
      <c r="BE146" s="192" t="str">
        <f t="shared" ca="1" si="124"/>
        <v>False</v>
      </c>
      <c r="BF146" s="192" t="str">
        <f t="shared" ca="1" si="124"/>
        <v>False</v>
      </c>
      <c r="BG146" s="192" t="str">
        <f t="shared" ca="1" si="124"/>
        <v>False</v>
      </c>
      <c r="BH146" s="192" t="str">
        <f t="shared" ca="1" si="124"/>
        <v>Foxway Education AB</v>
      </c>
      <c r="BI146" s="192" t="str">
        <f t="shared" ca="1" si="124"/>
        <v>Lenovo</v>
      </c>
    </row>
    <row r="147" spans="2:61" ht="22.5" customHeight="1" outlineLevel="1" x14ac:dyDescent="0.35">
      <c r="C147" s="61" t="s">
        <v>14</v>
      </c>
      <c r="D147" s="64"/>
      <c r="F147" s="78" t="str">
        <f t="shared" si="125"/>
        <v/>
      </c>
      <c r="G147" s="79">
        <f t="shared" ca="1" si="126"/>
        <v>250</v>
      </c>
      <c r="H147" s="79">
        <f t="shared" ca="1" si="126"/>
        <v>250</v>
      </c>
      <c r="I147" s="120">
        <f t="shared" ca="1" si="126"/>
        <v>250</v>
      </c>
      <c r="J147" s="62"/>
      <c r="Q147" s="185">
        <f t="shared" si="109"/>
        <v>0</v>
      </c>
      <c r="R147" s="185">
        <f t="shared" si="110"/>
        <v>0</v>
      </c>
      <c r="S147" s="185">
        <f t="shared" si="111"/>
        <v>0</v>
      </c>
      <c r="T147" s="185">
        <f t="shared" si="112"/>
        <v>0</v>
      </c>
      <c r="U147" s="185">
        <f t="shared" si="113"/>
        <v>0</v>
      </c>
      <c r="V147" s="196">
        <f t="shared" ca="1" si="114"/>
        <v>3002</v>
      </c>
      <c r="W147" s="185" t="str">
        <f t="shared" si="115"/>
        <v>Offererad produktnr. 12Foxway Education AB</v>
      </c>
      <c r="X147" s="185" t="b">
        <f>IF($D$141="",TRUE,IF(COUNTIF(Processor!$I$2:$I$9,$D$141)&gt;0,AND(AI147&gt;INDEX(Processor!$J$2:$J$9,MATCH($D$141,Processor!$I$2:$I$9,0)),AI147&lt;INDEX(Processor!$K$2:$K$9,MATCH($D$141,Processor!$I$2:$I$9,0))),IF(AI147=$D$141,TRUE,FALSE)))</f>
        <v>1</v>
      </c>
      <c r="Y147" s="185" t="b">
        <f t="shared" si="116"/>
        <v>1</v>
      </c>
      <c r="Z147" s="185" t="b">
        <f t="shared" si="117"/>
        <v>1</v>
      </c>
      <c r="AA147" s="185" t="b">
        <f t="shared" si="118"/>
        <v>1</v>
      </c>
      <c r="AB147" s="185" t="b">
        <f t="shared" si="119"/>
        <v>1</v>
      </c>
      <c r="AC147" s="185" t="b">
        <f t="shared" si="120"/>
        <v>1</v>
      </c>
      <c r="AD147" s="185"/>
      <c r="AE147" s="185" t="b">
        <f t="shared" si="121"/>
        <v>1</v>
      </c>
      <c r="AF147" s="185" t="b">
        <f>IFERROR(IF($D148="",TRUE,IF(MID(AT147,LEN(AT147)-2,1)*1&gt;=MID($D148,LEN($D148)-2,1)*1,TRUE,FALSE)),FALSE)</f>
        <v>1</v>
      </c>
      <c r="AG147" s="185" t="s">
        <v>221</v>
      </c>
      <c r="AH147" s="201">
        <v>1</v>
      </c>
      <c r="AI147" s="185">
        <f t="shared" ca="1" si="122"/>
        <v>27</v>
      </c>
      <c r="AJ147" s="185" t="str">
        <f t="shared" ca="1" si="122"/>
        <v>2560x1440</v>
      </c>
      <c r="AK147" s="185">
        <f t="shared" ca="1" si="122"/>
        <v>0</v>
      </c>
      <c r="AL147" s="185">
        <f t="shared" ca="1" si="122"/>
        <v>0</v>
      </c>
      <c r="AM147" s="185">
        <f t="shared" ca="1" si="122"/>
        <v>1</v>
      </c>
      <c r="AN147" s="185">
        <f t="shared" ca="1" si="122"/>
        <v>16700000</v>
      </c>
      <c r="AO147" s="185">
        <f t="shared" ca="1" si="122"/>
        <v>350</v>
      </c>
      <c r="AP147" s="185" t="str">
        <f t="shared" ca="1" si="122"/>
        <v>Version 8.0</v>
      </c>
      <c r="AQ147" s="185" t="str">
        <f t="shared" ca="1" si="122"/>
        <v>Ja</v>
      </c>
      <c r="AR147" s="185">
        <f t="shared" ca="1" si="122"/>
        <v>0</v>
      </c>
      <c r="AS147" s="185">
        <f t="shared" ca="1" si="123"/>
        <v>0</v>
      </c>
      <c r="AT147" s="185" t="str">
        <f t="shared" ca="1" si="123"/>
        <v>Version 8.0</v>
      </c>
      <c r="AU147" s="185" t="str">
        <f t="shared" ca="1" si="123"/>
        <v>Ja</v>
      </c>
      <c r="AV147" s="185">
        <f t="shared" ca="1" si="123"/>
        <v>0</v>
      </c>
      <c r="AW147" s="185" t="str">
        <f t="shared" ca="1" si="123"/>
        <v>E27q-20</v>
      </c>
      <c r="AX147" s="185">
        <f t="shared" ca="1" si="123"/>
        <v>3002</v>
      </c>
      <c r="AY147" s="192">
        <f t="shared" ca="1" si="123"/>
        <v>672</v>
      </c>
      <c r="AZ147" s="192">
        <f t="shared" ca="1" si="123"/>
        <v>90</v>
      </c>
      <c r="BA147" s="192">
        <f t="shared" ca="1" si="123"/>
        <v>60</v>
      </c>
      <c r="BB147" s="192">
        <f t="shared" ca="1" si="123"/>
        <v>50</v>
      </c>
      <c r="BC147" s="192" t="str">
        <f t="shared" ca="1" si="124"/>
        <v>Targus</v>
      </c>
      <c r="BD147" s="192" t="str">
        <f t="shared" ca="1" si="124"/>
        <v>Targus Privacy Screen 27"</v>
      </c>
      <c r="BE147" s="192" t="str">
        <f t="shared" ca="1" si="124"/>
        <v>False</v>
      </c>
      <c r="BF147" s="192" t="str">
        <f t="shared" ca="1" si="124"/>
        <v>False</v>
      </c>
      <c r="BG147" s="192" t="str">
        <f t="shared" ca="1" si="124"/>
        <v>False</v>
      </c>
      <c r="BH147" s="192" t="str">
        <f t="shared" ca="1" si="124"/>
        <v>Foxway Education AB</v>
      </c>
      <c r="BI147" s="192" t="str">
        <f t="shared" ca="1" si="124"/>
        <v>Lenovo</v>
      </c>
    </row>
    <row r="148" spans="2:61" ht="22.5" customHeight="1" outlineLevel="1" x14ac:dyDescent="0.35">
      <c r="C148" s="61" t="s">
        <v>38</v>
      </c>
      <c r="D148" s="64"/>
      <c r="F148" s="78" t="str">
        <f t="shared" si="125"/>
        <v/>
      </c>
      <c r="G148" s="79" t="str">
        <f t="shared" ca="1" si="126"/>
        <v>Version 8.0</v>
      </c>
      <c r="H148" s="79" t="str">
        <f t="shared" ca="1" si="126"/>
        <v>Version 8.0</v>
      </c>
      <c r="I148" s="120" t="str">
        <f t="shared" ca="1" si="126"/>
        <v>Version 8.0</v>
      </c>
      <c r="J148" s="62"/>
      <c r="Q148" s="185">
        <f t="shared" si="109"/>
        <v>0</v>
      </c>
      <c r="R148" s="185">
        <f t="shared" si="110"/>
        <v>0</v>
      </c>
      <c r="S148" s="185">
        <f t="shared" si="111"/>
        <v>0</v>
      </c>
      <c r="T148" s="185">
        <f t="shared" si="112"/>
        <v>0</v>
      </c>
      <c r="U148" s="185">
        <f t="shared" si="113"/>
        <v>0</v>
      </c>
      <c r="V148" s="196">
        <f t="shared" ca="1" si="114"/>
        <v>2076</v>
      </c>
      <c r="W148" s="185" t="str">
        <f t="shared" si="115"/>
        <v>Offererad produktnr. 11Qlosr Göteborg AB</v>
      </c>
      <c r="X148" s="185" t="b">
        <f>IF($D$141="",TRUE,IF(COUNTIF(Processor!$I$2:$I$9,$D$141)&gt;0,AND(AI148&gt;INDEX(Processor!$J$2:$J$9,MATCH($D$141,Processor!$I$2:$I$9,0)),AI148&lt;INDEX(Processor!$K$2:$K$9,MATCH($D$141,Processor!$I$2:$I$9,0))),IF(AI148=$D$141,TRUE,FALSE)))</f>
        <v>1</v>
      </c>
      <c r="Y148" s="185" t="b">
        <f t="shared" si="116"/>
        <v>1</v>
      </c>
      <c r="Z148" s="185" t="b">
        <f t="shared" si="117"/>
        <v>1</v>
      </c>
      <c r="AA148" s="185" t="b">
        <f t="shared" si="118"/>
        <v>1</v>
      </c>
      <c r="AB148" s="185" t="b">
        <f t="shared" si="119"/>
        <v>1</v>
      </c>
      <c r="AC148" s="185" t="b">
        <f t="shared" si="120"/>
        <v>1</v>
      </c>
      <c r="AD148" s="185"/>
      <c r="AE148" s="185" t="b">
        <f t="shared" si="121"/>
        <v>1</v>
      </c>
      <c r="AF148" s="185" t="b">
        <f>IFERROR(IF($D148="",TRUE,IF(MID(AT148,LEN(AT148)-2,1)*1&gt;=MID($D148,LEN($D148)-2,1)*1,TRUE,FALSE)),FALSE)</f>
        <v>1</v>
      </c>
      <c r="AG148" s="185" t="s">
        <v>562</v>
      </c>
      <c r="AH148" s="201">
        <v>1</v>
      </c>
      <c r="AI148" s="185">
        <f t="shared" ca="1" si="122"/>
        <v>23.8</v>
      </c>
      <c r="AJ148" s="185" t="str">
        <f t="shared" ca="1" si="122"/>
        <v>1920x1080</v>
      </c>
      <c r="AK148" s="185">
        <f t="shared" ca="1" si="122"/>
        <v>5</v>
      </c>
      <c r="AL148" s="185">
        <f t="shared" ca="1" si="122"/>
        <v>0</v>
      </c>
      <c r="AM148" s="185">
        <f t="shared" ca="1" si="122"/>
        <v>1</v>
      </c>
      <c r="AN148" s="185">
        <f t="shared" ca="1" si="122"/>
        <v>16700000</v>
      </c>
      <c r="AO148" s="185">
        <f t="shared" ca="1" si="122"/>
        <v>250</v>
      </c>
      <c r="AP148" s="185" t="str">
        <f t="shared" ca="1" si="122"/>
        <v>Version 8.0</v>
      </c>
      <c r="AQ148" s="185" t="str">
        <f t="shared" ca="1" si="122"/>
        <v>Ja</v>
      </c>
      <c r="AR148" s="185">
        <f t="shared" ca="1" si="122"/>
        <v>0</v>
      </c>
      <c r="AS148" s="185">
        <f t="shared" ca="1" si="123"/>
        <v>0</v>
      </c>
      <c r="AT148" s="185" t="str">
        <f t="shared" ca="1" si="123"/>
        <v>Version 8.0</v>
      </c>
      <c r="AU148" s="185" t="str">
        <f t="shared" ca="1" si="123"/>
        <v>Ja</v>
      </c>
      <c r="AV148" s="185">
        <f t="shared" ca="1" si="123"/>
        <v>0</v>
      </c>
      <c r="AW148" s="185" t="str">
        <f t="shared" ca="1" si="123"/>
        <v>P2422h</v>
      </c>
      <c r="AX148" s="185">
        <f t="shared" ca="1" si="123"/>
        <v>2076</v>
      </c>
      <c r="AY148" s="192">
        <f t="shared" ca="1" si="123"/>
        <v>540</v>
      </c>
      <c r="AZ148" s="192">
        <f t="shared" ca="1" si="123"/>
        <v>89</v>
      </c>
      <c r="BA148" s="192">
        <f t="shared" ca="1" si="123"/>
        <v>25</v>
      </c>
      <c r="BB148" s="192">
        <f t="shared" ca="1" si="123"/>
        <v>25</v>
      </c>
      <c r="BC148" s="192" t="str">
        <f t="shared" ca="1" si="124"/>
        <v>Kapsolo</v>
      </c>
      <c r="BD148" s="192" t="str">
        <f t="shared" ca="1" si="124"/>
        <v>GBXKAP10786</v>
      </c>
      <c r="BE148" s="192" t="str">
        <f t="shared" ca="1" si="124"/>
        <v>False</v>
      </c>
      <c r="BF148" s="192" t="str">
        <f t="shared" ca="1" si="124"/>
        <v>False</v>
      </c>
      <c r="BG148" s="192" t="str">
        <f t="shared" ca="1" si="124"/>
        <v>False</v>
      </c>
      <c r="BH148" s="192" t="str">
        <f t="shared" ca="1" si="124"/>
        <v>Qlosr Göteborg AB</v>
      </c>
      <c r="BI148" s="192" t="str">
        <f t="shared" ca="1" si="124"/>
        <v>Dell</v>
      </c>
    </row>
    <row r="149" spans="2:61" ht="22.5" customHeight="1" outlineLevel="1" x14ac:dyDescent="0.35">
      <c r="C149" s="61" t="s">
        <v>37</v>
      </c>
      <c r="D149" s="64"/>
      <c r="F149" s="78" t="str">
        <f t="shared" si="125"/>
        <v/>
      </c>
      <c r="G149" s="79" t="str">
        <f t="shared" ca="1" si="126"/>
        <v>Ja</v>
      </c>
      <c r="H149" s="79" t="str">
        <f t="shared" ca="1" si="126"/>
        <v>Ja</v>
      </c>
      <c r="I149" s="120" t="str">
        <f t="shared" ca="1" si="126"/>
        <v>Ja</v>
      </c>
      <c r="J149" s="62"/>
      <c r="Q149" s="185">
        <f t="shared" si="109"/>
        <v>0</v>
      </c>
      <c r="R149" s="185">
        <f t="shared" si="110"/>
        <v>0</v>
      </c>
      <c r="S149" s="185">
        <f t="shared" si="111"/>
        <v>0</v>
      </c>
      <c r="T149" s="185">
        <f t="shared" si="112"/>
        <v>0</v>
      </c>
      <c r="U149" s="185">
        <f t="shared" si="113"/>
        <v>0</v>
      </c>
      <c r="V149" s="196">
        <f t="shared" ca="1" si="114"/>
        <v>2430</v>
      </c>
      <c r="W149" s="185" t="str">
        <f t="shared" si="115"/>
        <v>Offererad produktnr. 12Qlosr Göteborg AB</v>
      </c>
      <c r="X149" s="185" t="b">
        <f>IF($D$141="",TRUE,IF(COUNTIF(Processor!$I$2:$I$9,$D$141)&gt;0,AND(AI149&gt;INDEX(Processor!$J$2:$J$9,MATCH($D$141,Processor!$I$2:$I$9,0)),AI149&lt;INDEX(Processor!$K$2:$K$9,MATCH($D$141,Processor!$I$2:$I$9,0))),IF(AI149=$D$141,TRUE,FALSE)))</f>
        <v>1</v>
      </c>
      <c r="Y149" s="185" t="b">
        <f t="shared" si="116"/>
        <v>1</v>
      </c>
      <c r="Z149" s="185" t="b">
        <f t="shared" si="117"/>
        <v>1</v>
      </c>
      <c r="AA149" s="185" t="b">
        <f t="shared" si="118"/>
        <v>1</v>
      </c>
      <c r="AB149" s="185" t="b">
        <f t="shared" si="119"/>
        <v>1</v>
      </c>
      <c r="AC149" s="185" t="b">
        <f t="shared" si="120"/>
        <v>1</v>
      </c>
      <c r="AD149" s="185"/>
      <c r="AE149" s="185" t="b">
        <f t="shared" si="121"/>
        <v>1</v>
      </c>
      <c r="AF149" s="185" t="b">
        <f>IFERROR(IF($D148="",TRUE,IF(MID(AT149,LEN(AT149)-2,1)*1&gt;=MID($D148,LEN($D148)-2,1)*1,TRUE,FALSE)),FALSE)</f>
        <v>1</v>
      </c>
      <c r="AG149" s="185" t="s">
        <v>563</v>
      </c>
      <c r="AH149" s="201">
        <v>1</v>
      </c>
      <c r="AI149" s="185">
        <f t="shared" ca="1" si="122"/>
        <v>27</v>
      </c>
      <c r="AJ149" s="185" t="str">
        <f t="shared" ca="1" si="122"/>
        <v>2560x1440</v>
      </c>
      <c r="AK149" s="185">
        <f t="shared" ca="1" si="122"/>
        <v>0</v>
      </c>
      <c r="AL149" s="185">
        <f t="shared" ca="1" si="122"/>
        <v>0</v>
      </c>
      <c r="AM149" s="185">
        <f t="shared" ca="1" si="122"/>
        <v>1</v>
      </c>
      <c r="AN149" s="185">
        <f t="shared" ca="1" si="122"/>
        <v>16700000</v>
      </c>
      <c r="AO149" s="185">
        <f t="shared" ca="1" si="122"/>
        <v>350</v>
      </c>
      <c r="AP149" s="185" t="str">
        <f t="shared" ca="1" si="122"/>
        <v>Version 8.0</v>
      </c>
      <c r="AQ149" s="185" t="str">
        <f t="shared" ca="1" si="122"/>
        <v>Ja</v>
      </c>
      <c r="AR149" s="185">
        <f t="shared" ca="1" si="122"/>
        <v>0</v>
      </c>
      <c r="AS149" s="185">
        <f t="shared" ca="1" si="123"/>
        <v>0</v>
      </c>
      <c r="AT149" s="185" t="str">
        <f t="shared" ca="1" si="123"/>
        <v>Version 8.0</v>
      </c>
      <c r="AU149" s="185" t="str">
        <f t="shared" ca="1" si="123"/>
        <v>Ja</v>
      </c>
      <c r="AV149" s="185">
        <f t="shared" ca="1" si="123"/>
        <v>0</v>
      </c>
      <c r="AW149" s="185" t="str">
        <f t="shared" ca="1" si="123"/>
        <v>E27q-20</v>
      </c>
      <c r="AX149" s="185">
        <f t="shared" ca="1" si="123"/>
        <v>2430</v>
      </c>
      <c r="AY149" s="192">
        <f t="shared" ca="1" si="123"/>
        <v>669</v>
      </c>
      <c r="AZ149" s="192">
        <f t="shared" ca="1" si="123"/>
        <v>89</v>
      </c>
      <c r="BA149" s="192">
        <f t="shared" ca="1" si="123"/>
        <v>25</v>
      </c>
      <c r="BB149" s="192">
        <f t="shared" ca="1" si="123"/>
        <v>25</v>
      </c>
      <c r="BC149" s="192" t="str">
        <f t="shared" ca="1" si="124"/>
        <v>Kapsolo</v>
      </c>
      <c r="BD149" s="192" t="str">
        <f t="shared" ca="1" si="124"/>
        <v>GBXKAP11019</v>
      </c>
      <c r="BE149" s="192" t="str">
        <f t="shared" ca="1" si="124"/>
        <v>False</v>
      </c>
      <c r="BF149" s="192" t="str">
        <f t="shared" ca="1" si="124"/>
        <v>False</v>
      </c>
      <c r="BG149" s="192" t="str">
        <f t="shared" ca="1" si="124"/>
        <v>False</v>
      </c>
      <c r="BH149" s="192" t="str">
        <f t="shared" ca="1" si="124"/>
        <v>Qlosr Göteborg AB</v>
      </c>
      <c r="BI149" s="192" t="str">
        <f t="shared" ca="1" si="124"/>
        <v>Lenovo</v>
      </c>
    </row>
    <row r="150" spans="2:61" ht="22.5" customHeight="1" outlineLevel="1" x14ac:dyDescent="0.35">
      <c r="C150" s="66"/>
      <c r="D150" s="67"/>
      <c r="G150" s="62"/>
      <c r="H150" s="62"/>
      <c r="I150" s="62"/>
      <c r="J150" s="94"/>
      <c r="AH150" s="50"/>
      <c r="AY150" s="63"/>
      <c r="AZ150" s="63"/>
      <c r="BA150" s="63"/>
      <c r="BB150" s="63"/>
      <c r="BC150" s="63"/>
      <c r="BD150" s="63"/>
      <c r="BE150" s="63"/>
      <c r="BF150" s="63"/>
      <c r="BG150" s="63"/>
      <c r="BH150" s="63"/>
      <c r="BI150" s="63"/>
    </row>
    <row r="151" spans="2:61" ht="22.5" customHeight="1" outlineLevel="1" x14ac:dyDescent="0.35">
      <c r="C151" s="212" t="s">
        <v>366</v>
      </c>
      <c r="D151" s="213"/>
      <c r="E151" s="213"/>
      <c r="F151" s="213"/>
      <c r="G151" s="213"/>
      <c r="H151" s="213"/>
      <c r="I151" s="214"/>
      <c r="J151" s="62"/>
      <c r="AH151" s="50"/>
      <c r="AY151" s="63"/>
      <c r="AZ151" s="63"/>
      <c r="BA151" s="63"/>
      <c r="BB151" s="63"/>
      <c r="BC151" s="63"/>
      <c r="BD151" s="63"/>
      <c r="BE151" s="63"/>
      <c r="BF151" s="63"/>
      <c r="BG151" s="63"/>
      <c r="BH151" s="63"/>
      <c r="BI151" s="63"/>
    </row>
    <row r="152" spans="2:61" ht="22.5" customHeight="1" outlineLevel="1" x14ac:dyDescent="0.35">
      <c r="B152" s="69" t="s">
        <v>53</v>
      </c>
      <c r="C152" s="115" t="s">
        <v>77</v>
      </c>
      <c r="D152" s="70"/>
      <c r="F152" s="161" t="str">
        <f>IF(F$138="Inget antal angivet","",IFERROR(INDEX($AI$139:$BI$164,MATCH(F$135,$AG$139:$AG$164,0),MATCH($B152,$AI$139:$BI$139,0)),""))</f>
        <v/>
      </c>
      <c r="G152" s="162">
        <f ca="1">IFERROR(INDEX($AI$139:$BI$164,MATCH(G$135,$AG$139:$AG$164,0),MATCH($B152,$AI$139:$BI$139,0)),"")</f>
        <v>639</v>
      </c>
      <c r="H152" s="162">
        <f ca="1">IFERROR(INDEX($AI$139:$BI$164,MATCH(H$135,$AG$139:$AG$164,0),MATCH($B152,$AI$139:$BI$139,0)),"")</f>
        <v>778</v>
      </c>
      <c r="I152" s="162">
        <f ca="1">IFERROR(INDEX($AI$139:$BI$164,MATCH(I$135,$AG$139:$AG$164,0),MATCH($B152,$AI$139:$BI$139,0)),"")</f>
        <v>540</v>
      </c>
      <c r="J152" s="62"/>
      <c r="AY152" s="63"/>
      <c r="AZ152" s="63"/>
      <c r="BA152" s="63"/>
      <c r="BB152" s="63"/>
      <c r="BC152" s="63"/>
      <c r="BD152" s="63"/>
      <c r="BE152" s="63"/>
      <c r="BF152" s="63"/>
      <c r="BG152" s="63"/>
      <c r="BH152" s="63"/>
      <c r="BI152" s="63"/>
    </row>
    <row r="153" spans="2:61" ht="22.5" customHeight="1" outlineLevel="1" x14ac:dyDescent="0.35">
      <c r="B153" s="69" t="s">
        <v>340</v>
      </c>
      <c r="C153" s="96" t="s">
        <v>51</v>
      </c>
      <c r="D153" s="131" t="str">
        <f>IF("Ska Ingå"=D152,"Ska Ingå","")</f>
        <v/>
      </c>
      <c r="F153" s="84" t="str">
        <f>IF(F$138="Inget antal angivet","",IFERROR(INDEX($AI$139:$BI$164,MATCH(F$135,$AG$139:$AG$164,0),MATCH($B153,$AI$139:$BI$139,0)),""))</f>
        <v/>
      </c>
      <c r="G153" s="85" t="str">
        <f ca="1">IFERROR(INDEX($AI$139:$BI$164,MATCH(G$135,$AG$139:$AG$164,0),MATCH($B153,$AI$139:$BI$139,0)),"")</f>
        <v>eSTUFF</v>
      </c>
      <c r="H153" s="85" t="str">
        <f ca="1">IFERROR(INDEX($AI$139:$BI$164,MATCH(H$135,$AG$139:$AG$164,0),MATCH($B153,$AI$139:$BI$139,0)),"")</f>
        <v>Targus</v>
      </c>
      <c r="I153" s="85" t="str">
        <f ca="1">IFERROR(INDEX($AI$139:$BI$164,MATCH(I$135,$AG$139:$AG$164,0),MATCH($C153,$AI$139:$BI$139,0)),"")</f>
        <v>Dell</v>
      </c>
      <c r="J153" s="62"/>
      <c r="AY153" s="63"/>
      <c r="AZ153" s="63"/>
      <c r="BA153" s="63"/>
      <c r="BB153" s="63"/>
      <c r="BC153" s="63"/>
      <c r="BD153" s="63"/>
      <c r="BE153" s="63"/>
      <c r="BF153" s="63"/>
      <c r="BG153" s="63"/>
      <c r="BH153" s="63"/>
      <c r="BI153" s="63"/>
    </row>
    <row r="154" spans="2:61" ht="64.5" customHeight="1" outlineLevel="1" x14ac:dyDescent="0.35">
      <c r="B154" s="71" t="s">
        <v>345</v>
      </c>
      <c r="C154" s="116" t="s">
        <v>52</v>
      </c>
      <c r="D154" s="132" t="str">
        <f>IF("Ska Ingå"=D152,"Ska Ingå","")</f>
        <v/>
      </c>
      <c r="F154" s="117" t="str">
        <f>IF(F$138="Inget antal angivet","",IFERROR(INDEX($AI$139:$BI$164,MATCH(F$135,$AG$139:$AG$164,0),MATCH($B154,$AI$139:$BI$139,0)),""))</f>
        <v/>
      </c>
      <c r="G154" s="118" t="str">
        <f ca="1">IFERROR(INDEX($AI$139:$BI$164,MATCH(G$135,$AG$139:$AG$164,0),MATCH($B154,$AI$139:$BI$139,0)),"")</f>
        <v>GLBB24519325 -  Filter för personlig integritet - 2-vägs - 24" - svart</v>
      </c>
      <c r="H154" s="118" t="str">
        <f ca="1">IFERROR(INDEX($AI$139:$BI$164,MATCH(H$135,$AG$139:$AG$164,0),MATCH($B154,$AI$139:$BI$139,0)),"")</f>
        <v>Targus Privacy Screen - filter för personlig integritet - 23,8 tum bred</v>
      </c>
      <c r="I154" s="118" t="str">
        <f ca="1">IFERROR(INDEX($AI$139:$BI$164,MATCH(I$135,$AG$139:$AG$164,0),MATCH($C154,$AI$139:$BI$139,0)),"")</f>
        <v>P2422h</v>
      </c>
      <c r="J154" s="62"/>
      <c r="AY154" s="63"/>
      <c r="AZ154" s="63"/>
      <c r="BA154" s="63"/>
      <c r="BB154" s="63"/>
      <c r="BC154" s="63"/>
      <c r="BD154" s="63"/>
      <c r="BE154" s="63"/>
      <c r="BF154" s="63"/>
      <c r="BG154" s="63"/>
      <c r="BH154" s="63"/>
      <c r="BI154" s="63"/>
    </row>
    <row r="155" spans="2:61" ht="22.5" customHeight="1" outlineLevel="1" x14ac:dyDescent="0.35">
      <c r="B155" s="71"/>
      <c r="C155" s="212" t="s">
        <v>365</v>
      </c>
      <c r="D155" s="215"/>
      <c r="E155" s="213"/>
      <c r="F155" s="213"/>
      <c r="G155" s="213"/>
      <c r="H155" s="213"/>
      <c r="I155" s="214"/>
      <c r="J155" s="62"/>
      <c r="AY155" s="63"/>
      <c r="AZ155" s="63"/>
      <c r="BA155" s="63"/>
      <c r="BB155" s="63"/>
      <c r="BC155" s="63"/>
      <c r="BD155" s="63"/>
      <c r="BE155" s="63"/>
      <c r="BF155" s="63"/>
      <c r="BG155" s="63"/>
      <c r="BH155" s="63"/>
      <c r="BI155" s="63"/>
    </row>
    <row r="156" spans="2:61" ht="22.5" customHeight="1" outlineLevel="1" x14ac:dyDescent="0.35">
      <c r="B156" s="71" t="s">
        <v>228</v>
      </c>
      <c r="C156" s="115" t="s">
        <v>367</v>
      </c>
      <c r="D156" s="70"/>
      <c r="F156" s="161" t="str">
        <f>IF(F$138="Inget antal angivet","",IFERROR(INDEX($AI$139:$BI$164,MATCH(F$135,$AG$139:$AG$164,0),MATCH($B156,$AI$139:$BI$139,0)),""))</f>
        <v/>
      </c>
      <c r="G156" s="162">
        <f t="shared" ref="G156:I158" ca="1" si="127">IFERROR(INDEX($AI$139:$BI$164,MATCH(G$135,$AG$139:$AG$164,0),MATCH($B156,$AI$139:$BI$139,0)),"")</f>
        <v>101</v>
      </c>
      <c r="H156" s="162">
        <f t="shared" ca="1" si="127"/>
        <v>94</v>
      </c>
      <c r="I156" s="162">
        <f t="shared" ca="1" si="127"/>
        <v>89</v>
      </c>
      <c r="J156" s="62"/>
      <c r="AY156" s="63"/>
      <c r="AZ156" s="63"/>
      <c r="BA156" s="63"/>
      <c r="BB156" s="63"/>
      <c r="BC156" s="63"/>
      <c r="BD156" s="63"/>
      <c r="BE156" s="63"/>
      <c r="BF156" s="63"/>
      <c r="BG156" s="63"/>
      <c r="BH156" s="63"/>
      <c r="BI156" s="63"/>
    </row>
    <row r="157" spans="2:61" ht="22.5" customHeight="1" outlineLevel="1" x14ac:dyDescent="0.35">
      <c r="B157" s="71" t="s">
        <v>229</v>
      </c>
      <c r="C157" s="61" t="s">
        <v>368</v>
      </c>
      <c r="D157" s="70"/>
      <c r="F157" s="165" t="str">
        <f>IF(F$138="Inget antal angivet","",IFERROR(INDEX($AI$139:$BI$164,MATCH(F$135,$AG$139:$AG$164,0),MATCH($B157,$AI$139:$BI$139,0)),""))</f>
        <v/>
      </c>
      <c r="G157" s="166">
        <f t="shared" ca="1" si="127"/>
        <v>50</v>
      </c>
      <c r="H157" s="166">
        <f t="shared" ca="1" si="127"/>
        <v>85</v>
      </c>
      <c r="I157" s="166">
        <f t="shared" ca="1" si="127"/>
        <v>25</v>
      </c>
      <c r="J157" s="73"/>
      <c r="AY157" s="63"/>
      <c r="AZ157" s="63"/>
      <c r="BA157" s="63"/>
      <c r="BB157" s="63"/>
      <c r="BC157" s="63"/>
      <c r="BD157" s="63"/>
      <c r="BE157" s="63"/>
      <c r="BF157" s="63"/>
      <c r="BG157" s="63"/>
      <c r="BH157" s="63"/>
      <c r="BI157" s="63"/>
    </row>
    <row r="158" spans="2:61" ht="22.5" customHeight="1" outlineLevel="1" x14ac:dyDescent="0.35">
      <c r="B158" s="71" t="s">
        <v>230</v>
      </c>
      <c r="C158" s="96" t="s">
        <v>369</v>
      </c>
      <c r="D158" s="70"/>
      <c r="F158" s="163" t="str">
        <f>IF(F$138="Inget antal angivet","",IFERROR(INDEX($AI$139:$BI$164,MATCH(F$135,$AG$139:$AG$164,0),MATCH($B158,$AI$139:$BI$139,0)),""))</f>
        <v/>
      </c>
      <c r="G158" s="164">
        <f t="shared" ca="1" si="127"/>
        <v>50</v>
      </c>
      <c r="H158" s="164">
        <f t="shared" ca="1" si="127"/>
        <v>100</v>
      </c>
      <c r="I158" s="164">
        <f t="shared" ca="1" si="127"/>
        <v>25</v>
      </c>
      <c r="J158" s="54"/>
      <c r="AY158" s="63"/>
      <c r="AZ158" s="63"/>
      <c r="BA158" s="63"/>
      <c r="BB158" s="63"/>
      <c r="BC158" s="63"/>
      <c r="BD158" s="63"/>
      <c r="BE158" s="63"/>
      <c r="BF158" s="63"/>
      <c r="BG158" s="63"/>
      <c r="BH158" s="63"/>
      <c r="BI158" s="63"/>
    </row>
    <row r="159" spans="2:61" ht="22.5" customHeight="1" outlineLevel="1" x14ac:dyDescent="0.35">
      <c r="J159" s="73"/>
      <c r="AY159" s="63"/>
      <c r="AZ159" s="63"/>
      <c r="BA159" s="63"/>
      <c r="BB159" s="63"/>
      <c r="BC159" s="63"/>
      <c r="BD159" s="63"/>
      <c r="BE159" s="63"/>
      <c r="BF159" s="63"/>
      <c r="BG159" s="63"/>
      <c r="BH159" s="63"/>
      <c r="BI159" s="63"/>
    </row>
    <row r="160" spans="2:61" ht="22.5" customHeight="1" x14ac:dyDescent="0.35">
      <c r="J160" s="54"/>
      <c r="AY160" s="63"/>
      <c r="AZ160" s="63"/>
      <c r="BA160" s="63"/>
      <c r="BB160" s="63"/>
      <c r="BC160" s="63"/>
      <c r="BD160" s="63"/>
      <c r="BE160" s="63"/>
      <c r="BF160" s="63"/>
      <c r="BG160" s="63"/>
      <c r="BH160" s="63"/>
      <c r="BI160" s="63"/>
    </row>
    <row r="161" spans="2:75" ht="22.5" customHeight="1" x14ac:dyDescent="0.35">
      <c r="D161" s="72" t="s">
        <v>233</v>
      </c>
      <c r="F161" s="221" t="s">
        <v>252</v>
      </c>
      <c r="G161" s="221"/>
      <c r="H161" s="221"/>
      <c r="I161" s="222"/>
      <c r="J161" s="73"/>
      <c r="AY161" s="63"/>
      <c r="AZ161" s="63"/>
      <c r="BA161" s="63"/>
      <c r="BB161" s="63"/>
      <c r="BC161" s="63"/>
      <c r="BD161" s="63"/>
      <c r="BE161" s="63"/>
      <c r="BF161" s="63"/>
      <c r="BG161" s="63"/>
      <c r="BH161" s="63"/>
      <c r="BI161" s="63"/>
    </row>
    <row r="162" spans="2:75" ht="22.5" customHeight="1" x14ac:dyDescent="0.35">
      <c r="D162" s="74"/>
      <c r="F162" s="202" t="str">
        <f ca="1">IFERROR(INDEX($V$140:$V$151,MATCH(F135,$W$140:$W$151,0))*D162,"")</f>
        <v/>
      </c>
      <c r="G162" s="202">
        <f ca="1">IFERROR(P140 *D162,"")</f>
        <v>0</v>
      </c>
      <c r="H162" s="202">
        <f ca="1">IFERROR(P141 *D162,"")</f>
        <v>0</v>
      </c>
      <c r="I162" s="202">
        <f ca="1">IFERROR(P142 * D162,"")</f>
        <v>0</v>
      </c>
      <c r="J162" s="54"/>
      <c r="AY162" s="63"/>
      <c r="AZ162" s="63"/>
      <c r="BA162" s="63"/>
      <c r="BB162" s="63"/>
      <c r="BC162" s="63"/>
      <c r="BD162" s="63"/>
      <c r="BE162" s="63"/>
      <c r="BF162" s="63"/>
      <c r="BG162" s="63"/>
      <c r="BH162" s="63"/>
      <c r="BI162" s="63"/>
    </row>
    <row r="163" spans="2:75" x14ac:dyDescent="0.35">
      <c r="AY163" s="63"/>
      <c r="AZ163" s="63"/>
      <c r="BA163" s="63"/>
      <c r="BB163" s="63"/>
      <c r="BC163" s="63"/>
      <c r="BD163" s="63"/>
      <c r="BE163" s="63"/>
      <c r="BF163" s="63"/>
      <c r="BG163" s="63"/>
      <c r="BH163" s="63"/>
      <c r="BI163" s="63"/>
    </row>
    <row r="164" spans="2:75" ht="15" thickBot="1" x14ac:dyDescent="0.4">
      <c r="C164" s="174"/>
      <c r="D164" s="174"/>
      <c r="E164" s="174"/>
      <c r="F164" s="174"/>
      <c r="G164" s="174"/>
      <c r="H164" s="174"/>
      <c r="I164" s="174"/>
      <c r="AY164" s="63"/>
      <c r="AZ164" s="63"/>
      <c r="BA164" s="63"/>
      <c r="BB164" s="63"/>
      <c r="BC164" s="63"/>
      <c r="BD164" s="63"/>
      <c r="BE164" s="63"/>
      <c r="BF164" s="63"/>
      <c r="BG164" s="63"/>
      <c r="BH164" s="63"/>
      <c r="BI164" s="63"/>
    </row>
    <row r="165" spans="2:75" ht="15" thickTop="1" x14ac:dyDescent="0.35"/>
    <row r="169" spans="2:75" ht="71.25" customHeight="1" collapsed="1" x14ac:dyDescent="0.35">
      <c r="C169" s="53"/>
      <c r="D169" s="53"/>
      <c r="F169" s="50" t="e">
        <f ca="1">N173</f>
        <v>#N/A</v>
      </c>
      <c r="G169" s="50" t="str">
        <f ca="1">INDEX(W174:W198,MATCH(P174,V174:V198,0))</f>
        <v>Offererad produktnr. 11Advania Sverige AB</v>
      </c>
      <c r="H169" s="50" t="str">
        <f ca="1">INDEX(W173:W197,MATCH(P175,V173:V197,0))</f>
        <v>Offererad produktnr. 11Atea Sverige AB</v>
      </c>
      <c r="I169" s="50" t="str">
        <f ca="1">INDEX(W173:W197,MATCH(P176,V173:V197,0))</f>
        <v>Offererad produktnr. 11Qlosr Göteborg AB</v>
      </c>
      <c r="AI169" s="12" t="s">
        <v>124</v>
      </c>
      <c r="AJ169" s="12" t="s">
        <v>124</v>
      </c>
      <c r="AK169" s="12" t="s">
        <v>124</v>
      </c>
      <c r="AL169" s="12" t="s">
        <v>124</v>
      </c>
      <c r="AM169" s="12" t="s">
        <v>124</v>
      </c>
      <c r="AN169" s="12" t="s">
        <v>124</v>
      </c>
      <c r="AO169" s="12" t="s">
        <v>124</v>
      </c>
      <c r="AP169" s="12" t="s">
        <v>124</v>
      </c>
      <c r="AQ169" s="12" t="s">
        <v>124</v>
      </c>
      <c r="AR169" s="12" t="s">
        <v>124</v>
      </c>
      <c r="AS169" s="12" t="s">
        <v>124</v>
      </c>
      <c r="AT169" s="12" t="s">
        <v>124</v>
      </c>
      <c r="AU169" s="12" t="s">
        <v>124</v>
      </c>
      <c r="AV169" s="12" t="s">
        <v>124</v>
      </c>
      <c r="AW169" s="12" t="s">
        <v>124</v>
      </c>
      <c r="AX169" s="12" t="s">
        <v>124</v>
      </c>
      <c r="AY169" s="12" t="s">
        <v>124</v>
      </c>
      <c r="AZ169" s="12" t="s">
        <v>124</v>
      </c>
      <c r="BA169" s="12" t="s">
        <v>124</v>
      </c>
      <c r="BB169" s="12" t="s">
        <v>124</v>
      </c>
      <c r="BC169" s="12" t="s">
        <v>124</v>
      </c>
      <c r="BD169" s="12" t="s">
        <v>124</v>
      </c>
      <c r="BE169" s="12" t="s">
        <v>124</v>
      </c>
      <c r="BF169" s="12" t="s">
        <v>124</v>
      </c>
      <c r="BG169" s="12" t="s">
        <v>124</v>
      </c>
      <c r="BH169" s="12" t="s">
        <v>124</v>
      </c>
      <c r="BI169" s="12" t="s">
        <v>124</v>
      </c>
      <c r="BJ169" s="12"/>
      <c r="BK169" s="12"/>
      <c r="BL169" s="12"/>
      <c r="BM169" s="12"/>
      <c r="BN169" s="12"/>
      <c r="BO169" s="12"/>
      <c r="BP169" s="12"/>
      <c r="BQ169" s="12"/>
      <c r="BR169" s="12"/>
      <c r="BS169" s="12"/>
      <c r="BT169" s="12"/>
      <c r="BU169" s="12"/>
      <c r="BV169" s="12"/>
      <c r="BW169" s="12"/>
    </row>
    <row r="170" spans="2:75" ht="26.25" customHeight="1" thickBot="1" x14ac:dyDescent="0.4">
      <c r="C170" s="53"/>
      <c r="D170" s="53"/>
      <c r="F170" s="140" t="s">
        <v>446</v>
      </c>
      <c r="G170" s="205" t="s">
        <v>447</v>
      </c>
      <c r="H170" s="205"/>
      <c r="I170" s="205"/>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row>
    <row r="171" spans="2:75" ht="22.5" customHeight="1" thickBot="1" x14ac:dyDescent="0.4">
      <c r="B171" t="str">
        <f ca="1" xml:space="preserve"> "Produkt "  &amp; B172</f>
        <v>Produkt 6</v>
      </c>
      <c r="C171" s="206" t="str">
        <f>IF(F172="Ingen produkt motsvarar","Felmeddelande",IF(COUNTIF($P$1:$P$6,TRUE)&gt;0,"","Felmeddelande"))</f>
        <v/>
      </c>
      <c r="D171" s="207"/>
      <c r="F171" s="218" t="s">
        <v>271</v>
      </c>
      <c r="G171" s="218"/>
      <c r="H171" s="218"/>
      <c r="I171" s="219"/>
      <c r="O171">
        <v>1</v>
      </c>
      <c r="AI171" s="13" t="str">
        <f t="shared" ref="AI171:AW171" si="128">AI173</f>
        <v>Skärmstorlek (tum)</v>
      </c>
      <c r="AJ171" s="13" t="str">
        <f t="shared" si="128"/>
        <v>Upplösning</v>
      </c>
      <c r="AK171" s="13" t="str">
        <f t="shared" si="128"/>
        <v>Portar USB</v>
      </c>
      <c r="AL171" s="13" t="str">
        <f t="shared" si="128"/>
        <v>Portar HDMI</v>
      </c>
      <c r="AM171" s="13" t="str">
        <f t="shared" si="128"/>
        <v>Portar Display</v>
      </c>
      <c r="AN171" s="13" t="str">
        <f t="shared" si="128"/>
        <v>Antal färger</v>
      </c>
      <c r="AO171" s="13" t="str">
        <f t="shared" si="128"/>
        <v>Ljusstyrka</v>
      </c>
      <c r="AP171" s="13" t="str">
        <f t="shared" si="128"/>
        <v>Energiprestanda</v>
      </c>
      <c r="AQ171" s="13" t="str">
        <f t="shared" si="128"/>
        <v>Låsskydd</v>
      </c>
      <c r="AR171" s="13" t="str">
        <f t="shared" si="128"/>
        <v>Kommunikation Bluetooth</v>
      </c>
      <c r="AS171" s="13" t="str">
        <f t="shared" si="128"/>
        <v>Batteritid (tim)</v>
      </c>
      <c r="AT171" s="13" t="str">
        <f t="shared" si="128"/>
        <v>Energiprestanda</v>
      </c>
      <c r="AU171" s="13" t="str">
        <f t="shared" si="128"/>
        <v>Låsskydd</v>
      </c>
      <c r="AV171" s="13" t="str">
        <f t="shared" si="128"/>
        <v>Operativsystem</v>
      </c>
      <c r="AW171" s="13" t="str">
        <f t="shared" si="128"/>
        <v>Modellbenämning</v>
      </c>
      <c r="AX171" t="s">
        <v>224</v>
      </c>
      <c r="AY171" s="56" t="s">
        <v>53</v>
      </c>
      <c r="AZ171" s="57" t="s">
        <v>228</v>
      </c>
      <c r="BA171" s="57" t="s">
        <v>229</v>
      </c>
      <c r="BB171" s="57" t="s">
        <v>230</v>
      </c>
      <c r="BC171" s="56" t="s">
        <v>340</v>
      </c>
      <c r="BD171" s="57" t="s">
        <v>345</v>
      </c>
      <c r="BE171" s="57"/>
      <c r="BF171" s="57"/>
      <c r="BG171" s="57"/>
      <c r="BH171" s="57" t="s">
        <v>6</v>
      </c>
      <c r="BI171" s="4" t="s">
        <v>51</v>
      </c>
      <c r="BJ171" s="13"/>
      <c r="BK171" s="13"/>
      <c r="BL171" s="13"/>
      <c r="BM171" s="13"/>
      <c r="BN171" s="13"/>
      <c r="BO171" s="13"/>
      <c r="BP171" s="13"/>
      <c r="BQ171" s="13"/>
      <c r="BR171" s="13"/>
      <c r="BS171" s="13"/>
      <c r="BT171" s="13"/>
      <c r="BU171" s="13"/>
      <c r="BV171" s="13"/>
      <c r="BW171" s="13"/>
    </row>
    <row r="172" spans="2:75" ht="22.5" customHeight="1" x14ac:dyDescent="0.35">
      <c r="B172">
        <f ca="1">COUNTIF($F$7:F175,"Produkt I varukorg*")</f>
        <v>6</v>
      </c>
      <c r="F172" s="51" t="str">
        <f>IF(D196&lt;1,"Inget antal angivet",IFERROR(INDEX($V$174:$V$185,MATCH(F169,$W$174:$W$185,0)),"Ingen produkt motsvarar"))</f>
        <v>Inget antal angivet</v>
      </c>
      <c r="G172" s="52">
        <f ca="1">IFERROR(P174,"Ingen produkt motsvarar")</f>
        <v>1981</v>
      </c>
      <c r="H172" s="52">
        <f ca="1">IFERROR(P175,"")</f>
        <v>2034</v>
      </c>
      <c r="I172" s="52">
        <f ca="1">IFERROR(P176,"")</f>
        <v>2076</v>
      </c>
      <c r="W172" t="str">
        <f>IF(COUNTIF(X172:AF172,FALSE)&gt;0,AG172,"")</f>
        <v/>
      </c>
      <c r="X172" t="b">
        <f>IF($D$175="",TRUE,IF(AI172=$D$175,TRUE,FALSE))</f>
        <v>1</v>
      </c>
      <c r="Y172" t="b">
        <f>IF(D174="",TRUE,IF(AJ172=$D$176,TRUE,FALSE))</f>
        <v>1</v>
      </c>
      <c r="Z172" t="b">
        <f>IF(D175="",TRUE,IF(AK172=D175,TRUE,FALSE))</f>
        <v>1</v>
      </c>
      <c r="AA172" t="b">
        <f>IF(D176="",TRUE,IF(AL172=D176,TRUE,FALSE))</f>
        <v>1</v>
      </c>
      <c r="AB172" t="b">
        <f>IF(D180="",TRUE,IF(AM172=D180,TRUE,FALSE))</f>
        <v>1</v>
      </c>
      <c r="AC172" t="b">
        <f>IF(D181="",TRUE,IF(AN172=D181,TRUE,FALSE))</f>
        <v>1</v>
      </c>
      <c r="AE172" t="b">
        <f>IF(D179="",TRUE,IF(AO172=D179,TRUE,FALSE))</f>
        <v>1</v>
      </c>
      <c r="AF172" t="b">
        <f>IFERROR(IF($D182="",TRUE,IF(MID(AT172,LEN(AT172)-2,1)*1&gt;=MID($D182,LEN($D182)-2,1)*1,TRUE,FALSE)),FALSE)</f>
        <v>1</v>
      </c>
      <c r="AG172" t="s">
        <v>126</v>
      </c>
      <c r="AI172" s="58" t="str">
        <f t="shared" ref="AI172:BI172" ca="1" si="129">IFERROR(INDEX(INDIRECT(AI$169&amp;"!$A$10:CC100000"),MATCH($AG172,INDIRECT(AI$169&amp;"!BH$10:BH100000"),0),MATCH(AI$171,INDIRECT(AI$169&amp;"!a10:CC10"),0)),"False")</f>
        <v>False</v>
      </c>
      <c r="AJ172" s="58" t="str">
        <f t="shared" ca="1" si="129"/>
        <v>False</v>
      </c>
      <c r="AK172" s="58" t="str">
        <f t="shared" ca="1" si="129"/>
        <v>False</v>
      </c>
      <c r="AL172" s="58" t="str">
        <f t="shared" ca="1" si="129"/>
        <v>False</v>
      </c>
      <c r="AM172" s="58" t="str">
        <f t="shared" ca="1" si="129"/>
        <v>False</v>
      </c>
      <c r="AN172" s="58" t="str">
        <f t="shared" ca="1" si="129"/>
        <v>False</v>
      </c>
      <c r="AO172" s="58" t="str">
        <f t="shared" ca="1" si="129"/>
        <v>False</v>
      </c>
      <c r="AP172" s="58" t="str">
        <f t="shared" ca="1" si="129"/>
        <v>False</v>
      </c>
      <c r="AQ172" s="58" t="str">
        <f t="shared" ca="1" si="129"/>
        <v>False</v>
      </c>
      <c r="AR172" s="58" t="str">
        <f t="shared" ca="1" si="129"/>
        <v>False</v>
      </c>
      <c r="AS172" s="58" t="str">
        <f t="shared" ca="1" si="129"/>
        <v>False</v>
      </c>
      <c r="AT172" s="58" t="str">
        <f t="shared" ca="1" si="129"/>
        <v>False</v>
      </c>
      <c r="AU172" s="58" t="str">
        <f t="shared" ca="1" si="129"/>
        <v>False</v>
      </c>
      <c r="AV172" s="58" t="str">
        <f t="shared" ca="1" si="129"/>
        <v>False</v>
      </c>
      <c r="AW172" s="58" t="str">
        <f t="shared" ca="1" si="129"/>
        <v>False</v>
      </c>
      <c r="AX172" s="58" t="str">
        <f t="shared" ca="1" si="129"/>
        <v>False</v>
      </c>
      <c r="AY172" s="58" t="str">
        <f t="shared" ca="1" si="129"/>
        <v>False</v>
      </c>
      <c r="AZ172" s="58" t="str">
        <f t="shared" ca="1" si="129"/>
        <v>False</v>
      </c>
      <c r="BA172" s="58" t="str">
        <f t="shared" ca="1" si="129"/>
        <v>False</v>
      </c>
      <c r="BB172" s="58" t="str">
        <f t="shared" ca="1" si="129"/>
        <v>False</v>
      </c>
      <c r="BC172" s="58" t="str">
        <f t="shared" ca="1" si="129"/>
        <v>False</v>
      </c>
      <c r="BD172" s="58" t="str">
        <f t="shared" ca="1" si="129"/>
        <v>False</v>
      </c>
      <c r="BE172" s="58" t="str">
        <f t="shared" ca="1" si="129"/>
        <v>False</v>
      </c>
      <c r="BF172" s="58" t="str">
        <f t="shared" ca="1" si="129"/>
        <v>False</v>
      </c>
      <c r="BG172" s="58" t="str">
        <f t="shared" ca="1" si="129"/>
        <v>False</v>
      </c>
      <c r="BH172" s="58" t="str">
        <f t="shared" ca="1" si="129"/>
        <v>False</v>
      </c>
      <c r="BI172" s="58" t="str">
        <f t="shared" ca="1" si="129"/>
        <v>False</v>
      </c>
      <c r="BJ172" s="58"/>
      <c r="BK172" s="58"/>
      <c r="BL172" s="58"/>
      <c r="BM172" s="58"/>
      <c r="BN172" s="58"/>
      <c r="BO172" s="58"/>
      <c r="BP172" s="58"/>
      <c r="BQ172" s="58"/>
      <c r="BR172" s="58"/>
      <c r="BS172" s="58"/>
      <c r="BT172" s="58"/>
      <c r="BU172" s="58"/>
      <c r="BV172" s="58"/>
      <c r="BW172" s="58"/>
    </row>
    <row r="173" spans="2:75" ht="22.5" customHeight="1" x14ac:dyDescent="0.35">
      <c r="C173" s="210" t="str">
        <f ca="1" xml:space="preserve"> "Bildskärm "  &amp; RIGHT("00" &amp; B172,2)</f>
        <v>Bildskärm 06</v>
      </c>
      <c r="D173" s="211"/>
      <c r="F173" s="103" t="str">
        <f>IF(F$172="Inget antal angivet","",IFERROR(INDEX($AI$173:$BI$198,MATCH(F$169,$AG$173:$AG$198,0),MATCH("Modellbenämning",$AI$173:$BI$173,0)),""))</f>
        <v/>
      </c>
      <c r="G173" s="103" t="str">
        <f ca="1">IFERROR(INDEX($AI$173:$BI$198,MATCH(G$169,$AG$173:$AG$198,0),MATCH("Modellbenämning",$AI$173:$BI$173,0)),"")</f>
        <v>HP E24i G4 - E-Series - LED-skärm</v>
      </c>
      <c r="H173" s="103" t="str">
        <f ca="1">IFERROR(INDEX($AI$173:$BI$198,MATCH(H$169,$AG$173:$AG$198,0),MATCH("Modellbenämning",$AI$173:$BI$173,0)),"")</f>
        <v>F24T450FQR</v>
      </c>
      <c r="I173" s="103" t="str">
        <f ca="1">IFERROR(INDEX($AI$173:$BI$198,MATCH(I$169,$AG$173:$AG$198,0),MATCH("Modellbenämning",$AI$173:$BI$173,0)),"")</f>
        <v>P2422h</v>
      </c>
      <c r="J173" s="93"/>
      <c r="K173" s="103"/>
      <c r="L173" s="103"/>
      <c r="M173" s="103"/>
      <c r="N173" s="103" t="e">
        <f ca="1">INDEX($N$174:$N$179,MATCH(Överblick!$L$2,$M$174:$M$179,0))</f>
        <v>#N/A</v>
      </c>
      <c r="O173" s="103"/>
      <c r="P173" s="103"/>
      <c r="Q173" s="103"/>
      <c r="R173" s="103">
        <v>1</v>
      </c>
      <c r="S173" s="103">
        <v>2</v>
      </c>
      <c r="T173" s="103">
        <v>3</v>
      </c>
      <c r="U173" s="103">
        <v>5</v>
      </c>
      <c r="V173" s="103"/>
      <c r="W173" s="103" t="s">
        <v>122</v>
      </c>
      <c r="X173" s="103" t="s">
        <v>7</v>
      </c>
      <c r="Y173" s="103" t="s">
        <v>2</v>
      </c>
      <c r="Z173" s="103" t="s">
        <v>67</v>
      </c>
      <c r="AA173" s="103" t="s">
        <v>68</v>
      </c>
      <c r="AB173" s="103" t="s">
        <v>73</v>
      </c>
      <c r="AC173" s="103" t="s">
        <v>13</v>
      </c>
      <c r="AD173" s="103"/>
      <c r="AE173" s="103" t="s">
        <v>14</v>
      </c>
      <c r="AF173" s="103" t="s">
        <v>38</v>
      </c>
      <c r="AG173" s="103" t="s">
        <v>222</v>
      </c>
      <c r="AH173" s="103">
        <v>1</v>
      </c>
      <c r="AI173" s="103" t="s">
        <v>7</v>
      </c>
      <c r="AJ173" s="103" t="s">
        <v>2</v>
      </c>
      <c r="AK173" s="103" t="s">
        <v>67</v>
      </c>
      <c r="AL173" s="103" t="s">
        <v>68</v>
      </c>
      <c r="AM173" s="103" t="s">
        <v>73</v>
      </c>
      <c r="AN173" s="103" t="s">
        <v>13</v>
      </c>
      <c r="AO173" s="103" t="s">
        <v>14</v>
      </c>
      <c r="AP173" s="103" t="s">
        <v>38</v>
      </c>
      <c r="AQ173" s="103" t="s">
        <v>37</v>
      </c>
      <c r="AR173" s="103" t="s">
        <v>75</v>
      </c>
      <c r="AS173" s="103" t="s">
        <v>120</v>
      </c>
      <c r="AT173" s="103" t="s">
        <v>38</v>
      </c>
      <c r="AU173" s="103" t="s">
        <v>37</v>
      </c>
      <c r="AV173" s="103" t="s">
        <v>3</v>
      </c>
      <c r="AW173" s="103" t="s">
        <v>52</v>
      </c>
      <c r="AX173" s="103" t="s">
        <v>25</v>
      </c>
      <c r="AY173" s="103" t="s">
        <v>53</v>
      </c>
      <c r="AZ173" s="103" t="s">
        <v>228</v>
      </c>
      <c r="BA173" s="103" t="s">
        <v>229</v>
      </c>
      <c r="BB173" s="103" t="s">
        <v>230</v>
      </c>
      <c r="BC173" s="103" t="s">
        <v>340</v>
      </c>
      <c r="BD173" s="103" t="s">
        <v>345</v>
      </c>
      <c r="BE173" s="103"/>
      <c r="BF173" s="103"/>
      <c r="BG173" s="103"/>
      <c r="BH173" s="103" t="s">
        <v>6</v>
      </c>
      <c r="BI173" s="103" t="s">
        <v>51</v>
      </c>
      <c r="BJ173" s="103" t="s">
        <v>7</v>
      </c>
      <c r="BK173" s="103" t="s">
        <v>2</v>
      </c>
      <c r="BL173" s="103" t="s">
        <v>67</v>
      </c>
      <c r="BM173" s="103" t="s">
        <v>68</v>
      </c>
      <c r="BN173" s="103" t="s">
        <v>73</v>
      </c>
      <c r="BO173" s="103" t="s">
        <v>13</v>
      </c>
      <c r="BP173" s="103" t="s">
        <v>14</v>
      </c>
      <c r="BQ173" s="103" t="s">
        <v>38</v>
      </c>
      <c r="BR173" s="103" t="s">
        <v>37</v>
      </c>
      <c r="BS173" s="103" t="s">
        <v>120</v>
      </c>
      <c r="BT173" s="103" t="s">
        <v>38</v>
      </c>
      <c r="BU173" s="103" t="s">
        <v>37</v>
      </c>
      <c r="BV173" s="103" t="s">
        <v>3</v>
      </c>
    </row>
    <row r="174" spans="2:75" ht="22.5" customHeight="1" outlineLevel="1" x14ac:dyDescent="0.35">
      <c r="C174" s="210" t="s">
        <v>261</v>
      </c>
      <c r="D174" s="211"/>
      <c r="F174" s="76" t="str">
        <f>IF(F$172="Inget antal angivet","",IFERROR(INDEX($AI$173:$BI$198,MATCH(F$169,$AG$173:$AG$198,0),MATCH("Varumärke",$AI$173:$BI$173,0)),""))</f>
        <v/>
      </c>
      <c r="G174" s="77" t="str">
        <f ca="1">IFERROR(INDEX($AI$173:$BI$198,MATCH(G$169,$AG$173:$AG$198,0),MATCH("Varumärke",$AI$173:$BI$173,0)),"")</f>
        <v>HP</v>
      </c>
      <c r="H174" s="77" t="str">
        <f ca="1">IFERROR(INDEX($AI$173:$BI$198,MATCH(H$169,$AG$173:$AG$198,0),MATCH("Varumärke",$AI$173:$BI$173,0)),"")</f>
        <v>Samsung</v>
      </c>
      <c r="I174" s="119" t="str">
        <f ca="1">IFERROR(INDEX($AI$173:$BI$198,MATCH(I$169,$AG$173:$AG$198,0),MATCH("Varumärke",$AI$173:$BI$173,0)),"")</f>
        <v>Dell</v>
      </c>
      <c r="K174" s="196">
        <f t="shared" ref="K174:K179" ca="1" si="130">O174*$D$196</f>
        <v>0</v>
      </c>
      <c r="L174" s="185" t="b">
        <f t="shared" ref="L174:L179" si="131">IF($D$196=0,TRUE,IF(K174=0,FALSE,TRUE))</f>
        <v>1</v>
      </c>
      <c r="M174" s="185" t="s">
        <v>162</v>
      </c>
      <c r="N174" s="185" t="str">
        <f t="shared" ref="N174:N179" ca="1" si="132">IFERROR(INDEX($W$174:$W$185,MATCH(O174,$V$174:$V$184,0)),"")</f>
        <v>Offererad produktnr. 11Advania Sverige AB</v>
      </c>
      <c r="O174" s="185" cm="1">
        <f t="array" aca="1" ref="O174" ca="1">MIN(IF(($BH$174:$BH$185=M174)*($AH$174:$AH$185=$O$171),$V$174:$V$185))</f>
        <v>1981</v>
      </c>
      <c r="P174" s="197">
        <f ca="1">IFERROR(SMALL($V$174:$V$198,1),"")</f>
        <v>1981</v>
      </c>
      <c r="Q174" s="185">
        <f t="shared" ref="Q174:Q183" si="133">SUM(R174:U174)</f>
        <v>0</v>
      </c>
      <c r="R174" s="185">
        <f t="shared" ref="R174:R183" si="134">IF($D$186="",0,AY174)</f>
        <v>0</v>
      </c>
      <c r="S174" s="185">
        <f t="shared" ref="S174:S183" si="135">IF($D$190="",0,AZ174)</f>
        <v>0</v>
      </c>
      <c r="T174" s="185">
        <f t="shared" ref="T174:T183" si="136">IF($D$191="",0,BA174)</f>
        <v>0</v>
      </c>
      <c r="U174" s="185">
        <f t="shared" ref="U174:U183" si="137">IF($D$192="",0,BD174)</f>
        <v>0</v>
      </c>
      <c r="V174" s="196">
        <f t="shared" ref="V174:V183" ca="1" si="138">IF(W174="","",SUM(AX174,R174:U174))</f>
        <v>1981</v>
      </c>
      <c r="W174" s="185" t="str">
        <f t="shared" ref="W174:W183" si="139">IF(COUNTIF(X174:AF174,FALSE)&gt;0,"",AG174)</f>
        <v>Offererad produktnr. 11Advania Sverige AB</v>
      </c>
      <c r="X174" s="185" t="b">
        <f>IF($D$175="",TRUE,IF(COUNTIF(Processor!$I$2:$I$9,$D$175)&gt;0,AND(AI174&gt;INDEX(Processor!$J$2:$J$9,MATCH($D$175,Processor!$I$2:$I$9,0)),AI174&lt;INDEX(Processor!$K$2:$K$9,MATCH($D$175,Processor!$I$2:$I$9,0))),IF(AI174=$D$175,TRUE,FALSE)))</f>
        <v>1</v>
      </c>
      <c r="Y174" s="185" t="b">
        <f t="shared" ref="Y174:Y183" si="140">IFERROR(IF($D$176="",TRUE,IF(AND(IF(LEFT(RIGHT($D$176,4),4)*1&lt;=1*LEFT(AJ174,4),TRUE,FALSE),IF(RIGHT(AJ174,LEN(AJ174)-FIND("x",AJ174))*1&gt;=1*RIGHT(RIGHT($D$176,4),4),TRUE,FALSE)),TRUE,FALSE)),0)</f>
        <v>1</v>
      </c>
      <c r="Z174" s="185" t="b">
        <f t="shared" ref="Z174:Z183" si="141">IF($D$177="",TRUE,IF(AK174&gt;=$D$177,TRUE,FALSE))</f>
        <v>1</v>
      </c>
      <c r="AA174" s="185" t="b">
        <f t="shared" ref="AA174:AA183" si="142">IF($D$178="",TRUE,IF(AL174&gt;=$D$178,TRUE,FALSE))</f>
        <v>1</v>
      </c>
      <c r="AB174" s="185" t="b">
        <f t="shared" ref="AB174:AB183" si="143">IF($D$179="",TRUE,IF(AM174&gt;=$D$179,TRUE,FALSE))</f>
        <v>1</v>
      </c>
      <c r="AC174" s="185" t="b">
        <f t="shared" ref="AC174:AC183" si="144">IF($D$180="",TRUE,IF(AN174&gt;=$D$180,TRUE,FALSE))</f>
        <v>1</v>
      </c>
      <c r="AD174" s="185"/>
      <c r="AE174" s="185" t="b">
        <f t="shared" ref="AE174:AE183" si="145">IF($D$181="",TRUE,IF(AO174&gt;=$D$181,TRUE,FALSE))</f>
        <v>1</v>
      </c>
      <c r="AF174" s="185" t="b">
        <f>IFERROR(IF($D182="",TRUE,IF(MID(AT174,LEN(AT174)-2,1)*1&gt;=MID($D182,LEN($D182)-2,1)*1,TRUE,FALSE)),FALSE)</f>
        <v>1</v>
      </c>
      <c r="AG174" s="185" t="s">
        <v>208</v>
      </c>
      <c r="AH174" s="201">
        <v>1</v>
      </c>
      <c r="AI174" s="185">
        <f t="shared" ref="AI174:AR183" ca="1" si="146">IFERROR(INDEX(INDIRECT(AI$169&amp;"!$A$10:CC100000"),MATCH($AG174,INDIRECT(AI$169&amp;"!BH$10:BH100000"),0),MATCH(AI$171,INDIRECT(AI$169&amp;"!a10:CC10"),0)),"False")</f>
        <v>24</v>
      </c>
      <c r="AJ174" s="185" t="str">
        <f t="shared" ca="1" si="146"/>
        <v>1920x1080</v>
      </c>
      <c r="AK174" s="185">
        <f t="shared" ca="1" si="146"/>
        <v>4</v>
      </c>
      <c r="AL174" s="185">
        <f t="shared" ca="1" si="146"/>
        <v>0</v>
      </c>
      <c r="AM174" s="185">
        <f t="shared" ca="1" si="146"/>
        <v>1</v>
      </c>
      <c r="AN174" s="185">
        <f t="shared" ca="1" si="146"/>
        <v>16700000</v>
      </c>
      <c r="AO174" s="185">
        <f t="shared" ca="1" si="146"/>
        <v>250</v>
      </c>
      <c r="AP174" s="185" t="str">
        <f t="shared" ca="1" si="146"/>
        <v>Version 8.0</v>
      </c>
      <c r="AQ174" s="185" t="str">
        <f t="shared" ca="1" si="146"/>
        <v>Ja</v>
      </c>
      <c r="AR174" s="185">
        <f t="shared" ca="1" si="146"/>
        <v>0</v>
      </c>
      <c r="AS174" s="185">
        <f t="shared" ref="AS174:BB183" ca="1" si="147">IFERROR(INDEX(INDIRECT(AS$169&amp;"!$A$10:CC100000"),MATCH($AG174,INDIRECT(AS$169&amp;"!BH$10:BH100000"),0),MATCH(AS$171,INDIRECT(AS$169&amp;"!a10:CC10"),0)),"False")</f>
        <v>0</v>
      </c>
      <c r="AT174" s="185" t="str">
        <f t="shared" ca="1" si="147"/>
        <v>Version 8.0</v>
      </c>
      <c r="AU174" s="185" t="str">
        <f t="shared" ca="1" si="147"/>
        <v>Ja</v>
      </c>
      <c r="AV174" s="185">
        <f t="shared" ca="1" si="147"/>
        <v>0</v>
      </c>
      <c r="AW174" s="185" t="str">
        <f t="shared" ca="1" si="147"/>
        <v>HP E24i G4 - E-Series - LED-skärm</v>
      </c>
      <c r="AX174" s="185">
        <f t="shared" ca="1" si="147"/>
        <v>1981</v>
      </c>
      <c r="AY174" s="192">
        <f t="shared" ca="1" si="147"/>
        <v>639</v>
      </c>
      <c r="AZ174" s="192">
        <f t="shared" ca="1" si="147"/>
        <v>101</v>
      </c>
      <c r="BA174" s="192">
        <f t="shared" ca="1" si="147"/>
        <v>50</v>
      </c>
      <c r="BB174" s="192">
        <f t="shared" ca="1" si="147"/>
        <v>50</v>
      </c>
      <c r="BC174" s="192" t="str">
        <f t="shared" ref="BC174:BI183" ca="1" si="148">IFERROR(INDEX(INDIRECT(BC$169&amp;"!$A$10:CC100000"),MATCH($AG174,INDIRECT(BC$169&amp;"!BH$10:BH100000"),0),MATCH(BC$171,INDIRECT(BC$169&amp;"!a10:CC10"),0)),"False")</f>
        <v>eSTUFF</v>
      </c>
      <c r="BD174" s="192" t="str">
        <f t="shared" ca="1" si="148"/>
        <v>GLBB24519325 -  Filter för personlig integritet - 2-vägs - 24" - svart</v>
      </c>
      <c r="BE174" s="192" t="str">
        <f t="shared" ca="1" si="148"/>
        <v>False</v>
      </c>
      <c r="BF174" s="192" t="str">
        <f t="shared" ca="1" si="148"/>
        <v>False</v>
      </c>
      <c r="BG174" s="192" t="str">
        <f t="shared" ca="1" si="148"/>
        <v>False</v>
      </c>
      <c r="BH174" s="192" t="str">
        <f t="shared" ca="1" si="148"/>
        <v>Advania Sverige AB</v>
      </c>
      <c r="BI174" s="192" t="str">
        <f t="shared" ca="1" si="148"/>
        <v>HP</v>
      </c>
      <c r="BJ174" s="199">
        <v>23.8</v>
      </c>
      <c r="BK174" s="185" t="s">
        <v>71</v>
      </c>
      <c r="BL174" s="185">
        <v>0</v>
      </c>
      <c r="BM174" s="185">
        <v>1</v>
      </c>
      <c r="BN174" s="185">
        <v>1</v>
      </c>
      <c r="BO174" s="185">
        <v>16700000</v>
      </c>
      <c r="BP174" s="185">
        <v>250</v>
      </c>
      <c r="BQ174" s="185" t="s">
        <v>352</v>
      </c>
      <c r="BR174" s="185" t="s">
        <v>69</v>
      </c>
      <c r="BS174" s="185"/>
      <c r="BT174" s="185"/>
      <c r="BU174" s="185" t="s">
        <v>352</v>
      </c>
      <c r="BV174" s="185" t="s">
        <v>69</v>
      </c>
      <c r="BW174">
        <v>0</v>
      </c>
    </row>
    <row r="175" spans="2:75" ht="22.5" customHeight="1" outlineLevel="1" x14ac:dyDescent="0.35">
      <c r="C175" s="61" t="s">
        <v>7</v>
      </c>
      <c r="D175" s="64"/>
      <c r="F175" s="78" t="str">
        <f t="shared" ref="F175:F183" si="149">IF(F$172="Inget antal angivet","",IFERROR(INDEX($AI$173:$BI$198,MATCH(F$169,$AG$173:$AG$198,0),MATCH($C175,$AI$173:$BI$173,0)),""))</f>
        <v/>
      </c>
      <c r="G175" s="79">
        <f t="shared" ref="G175:I183" ca="1" si="150">IFERROR(INDEX($AI$173:$BI$198,MATCH(G$169,$AG$173:$AG$198,0),MATCH($C175,$AI$173:$BI$173,0)),"")</f>
        <v>24</v>
      </c>
      <c r="H175" s="79">
        <f t="shared" ca="1" si="150"/>
        <v>23.8</v>
      </c>
      <c r="I175" s="120">
        <f t="shared" ca="1" si="150"/>
        <v>23.8</v>
      </c>
      <c r="J175" s="62"/>
      <c r="K175" s="196">
        <f t="shared" ca="1" si="130"/>
        <v>0</v>
      </c>
      <c r="L175" s="185" t="b">
        <f t="shared" si="131"/>
        <v>1</v>
      </c>
      <c r="M175" s="185" t="s">
        <v>150</v>
      </c>
      <c r="N175" s="185" t="str">
        <f t="shared" ca="1" si="132"/>
        <v>Offererad produktnr. 11Atea Sverige AB</v>
      </c>
      <c r="O175" s="185" cm="1">
        <f t="array" aca="1" ref="O175" ca="1">MIN(IF(($BH$174:$BH$185=M175)*($AH$174:$AH$185=$O$171),$V$174:$V$185))</f>
        <v>2034</v>
      </c>
      <c r="P175" s="197">
        <f ca="1">IFERROR(SMALL($V$174:$V$198,2),"")</f>
        <v>2034</v>
      </c>
      <c r="Q175" s="185">
        <f t="shared" si="133"/>
        <v>0</v>
      </c>
      <c r="R175" s="185">
        <f t="shared" si="134"/>
        <v>0</v>
      </c>
      <c r="S175" s="185">
        <f t="shared" si="135"/>
        <v>0</v>
      </c>
      <c r="T175" s="185">
        <f t="shared" si="136"/>
        <v>0</v>
      </c>
      <c r="U175" s="185">
        <f t="shared" si="137"/>
        <v>0</v>
      </c>
      <c r="V175" s="196">
        <f t="shared" ca="1" si="138"/>
        <v>3060</v>
      </c>
      <c r="W175" s="185" t="str">
        <f t="shared" si="139"/>
        <v>Offererad produktnr. 12Advania Sverige AB</v>
      </c>
      <c r="X175" s="185" t="b">
        <f>IF($D$175="",TRUE,IF(COUNTIF(Processor!$I$2:$I$9,$D$175)&gt;0,AND(AI175&gt;INDEX(Processor!$J$2:$J$9,MATCH($D$175,Processor!$I$2:$I$9,0)),AI175&lt;INDEX(Processor!$K$2:$K$9,MATCH($D$175,Processor!$I$2:$I$9,0))),IF(AI175=$D$175,TRUE,FALSE)))</f>
        <v>1</v>
      </c>
      <c r="Y175" s="185" t="b">
        <f t="shared" si="140"/>
        <v>1</v>
      </c>
      <c r="Z175" s="185" t="b">
        <f t="shared" si="141"/>
        <v>1</v>
      </c>
      <c r="AA175" s="185" t="b">
        <f t="shared" si="142"/>
        <v>1</v>
      </c>
      <c r="AB175" s="185" t="b">
        <f t="shared" si="143"/>
        <v>1</v>
      </c>
      <c r="AC175" s="185" t="b">
        <f t="shared" si="144"/>
        <v>1</v>
      </c>
      <c r="AD175" s="185"/>
      <c r="AE175" s="185" t="b">
        <f t="shared" si="145"/>
        <v>1</v>
      </c>
      <c r="AF175" s="185" t="b">
        <f>IFERROR(IF($D182="",TRUE,IF(MID(AT175,LEN(AT175)-2,1)*1&gt;=MID($D182,LEN($D182)-2,1)*1,TRUE,FALSE)),FALSE)</f>
        <v>1</v>
      </c>
      <c r="AG175" s="185" t="s">
        <v>209</v>
      </c>
      <c r="AH175" s="201">
        <v>1</v>
      </c>
      <c r="AI175" s="185">
        <f t="shared" ca="1" si="146"/>
        <v>27</v>
      </c>
      <c r="AJ175" s="185" t="str">
        <f t="shared" ca="1" si="146"/>
        <v>2560x1440</v>
      </c>
      <c r="AK175" s="185">
        <f t="shared" ca="1" si="146"/>
        <v>4</v>
      </c>
      <c r="AL175" s="185">
        <f t="shared" ca="1" si="146"/>
        <v>0</v>
      </c>
      <c r="AM175" s="185">
        <f t="shared" ca="1" si="146"/>
        <v>1</v>
      </c>
      <c r="AN175" s="185">
        <f t="shared" ca="1" si="146"/>
        <v>16700000</v>
      </c>
      <c r="AO175" s="185">
        <f t="shared" ca="1" si="146"/>
        <v>350</v>
      </c>
      <c r="AP175" s="185" t="str">
        <f t="shared" ca="1" si="146"/>
        <v>Version 8.0</v>
      </c>
      <c r="AQ175" s="185" t="str">
        <f t="shared" ca="1" si="146"/>
        <v>Ja</v>
      </c>
      <c r="AR175" s="185">
        <f t="shared" ca="1" si="146"/>
        <v>0</v>
      </c>
      <c r="AS175" s="185">
        <f t="shared" ca="1" si="147"/>
        <v>0</v>
      </c>
      <c r="AT175" s="185" t="str">
        <f t="shared" ca="1" si="147"/>
        <v>Version 8.0</v>
      </c>
      <c r="AU175" s="185" t="str">
        <f t="shared" ca="1" si="147"/>
        <v>Ja</v>
      </c>
      <c r="AV175" s="185">
        <f t="shared" ca="1" si="147"/>
        <v>0</v>
      </c>
      <c r="AW175" s="185" t="str">
        <f t="shared" ca="1" si="147"/>
        <v>HP E27q G5 - E-Series</v>
      </c>
      <c r="AX175" s="185">
        <f t="shared" ca="1" si="147"/>
        <v>3060</v>
      </c>
      <c r="AY175" s="192">
        <f t="shared" ca="1" si="147"/>
        <v>815</v>
      </c>
      <c r="AZ175" s="192">
        <f t="shared" ca="1" si="147"/>
        <v>101</v>
      </c>
      <c r="BA175" s="192">
        <f t="shared" ca="1" si="147"/>
        <v>50</v>
      </c>
      <c r="BB175" s="192">
        <f t="shared" ca="1" si="147"/>
        <v>50</v>
      </c>
      <c r="BC175" s="192" t="str">
        <f t="shared" ca="1" si="148"/>
        <v>eSTUFF</v>
      </c>
      <c r="BD175" s="192" t="str">
        <f t="shared" ca="1" si="148"/>
        <v>GLBB27598337 - Filter för personlig integritet - 2-vägs - 27" - svart</v>
      </c>
      <c r="BE175" s="192" t="str">
        <f t="shared" ca="1" si="148"/>
        <v>False</v>
      </c>
      <c r="BF175" s="192" t="str">
        <f t="shared" ca="1" si="148"/>
        <v>False</v>
      </c>
      <c r="BG175" s="192" t="str">
        <f t="shared" ca="1" si="148"/>
        <v>False</v>
      </c>
      <c r="BH175" s="192" t="str">
        <f t="shared" ca="1" si="148"/>
        <v>Advania Sverige AB</v>
      </c>
      <c r="BI175" s="192" t="str">
        <f t="shared" ca="1" si="148"/>
        <v>HP</v>
      </c>
      <c r="BJ175" s="199">
        <v>24</v>
      </c>
      <c r="BK175" s="185" t="s">
        <v>92</v>
      </c>
      <c r="BL175" s="185">
        <v>2</v>
      </c>
      <c r="BM175" s="185">
        <v>2</v>
      </c>
      <c r="BN175" s="185"/>
      <c r="BO175" s="185">
        <v>1070000000</v>
      </c>
      <c r="BP175" s="185">
        <v>300</v>
      </c>
      <c r="BQ175" s="185"/>
      <c r="BR175" s="185"/>
      <c r="BS175" s="185"/>
      <c r="BT175" s="185"/>
      <c r="BU175" s="185"/>
      <c r="BV175" s="185"/>
      <c r="BW175">
        <v>0</v>
      </c>
    </row>
    <row r="176" spans="2:75" ht="22.5" customHeight="1" outlineLevel="1" x14ac:dyDescent="0.35">
      <c r="C176" s="61" t="s">
        <v>2</v>
      </c>
      <c r="D176" s="64"/>
      <c r="F176" s="78" t="str">
        <f t="shared" si="149"/>
        <v/>
      </c>
      <c r="G176" s="79" t="str">
        <f t="shared" ca="1" si="150"/>
        <v>1920x1080</v>
      </c>
      <c r="H176" s="79" t="str">
        <f t="shared" ca="1" si="150"/>
        <v>1920x1080</v>
      </c>
      <c r="I176" s="120" t="str">
        <f t="shared" ca="1" si="150"/>
        <v>1920x1080</v>
      </c>
      <c r="J176" s="62"/>
      <c r="K176" s="196">
        <f t="shared" ca="1" si="130"/>
        <v>0</v>
      </c>
      <c r="L176" s="185" t="b">
        <f t="shared" si="131"/>
        <v>1</v>
      </c>
      <c r="M176" s="185" t="s">
        <v>128</v>
      </c>
      <c r="N176" s="185" t="str">
        <f t="shared" ca="1" si="132"/>
        <v>Offererad produktnr. 11Dustin Sverige AB</v>
      </c>
      <c r="O176" s="185" cm="1">
        <f t="array" aca="1" ref="O176" ca="1">MIN(IF(($BH$174:$BH$185=M176)*($AH$174:$AH$185=$O$171),$V$174:$V$185))</f>
        <v>2190</v>
      </c>
      <c r="P176" s="197">
        <f ca="1">IFERROR(SMALL($V$174:$V$198,3),"")</f>
        <v>2076</v>
      </c>
      <c r="Q176" s="185">
        <f t="shared" si="133"/>
        <v>0</v>
      </c>
      <c r="R176" s="185">
        <f t="shared" si="134"/>
        <v>0</v>
      </c>
      <c r="S176" s="185">
        <f t="shared" si="135"/>
        <v>0</v>
      </c>
      <c r="T176" s="185">
        <f t="shared" si="136"/>
        <v>0</v>
      </c>
      <c r="U176" s="185">
        <f t="shared" si="137"/>
        <v>0</v>
      </c>
      <c r="V176" s="196">
        <f t="shared" ca="1" si="138"/>
        <v>2034</v>
      </c>
      <c r="W176" s="185" t="str">
        <f t="shared" si="139"/>
        <v>Offererad produktnr. 11Atea Sverige AB</v>
      </c>
      <c r="X176" s="185" t="b">
        <f>IF($D$175="",TRUE,IF(COUNTIF(Processor!$I$2:$I$9,$D$175)&gt;0,AND(AI176&gt;INDEX(Processor!$J$2:$J$9,MATCH($D$175,Processor!$I$2:$I$9,0)),AI176&lt;INDEX(Processor!$K$2:$K$9,MATCH($D$175,Processor!$I$2:$I$9,0))),IF(AI176=$D$175,TRUE,FALSE)))</f>
        <v>1</v>
      </c>
      <c r="Y176" s="185" t="b">
        <f t="shared" si="140"/>
        <v>1</v>
      </c>
      <c r="Z176" s="185" t="b">
        <f t="shared" si="141"/>
        <v>1</v>
      </c>
      <c r="AA176" s="185" t="b">
        <f t="shared" si="142"/>
        <v>1</v>
      </c>
      <c r="AB176" s="185" t="b">
        <f t="shared" si="143"/>
        <v>1</v>
      </c>
      <c r="AC176" s="185" t="b">
        <f t="shared" si="144"/>
        <v>1</v>
      </c>
      <c r="AD176" s="185"/>
      <c r="AE176" s="185" t="b">
        <f t="shared" si="145"/>
        <v>1</v>
      </c>
      <c r="AF176" s="185" t="b">
        <f>IFERROR(IF($D182="",TRUE,IF(MID(AT176,LEN(AT176)-2,1)*1&gt;=MID($D182,LEN($D182)-2,1)*1,TRUE,FALSE)),FALSE)</f>
        <v>1</v>
      </c>
      <c r="AG176" s="185" t="s">
        <v>196</v>
      </c>
      <c r="AH176" s="201">
        <v>1</v>
      </c>
      <c r="AI176" s="185">
        <f t="shared" ca="1" si="146"/>
        <v>23.8</v>
      </c>
      <c r="AJ176" s="185" t="str">
        <f t="shared" ca="1" si="146"/>
        <v>1920x1080</v>
      </c>
      <c r="AK176" s="185">
        <f t="shared" ca="1" si="146"/>
        <v>2</v>
      </c>
      <c r="AL176" s="185">
        <f t="shared" ca="1" si="146"/>
        <v>0</v>
      </c>
      <c r="AM176" s="185">
        <f t="shared" ca="1" si="146"/>
        <v>1</v>
      </c>
      <c r="AN176" s="185">
        <f t="shared" ca="1" si="146"/>
        <v>16700000</v>
      </c>
      <c r="AO176" s="185">
        <f t="shared" ca="1" si="146"/>
        <v>250</v>
      </c>
      <c r="AP176" s="185" t="str">
        <f t="shared" ca="1" si="146"/>
        <v>Version 8.0</v>
      </c>
      <c r="AQ176" s="185" t="str">
        <f t="shared" ca="1" si="146"/>
        <v>Ja</v>
      </c>
      <c r="AR176" s="185">
        <f t="shared" ca="1" si="146"/>
        <v>0</v>
      </c>
      <c r="AS176" s="185">
        <f t="shared" ca="1" si="147"/>
        <v>0</v>
      </c>
      <c r="AT176" s="185" t="str">
        <f t="shared" ca="1" si="147"/>
        <v>Version 8.0</v>
      </c>
      <c r="AU176" s="185" t="str">
        <f t="shared" ca="1" si="147"/>
        <v>Ja</v>
      </c>
      <c r="AV176" s="185">
        <f t="shared" ca="1" si="147"/>
        <v>0</v>
      </c>
      <c r="AW176" s="185" t="str">
        <f t="shared" ca="1" si="147"/>
        <v>F24T450FQR</v>
      </c>
      <c r="AX176" s="185">
        <f t="shared" ca="1" si="147"/>
        <v>2034</v>
      </c>
      <c r="AY176" s="192">
        <f t="shared" ca="1" si="147"/>
        <v>778</v>
      </c>
      <c r="AZ176" s="192">
        <f t="shared" ca="1" si="147"/>
        <v>94</v>
      </c>
      <c r="BA176" s="192">
        <f t="shared" ca="1" si="147"/>
        <v>85</v>
      </c>
      <c r="BB176" s="192">
        <f t="shared" ca="1" si="147"/>
        <v>100</v>
      </c>
      <c r="BC176" s="192" t="str">
        <f t="shared" ca="1" si="148"/>
        <v>Targus</v>
      </c>
      <c r="BD176" s="192" t="str">
        <f t="shared" ca="1" si="148"/>
        <v>Targus Privacy Screen - filter för personlig integritet - 23,8 tum bred</v>
      </c>
      <c r="BE176" s="192" t="str">
        <f t="shared" ca="1" si="148"/>
        <v>False</v>
      </c>
      <c r="BF176" s="192" t="str">
        <f t="shared" ca="1" si="148"/>
        <v>False</v>
      </c>
      <c r="BG176" s="192" t="str">
        <f t="shared" ca="1" si="148"/>
        <v>False</v>
      </c>
      <c r="BH176" s="192" t="str">
        <f t="shared" ca="1" si="148"/>
        <v>Atea Sverige AB</v>
      </c>
      <c r="BI176" s="192" t="str">
        <f t="shared" ca="1" si="148"/>
        <v>Samsung</v>
      </c>
      <c r="BJ176" s="199">
        <v>27</v>
      </c>
      <c r="BK176" s="185"/>
      <c r="BL176" s="185">
        <v>4</v>
      </c>
      <c r="BM176" s="185"/>
      <c r="BN176" s="185"/>
      <c r="BO176" s="185"/>
      <c r="BP176" s="185">
        <v>350</v>
      </c>
      <c r="BQ176" s="185"/>
      <c r="BR176" s="185"/>
      <c r="BS176" s="185"/>
      <c r="BT176" s="185"/>
      <c r="BU176" s="185"/>
      <c r="BV176" s="185"/>
    </row>
    <row r="177" spans="2:74" ht="22.5" customHeight="1" outlineLevel="1" x14ac:dyDescent="0.35">
      <c r="B177" t="s">
        <v>272</v>
      </c>
      <c r="C177" s="61" t="s">
        <v>67</v>
      </c>
      <c r="D177" s="64"/>
      <c r="F177" s="78" t="str">
        <f t="shared" si="149"/>
        <v/>
      </c>
      <c r="G177" s="79">
        <f t="shared" ca="1" si="150"/>
        <v>4</v>
      </c>
      <c r="H177" s="79">
        <f t="shared" ca="1" si="150"/>
        <v>2</v>
      </c>
      <c r="I177" s="120">
        <f t="shared" ca="1" si="150"/>
        <v>5</v>
      </c>
      <c r="J177" s="62"/>
      <c r="K177" s="196">
        <f t="shared" ca="1" si="130"/>
        <v>0</v>
      </c>
      <c r="L177" s="185" t="b">
        <f t="shared" si="131"/>
        <v>1</v>
      </c>
      <c r="M177" s="185" t="s">
        <v>169</v>
      </c>
      <c r="N177" s="185" t="str">
        <f t="shared" ca="1" si="132"/>
        <v>Offererad produktnr. 11Foxway Education AB</v>
      </c>
      <c r="O177" s="185" cm="1">
        <f t="array" aca="1" ref="O177" ca="1">MIN(IF(($BH$174:$BH$185=M177)*($AH$174:$AH$185=$O$171),$V$174:$V$185))</f>
        <v>2361</v>
      </c>
      <c r="P177" s="197"/>
      <c r="Q177" s="185">
        <f t="shared" si="133"/>
        <v>0</v>
      </c>
      <c r="R177" s="185">
        <f t="shared" si="134"/>
        <v>0</v>
      </c>
      <c r="S177" s="185">
        <f t="shared" si="135"/>
        <v>0</v>
      </c>
      <c r="T177" s="185">
        <f t="shared" si="136"/>
        <v>0</v>
      </c>
      <c r="U177" s="185">
        <f t="shared" si="137"/>
        <v>0</v>
      </c>
      <c r="V177" s="196">
        <f t="shared" ca="1" si="138"/>
        <v>3234</v>
      </c>
      <c r="W177" s="185" t="str">
        <f t="shared" si="139"/>
        <v>Offererad produktnr. 12Atea Sverige AB</v>
      </c>
      <c r="X177" s="185" t="b">
        <f>IF($D$175="",TRUE,IF(COUNTIF(Processor!$I$2:$I$9,$D$175)&gt;0,AND(AI177&gt;INDEX(Processor!$J$2:$J$9,MATCH($D$175,Processor!$I$2:$I$9,0)),AI177&lt;INDEX(Processor!$K$2:$K$9,MATCH($D$175,Processor!$I$2:$I$9,0))),IF(AI177=$D$175,TRUE,FALSE)))</f>
        <v>1</v>
      </c>
      <c r="Y177" s="185" t="b">
        <f t="shared" si="140"/>
        <v>1</v>
      </c>
      <c r="Z177" s="185" t="b">
        <f t="shared" si="141"/>
        <v>1</v>
      </c>
      <c r="AA177" s="185" t="b">
        <f t="shared" si="142"/>
        <v>1</v>
      </c>
      <c r="AB177" s="185" t="b">
        <f t="shared" si="143"/>
        <v>1</v>
      </c>
      <c r="AC177" s="185" t="b">
        <f t="shared" si="144"/>
        <v>1</v>
      </c>
      <c r="AD177" s="185"/>
      <c r="AE177" s="185" t="b">
        <f t="shared" si="145"/>
        <v>1</v>
      </c>
      <c r="AF177" s="185" t="b">
        <f>IFERROR(IF($D182="",TRUE,IF(MID(AT177,LEN(AT177)-2,1)*1&gt;=MID($D182,LEN($D182)-2,1)*1,TRUE,FALSE)),FALSE)</f>
        <v>1</v>
      </c>
      <c r="AG177" s="185" t="s">
        <v>197</v>
      </c>
      <c r="AH177" s="201">
        <v>1</v>
      </c>
      <c r="AI177" s="185">
        <f t="shared" ca="1" si="146"/>
        <v>27</v>
      </c>
      <c r="AJ177" s="185" t="str">
        <f t="shared" ca="1" si="146"/>
        <v>2560x1440</v>
      </c>
      <c r="AK177" s="185">
        <f t="shared" ca="1" si="146"/>
        <v>4</v>
      </c>
      <c r="AL177" s="185">
        <f t="shared" ca="1" si="146"/>
        <v>0</v>
      </c>
      <c r="AM177" s="185">
        <f t="shared" ca="1" si="146"/>
        <v>1</v>
      </c>
      <c r="AN177" s="185">
        <f t="shared" ca="1" si="146"/>
        <v>1070000000</v>
      </c>
      <c r="AO177" s="185">
        <f t="shared" ca="1" si="146"/>
        <v>300</v>
      </c>
      <c r="AP177" s="185" t="str">
        <f t="shared" ca="1" si="146"/>
        <v>Version 8.0</v>
      </c>
      <c r="AQ177" s="185" t="str">
        <f t="shared" ca="1" si="146"/>
        <v>Ja</v>
      </c>
      <c r="AR177" s="185">
        <f t="shared" ca="1" si="146"/>
        <v>0</v>
      </c>
      <c r="AS177" s="185">
        <f t="shared" ca="1" si="147"/>
        <v>0</v>
      </c>
      <c r="AT177" s="185" t="str">
        <f t="shared" ca="1" si="147"/>
        <v>Version 8.0</v>
      </c>
      <c r="AU177" s="185" t="str">
        <f t="shared" ca="1" si="147"/>
        <v>Ja</v>
      </c>
      <c r="AV177" s="185">
        <f t="shared" ca="1" si="147"/>
        <v>0</v>
      </c>
      <c r="AW177" s="185" t="str">
        <f t="shared" ca="1" si="147"/>
        <v>S27A600NAU</v>
      </c>
      <c r="AX177" s="185">
        <f t="shared" ca="1" si="147"/>
        <v>3234</v>
      </c>
      <c r="AY177" s="192">
        <f t="shared" ca="1" si="147"/>
        <v>1020</v>
      </c>
      <c r="AZ177" s="192">
        <f t="shared" ca="1" si="147"/>
        <v>164</v>
      </c>
      <c r="BA177" s="192">
        <f t="shared" ca="1" si="147"/>
        <v>85</v>
      </c>
      <c r="BB177" s="192">
        <f t="shared" ca="1" si="147"/>
        <v>100</v>
      </c>
      <c r="BC177" s="192" t="str">
        <f t="shared" ca="1" si="148"/>
        <v>Targus</v>
      </c>
      <c r="BD177" s="192" t="str">
        <f t="shared" ca="1" si="148"/>
        <v>Targus Privacy Screen 27" Widescreen (16:9) - filter för personlig integritet - 27 tum bred</v>
      </c>
      <c r="BE177" s="192" t="str">
        <f t="shared" ca="1" si="148"/>
        <v>False</v>
      </c>
      <c r="BF177" s="192" t="str">
        <f t="shared" ca="1" si="148"/>
        <v>False</v>
      </c>
      <c r="BG177" s="192" t="str">
        <f t="shared" ca="1" si="148"/>
        <v>False</v>
      </c>
      <c r="BH177" s="192" t="str">
        <f t="shared" ca="1" si="148"/>
        <v>Atea Sverige AB</v>
      </c>
      <c r="BI177" s="192" t="str">
        <f t="shared" ca="1" si="148"/>
        <v>Samsung</v>
      </c>
      <c r="BJ177" s="199"/>
      <c r="BK177" s="185"/>
      <c r="BL177" s="185">
        <v>5</v>
      </c>
      <c r="BM177" s="185"/>
      <c r="BN177" s="185"/>
      <c r="BO177" s="185"/>
      <c r="BP177" s="185"/>
      <c r="BQ177" s="185"/>
      <c r="BR177" s="185"/>
      <c r="BS177" s="185"/>
      <c r="BT177" s="185"/>
      <c r="BU177" s="185"/>
      <c r="BV177" s="185"/>
    </row>
    <row r="178" spans="2:74" ht="22.5" customHeight="1" outlineLevel="1" x14ac:dyDescent="0.35">
      <c r="C178" s="61" t="s">
        <v>68</v>
      </c>
      <c r="D178" s="64"/>
      <c r="F178" s="78" t="str">
        <f t="shared" si="149"/>
        <v/>
      </c>
      <c r="G178" s="79">
        <f t="shared" ca="1" si="150"/>
        <v>0</v>
      </c>
      <c r="H178" s="79">
        <f t="shared" ca="1" si="150"/>
        <v>0</v>
      </c>
      <c r="I178" s="120">
        <f t="shared" ca="1" si="150"/>
        <v>0</v>
      </c>
      <c r="J178" s="62"/>
      <c r="K178" s="196">
        <f t="shared" ca="1" si="130"/>
        <v>0</v>
      </c>
      <c r="L178" s="185" t="b">
        <f t="shared" si="131"/>
        <v>1</v>
      </c>
      <c r="M178" s="185" t="s">
        <v>167</v>
      </c>
      <c r="N178" s="185" t="str">
        <f t="shared" ca="1" si="132"/>
        <v/>
      </c>
      <c r="O178" s="185" cm="1">
        <f t="array" aca="1" ref="O178" ca="1">MIN(IF(($BH$174:$BH$185=M178)*($AH$174:$AH$185=$O$171),$V$174:$V$185))</f>
        <v>0</v>
      </c>
      <c r="P178" s="197"/>
      <c r="Q178" s="185">
        <f t="shared" si="133"/>
        <v>0</v>
      </c>
      <c r="R178" s="185">
        <f t="shared" si="134"/>
        <v>0</v>
      </c>
      <c r="S178" s="185">
        <f t="shared" si="135"/>
        <v>0</v>
      </c>
      <c r="T178" s="185">
        <f t="shared" si="136"/>
        <v>0</v>
      </c>
      <c r="U178" s="185">
        <f t="shared" si="137"/>
        <v>0</v>
      </c>
      <c r="V178" s="196">
        <f t="shared" ca="1" si="138"/>
        <v>2190</v>
      </c>
      <c r="W178" s="185" t="str">
        <f t="shared" si="139"/>
        <v>Offererad produktnr. 11Dustin Sverige AB</v>
      </c>
      <c r="X178" s="185" t="b">
        <f>IF($D$175="",TRUE,IF(COUNTIF(Processor!$I$2:$I$9,$D$175)&gt;0,AND(AI178&gt;INDEX(Processor!$J$2:$J$9,MATCH($D$175,Processor!$I$2:$I$9,0)),AI178&lt;INDEX(Processor!$K$2:$K$9,MATCH($D$175,Processor!$I$2:$I$9,0))),IF(AI178=$D$175,TRUE,FALSE)))</f>
        <v>1</v>
      </c>
      <c r="Y178" s="185" t="b">
        <f t="shared" si="140"/>
        <v>1</v>
      </c>
      <c r="Z178" s="185" t="b">
        <f t="shared" si="141"/>
        <v>1</v>
      </c>
      <c r="AA178" s="185" t="b">
        <f t="shared" si="142"/>
        <v>1</v>
      </c>
      <c r="AB178" s="185" t="b">
        <f t="shared" si="143"/>
        <v>1</v>
      </c>
      <c r="AC178" s="185" t="b">
        <f t="shared" si="144"/>
        <v>1</v>
      </c>
      <c r="AD178" s="185"/>
      <c r="AE178" s="185" t="b">
        <f t="shared" si="145"/>
        <v>1</v>
      </c>
      <c r="AF178" s="185" t="b">
        <f>IFERROR(IF($D182="",TRUE,IF(MID(AT178,LEN(AT178)-2,1)*1&gt;=MID($D182,LEN($D182)-2,1)*1,TRUE,FALSE)),FALSE)</f>
        <v>1</v>
      </c>
      <c r="AG178" s="185" t="s">
        <v>184</v>
      </c>
      <c r="AH178" s="201">
        <v>1</v>
      </c>
      <c r="AI178" s="185">
        <f t="shared" ca="1" si="146"/>
        <v>23.8</v>
      </c>
      <c r="AJ178" s="185" t="str">
        <f t="shared" ca="1" si="146"/>
        <v>1920x1080</v>
      </c>
      <c r="AK178" s="185">
        <f t="shared" ca="1" si="146"/>
        <v>0</v>
      </c>
      <c r="AL178" s="185">
        <f t="shared" ca="1" si="146"/>
        <v>0</v>
      </c>
      <c r="AM178" s="185">
        <f t="shared" ca="1" si="146"/>
        <v>1</v>
      </c>
      <c r="AN178" s="185">
        <f t="shared" ca="1" si="146"/>
        <v>16700000</v>
      </c>
      <c r="AO178" s="185">
        <f t="shared" ca="1" si="146"/>
        <v>250</v>
      </c>
      <c r="AP178" s="185" t="str">
        <f t="shared" ca="1" si="146"/>
        <v>Version 8.0</v>
      </c>
      <c r="AQ178" s="185" t="str">
        <f t="shared" ca="1" si="146"/>
        <v>Ja</v>
      </c>
      <c r="AR178" s="185">
        <f t="shared" ca="1" si="146"/>
        <v>0</v>
      </c>
      <c r="AS178" s="185">
        <f t="shared" ca="1" si="147"/>
        <v>0</v>
      </c>
      <c r="AT178" s="185" t="str">
        <f t="shared" ca="1" si="147"/>
        <v>Version 8.0</v>
      </c>
      <c r="AU178" s="185" t="str">
        <f t="shared" ca="1" si="147"/>
        <v>Ja</v>
      </c>
      <c r="AV178" s="185">
        <f t="shared" ca="1" si="147"/>
        <v>0</v>
      </c>
      <c r="AW178" s="185" t="str">
        <f t="shared" ca="1" si="147"/>
        <v>HP P24h G5</v>
      </c>
      <c r="AX178" s="185">
        <f t="shared" ca="1" si="147"/>
        <v>2190</v>
      </c>
      <c r="AY178" s="192">
        <f t="shared" ca="1" si="147"/>
        <v>620</v>
      </c>
      <c r="AZ178" s="192">
        <f t="shared" ca="1" si="147"/>
        <v>28</v>
      </c>
      <c r="BA178" s="192">
        <f t="shared" ca="1" si="147"/>
        <v>20</v>
      </c>
      <c r="BB178" s="192">
        <f t="shared" ca="1" si="147"/>
        <v>20</v>
      </c>
      <c r="BC178" s="192" t="str">
        <f t="shared" ca="1" si="148"/>
        <v>Cirafon</v>
      </c>
      <c r="BD178" s="192" t="str">
        <f t="shared" ca="1" si="148"/>
        <v>DPF23.8-9</v>
      </c>
      <c r="BE178" s="192" t="str">
        <f t="shared" ca="1" si="148"/>
        <v>False</v>
      </c>
      <c r="BF178" s="192" t="str">
        <f t="shared" ca="1" si="148"/>
        <v>False</v>
      </c>
      <c r="BG178" s="192" t="str">
        <f t="shared" ca="1" si="148"/>
        <v>False</v>
      </c>
      <c r="BH178" s="192" t="str">
        <f t="shared" ca="1" si="148"/>
        <v>Dustin Sverige AB</v>
      </c>
      <c r="BI178" s="192" t="str">
        <f t="shared" ca="1" si="148"/>
        <v>HP</v>
      </c>
    </row>
    <row r="179" spans="2:74" ht="22.5" customHeight="1" outlineLevel="1" x14ac:dyDescent="0.35">
      <c r="C179" s="61" t="s">
        <v>73</v>
      </c>
      <c r="D179" s="64"/>
      <c r="F179" s="78" t="str">
        <f t="shared" si="149"/>
        <v/>
      </c>
      <c r="G179" s="79">
        <f t="shared" ca="1" si="150"/>
        <v>1</v>
      </c>
      <c r="H179" s="79">
        <f t="shared" ca="1" si="150"/>
        <v>1</v>
      </c>
      <c r="I179" s="120">
        <f t="shared" ca="1" si="150"/>
        <v>1</v>
      </c>
      <c r="J179" s="62"/>
      <c r="K179" s="196">
        <f t="shared" ca="1" si="130"/>
        <v>0</v>
      </c>
      <c r="L179" s="185" t="b">
        <f t="shared" si="131"/>
        <v>1</v>
      </c>
      <c r="M179" s="185" t="s">
        <v>546</v>
      </c>
      <c r="N179" s="185" t="str">
        <f t="shared" ca="1" si="132"/>
        <v>Offererad produktnr. 11Qlosr Göteborg AB</v>
      </c>
      <c r="O179" s="185" cm="1">
        <f t="array" aca="1" ref="O179" ca="1">MIN(IF(($BH$174:$BH$185=M179)*($AH$174:$AH$185=$O$171),$V$174:$V$185))</f>
        <v>2076</v>
      </c>
      <c r="P179" s="197"/>
      <c r="Q179" s="185">
        <f t="shared" si="133"/>
        <v>0</v>
      </c>
      <c r="R179" s="185">
        <f t="shared" si="134"/>
        <v>0</v>
      </c>
      <c r="S179" s="185">
        <f t="shared" si="135"/>
        <v>0</v>
      </c>
      <c r="T179" s="185">
        <f t="shared" si="136"/>
        <v>0</v>
      </c>
      <c r="U179" s="185">
        <f t="shared" si="137"/>
        <v>0</v>
      </c>
      <c r="V179" s="196">
        <f t="shared" ca="1" si="138"/>
        <v>3010</v>
      </c>
      <c r="W179" s="185" t="str">
        <f t="shared" si="139"/>
        <v>Offererad produktnr. 12Dustin Sverige AB</v>
      </c>
      <c r="X179" s="185" t="b">
        <f>IF($D$175="",TRUE,IF(COUNTIF(Processor!$I$2:$I$9,$D$175)&gt;0,AND(AI179&gt;INDEX(Processor!$J$2:$J$9,MATCH($D$175,Processor!$I$2:$I$9,0)),AI179&lt;INDEX(Processor!$K$2:$K$9,MATCH($D$175,Processor!$I$2:$I$9,0))),IF(AI179=$D$175,TRUE,FALSE)))</f>
        <v>1</v>
      </c>
      <c r="Y179" s="185" t="b">
        <f t="shared" si="140"/>
        <v>1</v>
      </c>
      <c r="Z179" s="185" t="b">
        <f t="shared" si="141"/>
        <v>1</v>
      </c>
      <c r="AA179" s="185" t="b">
        <f t="shared" si="142"/>
        <v>1</v>
      </c>
      <c r="AB179" s="185" t="b">
        <f t="shared" si="143"/>
        <v>1</v>
      </c>
      <c r="AC179" s="185" t="b">
        <f t="shared" si="144"/>
        <v>1</v>
      </c>
      <c r="AD179" s="185"/>
      <c r="AE179" s="185" t="b">
        <f t="shared" si="145"/>
        <v>1</v>
      </c>
      <c r="AF179" s="185" t="b">
        <f>IFERROR(IF($D182="",TRUE,IF(MID(AT179,LEN(AT179)-2,1)*1&gt;=MID($D182,LEN($D182)-2,1)*1,TRUE,FALSE)),FALSE)</f>
        <v>1</v>
      </c>
      <c r="AG179" s="185" t="s">
        <v>185</v>
      </c>
      <c r="AH179" s="201">
        <v>1</v>
      </c>
      <c r="AI179" s="185">
        <f t="shared" ca="1" si="146"/>
        <v>27</v>
      </c>
      <c r="AJ179" s="185" t="str">
        <f t="shared" ca="1" si="146"/>
        <v>2560x1440</v>
      </c>
      <c r="AK179" s="185">
        <f t="shared" ca="1" si="146"/>
        <v>4</v>
      </c>
      <c r="AL179" s="185">
        <f t="shared" ca="1" si="146"/>
        <v>0</v>
      </c>
      <c r="AM179" s="185">
        <f t="shared" ca="1" si="146"/>
        <v>1</v>
      </c>
      <c r="AN179" s="185">
        <f t="shared" ca="1" si="146"/>
        <v>16700000</v>
      </c>
      <c r="AO179" s="185">
        <f t="shared" ca="1" si="146"/>
        <v>350</v>
      </c>
      <c r="AP179" s="185" t="str">
        <f t="shared" ca="1" si="146"/>
        <v>Version 8.0</v>
      </c>
      <c r="AQ179" s="185" t="str">
        <f t="shared" ca="1" si="146"/>
        <v>Ja</v>
      </c>
      <c r="AR179" s="185">
        <f t="shared" ca="1" si="146"/>
        <v>0</v>
      </c>
      <c r="AS179" s="185">
        <f t="shared" ca="1" si="147"/>
        <v>0</v>
      </c>
      <c r="AT179" s="185" t="str">
        <f t="shared" ca="1" si="147"/>
        <v>Version 8.0</v>
      </c>
      <c r="AU179" s="185" t="str">
        <f t="shared" ca="1" si="147"/>
        <v>Ja</v>
      </c>
      <c r="AV179" s="185">
        <f t="shared" ca="1" si="147"/>
        <v>0</v>
      </c>
      <c r="AW179" s="185" t="str">
        <f t="shared" ca="1" si="147"/>
        <v>HP E27Q G5 PVC Free </v>
      </c>
      <c r="AX179" s="185">
        <f t="shared" ca="1" si="147"/>
        <v>3010</v>
      </c>
      <c r="AY179" s="192">
        <f t="shared" ca="1" si="147"/>
        <v>700</v>
      </c>
      <c r="AZ179" s="192">
        <f t="shared" ca="1" si="147"/>
        <v>28</v>
      </c>
      <c r="BA179" s="192">
        <f t="shared" ca="1" si="147"/>
        <v>20</v>
      </c>
      <c r="BB179" s="192">
        <f t="shared" ca="1" si="147"/>
        <v>20</v>
      </c>
      <c r="BC179" s="192" t="str">
        <f t="shared" ca="1" si="148"/>
        <v>Cirafon</v>
      </c>
      <c r="BD179" s="192" t="str">
        <f t="shared" ca="1" si="148"/>
        <v>DPF27-9</v>
      </c>
      <c r="BE179" s="192" t="str">
        <f t="shared" ca="1" si="148"/>
        <v>False</v>
      </c>
      <c r="BF179" s="192" t="str">
        <f t="shared" ca="1" si="148"/>
        <v>False</v>
      </c>
      <c r="BG179" s="192" t="str">
        <f t="shared" ca="1" si="148"/>
        <v>False</v>
      </c>
      <c r="BH179" s="192" t="str">
        <f t="shared" ca="1" si="148"/>
        <v>Dustin Sverige AB</v>
      </c>
      <c r="BI179" s="192" t="str">
        <f t="shared" ca="1" si="148"/>
        <v>HP</v>
      </c>
    </row>
    <row r="180" spans="2:74" ht="22.5" customHeight="1" outlineLevel="1" x14ac:dyDescent="0.35">
      <c r="C180" s="61" t="s">
        <v>13</v>
      </c>
      <c r="D180" s="135"/>
      <c r="F180" s="176" t="str">
        <f t="shared" si="149"/>
        <v/>
      </c>
      <c r="G180" s="136">
        <f t="shared" ca="1" si="150"/>
        <v>16700000</v>
      </c>
      <c r="H180" s="136">
        <f t="shared" ca="1" si="150"/>
        <v>16700000</v>
      </c>
      <c r="I180" s="137">
        <f t="shared" ca="1" si="150"/>
        <v>16700000</v>
      </c>
      <c r="J180" s="62"/>
      <c r="Q180" s="185">
        <f t="shared" si="133"/>
        <v>0</v>
      </c>
      <c r="R180" s="185">
        <f t="shared" si="134"/>
        <v>0</v>
      </c>
      <c r="S180" s="185">
        <f t="shared" si="135"/>
        <v>0</v>
      </c>
      <c r="T180" s="185">
        <f t="shared" si="136"/>
        <v>0</v>
      </c>
      <c r="U180" s="185">
        <f t="shared" si="137"/>
        <v>0</v>
      </c>
      <c r="V180" s="196">
        <f t="shared" ca="1" si="138"/>
        <v>2361</v>
      </c>
      <c r="W180" s="185" t="str">
        <f t="shared" si="139"/>
        <v>Offererad produktnr. 11Foxway Education AB</v>
      </c>
      <c r="X180" s="185" t="b">
        <f>IF($D$175="",TRUE,IF(COUNTIF(Processor!$I$2:$I$9,$D$175)&gt;0,AND(AI180&gt;INDEX(Processor!$J$2:$J$9,MATCH($D$175,Processor!$I$2:$I$9,0)),AI180&lt;INDEX(Processor!$K$2:$K$9,MATCH($D$175,Processor!$I$2:$I$9,0))),IF(AI180=$D$175,TRUE,FALSE)))</f>
        <v>1</v>
      </c>
      <c r="Y180" s="185" t="b">
        <f t="shared" si="140"/>
        <v>1</v>
      </c>
      <c r="Z180" s="185" t="b">
        <f t="shared" si="141"/>
        <v>1</v>
      </c>
      <c r="AA180" s="185" t="b">
        <f t="shared" si="142"/>
        <v>1</v>
      </c>
      <c r="AB180" s="185" t="b">
        <f t="shared" si="143"/>
        <v>1</v>
      </c>
      <c r="AC180" s="185" t="b">
        <f t="shared" si="144"/>
        <v>1</v>
      </c>
      <c r="AD180" s="185"/>
      <c r="AE180" s="185" t="b">
        <f t="shared" si="145"/>
        <v>1</v>
      </c>
      <c r="AF180" s="185" t="b">
        <f>IFERROR(IF($D182="",TRUE,IF(MID(AT180,LEN(AT180)-2,1)*1&gt;=MID($D182,LEN($D182)-2,1)*1,TRUE,FALSE)),FALSE)</f>
        <v>1</v>
      </c>
      <c r="AG180" s="185" t="s">
        <v>220</v>
      </c>
      <c r="AH180" s="201">
        <v>1</v>
      </c>
      <c r="AI180" s="185">
        <f t="shared" ca="1" si="146"/>
        <v>23.8</v>
      </c>
      <c r="AJ180" s="185" t="str">
        <f t="shared" ca="1" si="146"/>
        <v>1920x1080</v>
      </c>
      <c r="AK180" s="185">
        <f t="shared" ca="1" si="146"/>
        <v>0</v>
      </c>
      <c r="AL180" s="185">
        <f t="shared" ca="1" si="146"/>
        <v>0</v>
      </c>
      <c r="AM180" s="185">
        <f t="shared" ca="1" si="146"/>
        <v>1</v>
      </c>
      <c r="AN180" s="185">
        <f t="shared" ca="1" si="146"/>
        <v>16700000</v>
      </c>
      <c r="AO180" s="185">
        <f t="shared" ca="1" si="146"/>
        <v>250</v>
      </c>
      <c r="AP180" s="185" t="str">
        <f t="shared" ca="1" si="146"/>
        <v>Version 8.0</v>
      </c>
      <c r="AQ180" s="185" t="str">
        <f t="shared" ca="1" si="146"/>
        <v>Ja</v>
      </c>
      <c r="AR180" s="185">
        <f t="shared" ca="1" si="146"/>
        <v>0</v>
      </c>
      <c r="AS180" s="185">
        <f t="shared" ca="1" si="147"/>
        <v>0</v>
      </c>
      <c r="AT180" s="185" t="str">
        <f t="shared" ca="1" si="147"/>
        <v>Version 8.0</v>
      </c>
      <c r="AU180" s="185" t="str">
        <f t="shared" ca="1" si="147"/>
        <v>Ja</v>
      </c>
      <c r="AV180" s="185">
        <f t="shared" ca="1" si="147"/>
        <v>0</v>
      </c>
      <c r="AW180" s="185" t="str">
        <f t="shared" ca="1" si="147"/>
        <v>E24-29</v>
      </c>
      <c r="AX180" s="185">
        <f t="shared" ca="1" si="147"/>
        <v>2361</v>
      </c>
      <c r="AY180" s="192">
        <f t="shared" ca="1" si="147"/>
        <v>516</v>
      </c>
      <c r="AZ180" s="192">
        <f t="shared" ca="1" si="147"/>
        <v>90</v>
      </c>
      <c r="BA180" s="192">
        <f t="shared" ca="1" si="147"/>
        <v>60</v>
      </c>
      <c r="BB180" s="192">
        <f t="shared" ca="1" si="147"/>
        <v>50</v>
      </c>
      <c r="BC180" s="192" t="str">
        <f t="shared" ca="1" si="148"/>
        <v>Targus</v>
      </c>
      <c r="BD180" s="192" t="str">
        <f t="shared" ca="1" si="148"/>
        <v>Targus Privacy Screen 23.8"</v>
      </c>
      <c r="BE180" s="192" t="str">
        <f t="shared" ca="1" si="148"/>
        <v>False</v>
      </c>
      <c r="BF180" s="192" t="str">
        <f t="shared" ca="1" si="148"/>
        <v>False</v>
      </c>
      <c r="BG180" s="192" t="str">
        <f t="shared" ca="1" si="148"/>
        <v>False</v>
      </c>
      <c r="BH180" s="192" t="str">
        <f t="shared" ca="1" si="148"/>
        <v>Foxway Education AB</v>
      </c>
      <c r="BI180" s="192" t="str">
        <f t="shared" ca="1" si="148"/>
        <v>Lenovo</v>
      </c>
    </row>
    <row r="181" spans="2:74" ht="22.5" customHeight="1" outlineLevel="1" x14ac:dyDescent="0.35">
      <c r="C181" s="61" t="s">
        <v>14</v>
      </c>
      <c r="D181" s="64"/>
      <c r="F181" s="78" t="str">
        <f t="shared" si="149"/>
        <v/>
      </c>
      <c r="G181" s="79">
        <f t="shared" ca="1" si="150"/>
        <v>250</v>
      </c>
      <c r="H181" s="79">
        <f t="shared" ca="1" si="150"/>
        <v>250</v>
      </c>
      <c r="I181" s="120">
        <f t="shared" ca="1" si="150"/>
        <v>250</v>
      </c>
      <c r="J181" s="62"/>
      <c r="Q181" s="185">
        <f t="shared" si="133"/>
        <v>0</v>
      </c>
      <c r="R181" s="185">
        <f t="shared" si="134"/>
        <v>0</v>
      </c>
      <c r="S181" s="185">
        <f t="shared" si="135"/>
        <v>0</v>
      </c>
      <c r="T181" s="185">
        <f t="shared" si="136"/>
        <v>0</v>
      </c>
      <c r="U181" s="185">
        <f t="shared" si="137"/>
        <v>0</v>
      </c>
      <c r="V181" s="196">
        <f t="shared" ca="1" si="138"/>
        <v>3002</v>
      </c>
      <c r="W181" s="185" t="str">
        <f t="shared" si="139"/>
        <v>Offererad produktnr. 12Foxway Education AB</v>
      </c>
      <c r="X181" s="185" t="b">
        <f>IF($D$175="",TRUE,IF(COUNTIF(Processor!$I$2:$I$9,$D$175)&gt;0,AND(AI181&gt;INDEX(Processor!$J$2:$J$9,MATCH($D$175,Processor!$I$2:$I$9,0)),AI181&lt;INDEX(Processor!$K$2:$K$9,MATCH($D$175,Processor!$I$2:$I$9,0))),IF(AI181=$D$175,TRUE,FALSE)))</f>
        <v>1</v>
      </c>
      <c r="Y181" s="185" t="b">
        <f t="shared" si="140"/>
        <v>1</v>
      </c>
      <c r="Z181" s="185" t="b">
        <f t="shared" si="141"/>
        <v>1</v>
      </c>
      <c r="AA181" s="185" t="b">
        <f t="shared" si="142"/>
        <v>1</v>
      </c>
      <c r="AB181" s="185" t="b">
        <f t="shared" si="143"/>
        <v>1</v>
      </c>
      <c r="AC181" s="185" t="b">
        <f t="shared" si="144"/>
        <v>1</v>
      </c>
      <c r="AD181" s="185"/>
      <c r="AE181" s="185" t="b">
        <f t="shared" si="145"/>
        <v>1</v>
      </c>
      <c r="AF181" s="185" t="b">
        <f>IFERROR(IF($D182="",TRUE,IF(MID(AT181,LEN(AT181)-2,1)*1&gt;=MID($D182,LEN($D182)-2,1)*1,TRUE,FALSE)),FALSE)</f>
        <v>1</v>
      </c>
      <c r="AG181" s="185" t="s">
        <v>221</v>
      </c>
      <c r="AH181" s="201">
        <v>1</v>
      </c>
      <c r="AI181" s="185">
        <f t="shared" ca="1" si="146"/>
        <v>27</v>
      </c>
      <c r="AJ181" s="185" t="str">
        <f t="shared" ca="1" si="146"/>
        <v>2560x1440</v>
      </c>
      <c r="AK181" s="185">
        <f t="shared" ca="1" si="146"/>
        <v>0</v>
      </c>
      <c r="AL181" s="185">
        <f t="shared" ca="1" si="146"/>
        <v>0</v>
      </c>
      <c r="AM181" s="185">
        <f t="shared" ca="1" si="146"/>
        <v>1</v>
      </c>
      <c r="AN181" s="185">
        <f t="shared" ca="1" si="146"/>
        <v>16700000</v>
      </c>
      <c r="AO181" s="185">
        <f t="shared" ca="1" si="146"/>
        <v>350</v>
      </c>
      <c r="AP181" s="185" t="str">
        <f t="shared" ca="1" si="146"/>
        <v>Version 8.0</v>
      </c>
      <c r="AQ181" s="185" t="str">
        <f t="shared" ca="1" si="146"/>
        <v>Ja</v>
      </c>
      <c r="AR181" s="185">
        <f t="shared" ca="1" si="146"/>
        <v>0</v>
      </c>
      <c r="AS181" s="185">
        <f t="shared" ca="1" si="147"/>
        <v>0</v>
      </c>
      <c r="AT181" s="185" t="str">
        <f t="shared" ca="1" si="147"/>
        <v>Version 8.0</v>
      </c>
      <c r="AU181" s="185" t="str">
        <f t="shared" ca="1" si="147"/>
        <v>Ja</v>
      </c>
      <c r="AV181" s="185">
        <f t="shared" ca="1" si="147"/>
        <v>0</v>
      </c>
      <c r="AW181" s="185" t="str">
        <f t="shared" ca="1" si="147"/>
        <v>E27q-20</v>
      </c>
      <c r="AX181" s="185">
        <f t="shared" ca="1" si="147"/>
        <v>3002</v>
      </c>
      <c r="AY181" s="192">
        <f t="shared" ca="1" si="147"/>
        <v>672</v>
      </c>
      <c r="AZ181" s="192">
        <f t="shared" ca="1" si="147"/>
        <v>90</v>
      </c>
      <c r="BA181" s="192">
        <f t="shared" ca="1" si="147"/>
        <v>60</v>
      </c>
      <c r="BB181" s="192">
        <f t="shared" ca="1" si="147"/>
        <v>50</v>
      </c>
      <c r="BC181" s="192" t="str">
        <f t="shared" ca="1" si="148"/>
        <v>Targus</v>
      </c>
      <c r="BD181" s="192" t="str">
        <f t="shared" ca="1" si="148"/>
        <v>Targus Privacy Screen 27"</v>
      </c>
      <c r="BE181" s="192" t="str">
        <f t="shared" ca="1" si="148"/>
        <v>False</v>
      </c>
      <c r="BF181" s="192" t="str">
        <f t="shared" ca="1" si="148"/>
        <v>False</v>
      </c>
      <c r="BG181" s="192" t="str">
        <f t="shared" ca="1" si="148"/>
        <v>False</v>
      </c>
      <c r="BH181" s="192" t="str">
        <f t="shared" ca="1" si="148"/>
        <v>Foxway Education AB</v>
      </c>
      <c r="BI181" s="192" t="str">
        <f t="shared" ca="1" si="148"/>
        <v>Lenovo</v>
      </c>
    </row>
    <row r="182" spans="2:74" ht="22.5" customHeight="1" outlineLevel="1" x14ac:dyDescent="0.35">
      <c r="C182" s="61" t="s">
        <v>38</v>
      </c>
      <c r="D182" s="64"/>
      <c r="F182" s="78" t="str">
        <f t="shared" si="149"/>
        <v/>
      </c>
      <c r="G182" s="79" t="str">
        <f t="shared" ca="1" si="150"/>
        <v>Version 8.0</v>
      </c>
      <c r="H182" s="79" t="str">
        <f t="shared" ca="1" si="150"/>
        <v>Version 8.0</v>
      </c>
      <c r="I182" s="120" t="str">
        <f t="shared" ca="1" si="150"/>
        <v>Version 8.0</v>
      </c>
      <c r="J182" s="62"/>
      <c r="Q182" s="185">
        <f t="shared" si="133"/>
        <v>0</v>
      </c>
      <c r="R182" s="185">
        <f t="shared" si="134"/>
        <v>0</v>
      </c>
      <c r="S182" s="185">
        <f t="shared" si="135"/>
        <v>0</v>
      </c>
      <c r="T182" s="185">
        <f t="shared" si="136"/>
        <v>0</v>
      </c>
      <c r="U182" s="185">
        <f t="shared" si="137"/>
        <v>0</v>
      </c>
      <c r="V182" s="196">
        <f t="shared" ca="1" si="138"/>
        <v>2076</v>
      </c>
      <c r="W182" s="185" t="str">
        <f t="shared" si="139"/>
        <v>Offererad produktnr. 11Qlosr Göteborg AB</v>
      </c>
      <c r="X182" s="185" t="b">
        <f>IF($D$175="",TRUE,IF(COUNTIF(Processor!$I$2:$I$9,$D$175)&gt;0,AND(AI182&gt;INDEX(Processor!$J$2:$J$9,MATCH($D$175,Processor!$I$2:$I$9,0)),AI182&lt;INDEX(Processor!$K$2:$K$9,MATCH($D$175,Processor!$I$2:$I$9,0))),IF(AI182=$D$175,TRUE,FALSE)))</f>
        <v>1</v>
      </c>
      <c r="Y182" s="185" t="b">
        <f t="shared" si="140"/>
        <v>1</v>
      </c>
      <c r="Z182" s="185" t="b">
        <f t="shared" si="141"/>
        <v>1</v>
      </c>
      <c r="AA182" s="185" t="b">
        <f t="shared" si="142"/>
        <v>1</v>
      </c>
      <c r="AB182" s="185" t="b">
        <f t="shared" si="143"/>
        <v>1</v>
      </c>
      <c r="AC182" s="185" t="b">
        <f t="shared" si="144"/>
        <v>1</v>
      </c>
      <c r="AD182" s="185"/>
      <c r="AE182" s="185" t="b">
        <f t="shared" si="145"/>
        <v>1</v>
      </c>
      <c r="AF182" s="185" t="b">
        <f>IFERROR(IF($D182="",TRUE,IF(MID(AT182,LEN(AT182)-2,1)*1&gt;=MID($D182,LEN($D182)-2,1)*1,TRUE,FALSE)),FALSE)</f>
        <v>1</v>
      </c>
      <c r="AG182" s="185" t="s">
        <v>562</v>
      </c>
      <c r="AH182" s="201">
        <v>1</v>
      </c>
      <c r="AI182" s="185">
        <f t="shared" ca="1" si="146"/>
        <v>23.8</v>
      </c>
      <c r="AJ182" s="185" t="str">
        <f t="shared" ca="1" si="146"/>
        <v>1920x1080</v>
      </c>
      <c r="AK182" s="185">
        <f t="shared" ca="1" si="146"/>
        <v>5</v>
      </c>
      <c r="AL182" s="185">
        <f t="shared" ca="1" si="146"/>
        <v>0</v>
      </c>
      <c r="AM182" s="185">
        <f t="shared" ca="1" si="146"/>
        <v>1</v>
      </c>
      <c r="AN182" s="185">
        <f t="shared" ca="1" si="146"/>
        <v>16700000</v>
      </c>
      <c r="AO182" s="185">
        <f t="shared" ca="1" si="146"/>
        <v>250</v>
      </c>
      <c r="AP182" s="185" t="str">
        <f t="shared" ca="1" si="146"/>
        <v>Version 8.0</v>
      </c>
      <c r="AQ182" s="185" t="str">
        <f t="shared" ca="1" si="146"/>
        <v>Ja</v>
      </c>
      <c r="AR182" s="185">
        <f t="shared" ca="1" si="146"/>
        <v>0</v>
      </c>
      <c r="AS182" s="185">
        <f t="shared" ca="1" si="147"/>
        <v>0</v>
      </c>
      <c r="AT182" s="185" t="str">
        <f t="shared" ca="1" si="147"/>
        <v>Version 8.0</v>
      </c>
      <c r="AU182" s="185" t="str">
        <f t="shared" ca="1" si="147"/>
        <v>Ja</v>
      </c>
      <c r="AV182" s="185">
        <f t="shared" ca="1" si="147"/>
        <v>0</v>
      </c>
      <c r="AW182" s="185" t="str">
        <f t="shared" ca="1" si="147"/>
        <v>P2422h</v>
      </c>
      <c r="AX182" s="185">
        <f t="shared" ca="1" si="147"/>
        <v>2076</v>
      </c>
      <c r="AY182" s="192">
        <f t="shared" ca="1" si="147"/>
        <v>540</v>
      </c>
      <c r="AZ182" s="192">
        <f t="shared" ca="1" si="147"/>
        <v>89</v>
      </c>
      <c r="BA182" s="192">
        <f t="shared" ca="1" si="147"/>
        <v>25</v>
      </c>
      <c r="BB182" s="192">
        <f t="shared" ca="1" si="147"/>
        <v>25</v>
      </c>
      <c r="BC182" s="192" t="str">
        <f t="shared" ca="1" si="148"/>
        <v>Kapsolo</v>
      </c>
      <c r="BD182" s="192" t="str">
        <f t="shared" ca="1" si="148"/>
        <v>GBXKAP10786</v>
      </c>
      <c r="BE182" s="192" t="str">
        <f t="shared" ca="1" si="148"/>
        <v>False</v>
      </c>
      <c r="BF182" s="192" t="str">
        <f t="shared" ca="1" si="148"/>
        <v>False</v>
      </c>
      <c r="BG182" s="192" t="str">
        <f t="shared" ca="1" si="148"/>
        <v>False</v>
      </c>
      <c r="BH182" s="192" t="str">
        <f t="shared" ca="1" si="148"/>
        <v>Qlosr Göteborg AB</v>
      </c>
      <c r="BI182" s="192" t="str">
        <f t="shared" ca="1" si="148"/>
        <v>Dell</v>
      </c>
    </row>
    <row r="183" spans="2:74" ht="22.5" customHeight="1" outlineLevel="1" x14ac:dyDescent="0.35">
      <c r="C183" s="61" t="s">
        <v>37</v>
      </c>
      <c r="D183" s="64"/>
      <c r="F183" s="78" t="str">
        <f t="shared" si="149"/>
        <v/>
      </c>
      <c r="G183" s="79" t="str">
        <f t="shared" ca="1" si="150"/>
        <v>Ja</v>
      </c>
      <c r="H183" s="79" t="str">
        <f t="shared" ca="1" si="150"/>
        <v>Ja</v>
      </c>
      <c r="I183" s="120" t="str">
        <f t="shared" ca="1" si="150"/>
        <v>Ja</v>
      </c>
      <c r="J183" s="62"/>
      <c r="Q183" s="185">
        <f t="shared" si="133"/>
        <v>0</v>
      </c>
      <c r="R183" s="185">
        <f t="shared" si="134"/>
        <v>0</v>
      </c>
      <c r="S183" s="185">
        <f t="shared" si="135"/>
        <v>0</v>
      </c>
      <c r="T183" s="185">
        <f t="shared" si="136"/>
        <v>0</v>
      </c>
      <c r="U183" s="185">
        <f t="shared" si="137"/>
        <v>0</v>
      </c>
      <c r="V183" s="196">
        <f t="shared" ca="1" si="138"/>
        <v>2430</v>
      </c>
      <c r="W183" s="185" t="str">
        <f t="shared" si="139"/>
        <v>Offererad produktnr. 12Qlosr Göteborg AB</v>
      </c>
      <c r="X183" s="185" t="b">
        <f>IF($D$175="",TRUE,IF(COUNTIF(Processor!$I$2:$I$9,$D$175)&gt;0,AND(AI183&gt;INDEX(Processor!$J$2:$J$9,MATCH($D$175,Processor!$I$2:$I$9,0)),AI183&lt;INDEX(Processor!$K$2:$K$9,MATCH($D$175,Processor!$I$2:$I$9,0))),IF(AI183=$D$175,TRUE,FALSE)))</f>
        <v>1</v>
      </c>
      <c r="Y183" s="185" t="b">
        <f t="shared" si="140"/>
        <v>1</v>
      </c>
      <c r="Z183" s="185" t="b">
        <f t="shared" si="141"/>
        <v>1</v>
      </c>
      <c r="AA183" s="185" t="b">
        <f t="shared" si="142"/>
        <v>1</v>
      </c>
      <c r="AB183" s="185" t="b">
        <f t="shared" si="143"/>
        <v>1</v>
      </c>
      <c r="AC183" s="185" t="b">
        <f t="shared" si="144"/>
        <v>1</v>
      </c>
      <c r="AD183" s="185"/>
      <c r="AE183" s="185" t="b">
        <f t="shared" si="145"/>
        <v>1</v>
      </c>
      <c r="AF183" s="185" t="b">
        <f>IFERROR(IF($D182="",TRUE,IF(MID(AT183,LEN(AT183)-2,1)*1&gt;=MID($D182,LEN($D182)-2,1)*1,TRUE,FALSE)),FALSE)</f>
        <v>1</v>
      </c>
      <c r="AG183" s="185" t="s">
        <v>563</v>
      </c>
      <c r="AH183" s="201">
        <v>1</v>
      </c>
      <c r="AI183" s="185">
        <f t="shared" ca="1" si="146"/>
        <v>27</v>
      </c>
      <c r="AJ183" s="185" t="str">
        <f t="shared" ca="1" si="146"/>
        <v>2560x1440</v>
      </c>
      <c r="AK183" s="185">
        <f t="shared" ca="1" si="146"/>
        <v>0</v>
      </c>
      <c r="AL183" s="185">
        <f t="shared" ca="1" si="146"/>
        <v>0</v>
      </c>
      <c r="AM183" s="185">
        <f t="shared" ca="1" si="146"/>
        <v>1</v>
      </c>
      <c r="AN183" s="185">
        <f t="shared" ca="1" si="146"/>
        <v>16700000</v>
      </c>
      <c r="AO183" s="185">
        <f t="shared" ca="1" si="146"/>
        <v>350</v>
      </c>
      <c r="AP183" s="185" t="str">
        <f t="shared" ca="1" si="146"/>
        <v>Version 8.0</v>
      </c>
      <c r="AQ183" s="185" t="str">
        <f t="shared" ca="1" si="146"/>
        <v>Ja</v>
      </c>
      <c r="AR183" s="185">
        <f t="shared" ca="1" si="146"/>
        <v>0</v>
      </c>
      <c r="AS183" s="185">
        <f t="shared" ca="1" si="147"/>
        <v>0</v>
      </c>
      <c r="AT183" s="185" t="str">
        <f t="shared" ca="1" si="147"/>
        <v>Version 8.0</v>
      </c>
      <c r="AU183" s="185" t="str">
        <f t="shared" ca="1" si="147"/>
        <v>Ja</v>
      </c>
      <c r="AV183" s="185">
        <f t="shared" ca="1" si="147"/>
        <v>0</v>
      </c>
      <c r="AW183" s="185" t="str">
        <f t="shared" ca="1" si="147"/>
        <v>E27q-20</v>
      </c>
      <c r="AX183" s="185">
        <f t="shared" ca="1" si="147"/>
        <v>2430</v>
      </c>
      <c r="AY183" s="192">
        <f t="shared" ca="1" si="147"/>
        <v>669</v>
      </c>
      <c r="AZ183" s="192">
        <f t="shared" ca="1" si="147"/>
        <v>89</v>
      </c>
      <c r="BA183" s="192">
        <f t="shared" ca="1" si="147"/>
        <v>25</v>
      </c>
      <c r="BB183" s="192">
        <f t="shared" ca="1" si="147"/>
        <v>25</v>
      </c>
      <c r="BC183" s="192" t="str">
        <f t="shared" ca="1" si="148"/>
        <v>Kapsolo</v>
      </c>
      <c r="BD183" s="192" t="str">
        <f t="shared" ca="1" si="148"/>
        <v>GBXKAP11019</v>
      </c>
      <c r="BE183" s="192" t="str">
        <f t="shared" ca="1" si="148"/>
        <v>False</v>
      </c>
      <c r="BF183" s="192" t="str">
        <f t="shared" ca="1" si="148"/>
        <v>False</v>
      </c>
      <c r="BG183" s="192" t="str">
        <f t="shared" ca="1" si="148"/>
        <v>False</v>
      </c>
      <c r="BH183" s="192" t="str">
        <f t="shared" ca="1" si="148"/>
        <v>Qlosr Göteborg AB</v>
      </c>
      <c r="BI183" s="192" t="str">
        <f t="shared" ca="1" si="148"/>
        <v>Lenovo</v>
      </c>
    </row>
    <row r="184" spans="2:74" ht="22.5" customHeight="1" outlineLevel="1" x14ac:dyDescent="0.35">
      <c r="C184" s="66"/>
      <c r="D184" s="67"/>
      <c r="G184" s="62"/>
      <c r="H184" s="62"/>
      <c r="I184" s="62"/>
      <c r="J184" s="94"/>
      <c r="AH184" s="50"/>
      <c r="AY184" s="63"/>
      <c r="AZ184" s="63"/>
      <c r="BA184" s="63"/>
      <c r="BB184" s="63"/>
      <c r="BC184" s="63"/>
      <c r="BD184" s="63"/>
      <c r="BE184" s="63"/>
      <c r="BF184" s="63"/>
      <c r="BG184" s="63"/>
      <c r="BH184" s="63"/>
      <c r="BI184" s="63"/>
    </row>
    <row r="185" spans="2:74" ht="22.5" customHeight="1" outlineLevel="1" x14ac:dyDescent="0.35">
      <c r="C185" s="212" t="s">
        <v>366</v>
      </c>
      <c r="D185" s="213"/>
      <c r="E185" s="213"/>
      <c r="F185" s="213"/>
      <c r="G185" s="213"/>
      <c r="H185" s="213"/>
      <c r="I185" s="214"/>
      <c r="J185" s="62"/>
      <c r="AH185" s="50"/>
      <c r="AY185" s="63"/>
      <c r="AZ185" s="63"/>
      <c r="BA185" s="63"/>
      <c r="BB185" s="63"/>
      <c r="BC185" s="63"/>
      <c r="BD185" s="63"/>
      <c r="BE185" s="63"/>
      <c r="BF185" s="63"/>
      <c r="BG185" s="63"/>
      <c r="BH185" s="63"/>
      <c r="BI185" s="63"/>
    </row>
    <row r="186" spans="2:74" ht="22.5" customHeight="1" outlineLevel="1" x14ac:dyDescent="0.35">
      <c r="B186" s="69" t="s">
        <v>53</v>
      </c>
      <c r="C186" s="115" t="s">
        <v>77</v>
      </c>
      <c r="D186" s="70"/>
      <c r="F186" s="161" t="str">
        <f>IF(F$172="Inget antal angivet","",IFERROR(INDEX($AI$173:$BI$198,MATCH(F$169,$AG$173:$AG$198,0),MATCH($B186,$AI$173:$BI$173,0)),""))</f>
        <v/>
      </c>
      <c r="G186" s="162">
        <f ca="1">IFERROR(INDEX($AI$173:$BI$198,MATCH(G$169,$AG$173:$AG$198,0),MATCH($B186,$AI$173:$BI$173,0)),"")</f>
        <v>639</v>
      </c>
      <c r="H186" s="162">
        <f ca="1">IFERROR(INDEX($AI$173:$BI$198,MATCH(H$169,$AG$173:$AG$198,0),MATCH($B186,$AI$173:$BI$173,0)),"")</f>
        <v>778</v>
      </c>
      <c r="I186" s="162">
        <f ca="1">IFERROR(INDEX($AI$173:$BI$198,MATCH(I$169,$AG$173:$AG$198,0),MATCH($B186,$AI$173:$BI$173,0)),"")</f>
        <v>540</v>
      </c>
      <c r="J186" s="62"/>
      <c r="AY186" s="63"/>
      <c r="AZ186" s="63"/>
      <c r="BA186" s="63"/>
      <c r="BB186" s="63"/>
      <c r="BC186" s="63"/>
      <c r="BD186" s="63"/>
      <c r="BE186" s="63"/>
      <c r="BF186" s="63"/>
      <c r="BG186" s="63"/>
      <c r="BH186" s="63"/>
      <c r="BI186" s="63"/>
    </row>
    <row r="187" spans="2:74" ht="22.5" customHeight="1" outlineLevel="1" x14ac:dyDescent="0.35">
      <c r="B187" s="69" t="s">
        <v>340</v>
      </c>
      <c r="C187" s="96" t="s">
        <v>51</v>
      </c>
      <c r="D187" s="131" t="str">
        <f>IF("Ska Ingå"=D186,"Ska Ingå","")</f>
        <v/>
      </c>
      <c r="F187" s="84" t="str">
        <f>IF(F$172="Inget antal angivet","",IFERROR(INDEX($AI$173:$BI$198,MATCH(F$169,$AG$173:$AG$198,0),MATCH($B187,$AI$173:$BI$173,0)),""))</f>
        <v/>
      </c>
      <c r="G187" s="85" t="str">
        <f ca="1">IFERROR(INDEX($AI$173:$BI$198,MATCH(G$169,$AG$173:$AG$198,0),MATCH($B187,$AI$173:$BI$173,0)),"")</f>
        <v>eSTUFF</v>
      </c>
      <c r="H187" s="85" t="str">
        <f ca="1">IFERROR(INDEX($AI$173:$BI$198,MATCH(H$169,$AG$173:$AG$198,0),MATCH($B187,$AI$173:$BI$173,0)),"")</f>
        <v>Targus</v>
      </c>
      <c r="I187" s="85" t="str">
        <f ca="1">IFERROR(INDEX($AI$173:$BI$198,MATCH(I$169,$AG$173:$AG$198,0),MATCH($C187,$AI$173:$BI$173,0)),"")</f>
        <v>Dell</v>
      </c>
      <c r="J187" s="62"/>
      <c r="AY187" s="63"/>
      <c r="AZ187" s="63"/>
      <c r="BA187" s="63"/>
      <c r="BB187" s="63"/>
      <c r="BC187" s="63"/>
      <c r="BD187" s="63"/>
      <c r="BE187" s="63"/>
      <c r="BF187" s="63"/>
      <c r="BG187" s="63"/>
      <c r="BH187" s="63"/>
      <c r="BI187" s="63"/>
    </row>
    <row r="188" spans="2:74" ht="64.5" customHeight="1" outlineLevel="1" x14ac:dyDescent="0.35">
      <c r="B188" s="71" t="s">
        <v>345</v>
      </c>
      <c r="C188" s="116" t="s">
        <v>52</v>
      </c>
      <c r="D188" s="132" t="str">
        <f>IF("Ska Ingå"=D186,"Ska Ingå","")</f>
        <v/>
      </c>
      <c r="F188" s="117" t="str">
        <f>IF(F$172="Inget antal angivet","",IFERROR(INDEX($AI$173:$BI$198,MATCH(F$169,$AG$173:$AG$198,0),MATCH($B188,$AI$173:$BI$173,0)),""))</f>
        <v/>
      </c>
      <c r="G188" s="118" t="str">
        <f ca="1">IFERROR(INDEX($AI$173:$BI$198,MATCH(G$169,$AG$173:$AG$198,0),MATCH($B188,$AI$173:$BI$173,0)),"")</f>
        <v>GLBB24519325 -  Filter för personlig integritet - 2-vägs - 24" - svart</v>
      </c>
      <c r="H188" s="118" t="str">
        <f ca="1">IFERROR(INDEX($AI$173:$BI$198,MATCH(H$169,$AG$173:$AG$198,0),MATCH($B188,$AI$173:$BI$173,0)),"")</f>
        <v>Targus Privacy Screen - filter för personlig integritet - 23,8 tum bred</v>
      </c>
      <c r="I188" s="118" t="str">
        <f ca="1">IFERROR(INDEX($AI$173:$BI$198,MATCH(I$169,$AG$173:$AG$198,0),MATCH($C188,$AI$173:$BI$173,0)),"")</f>
        <v>P2422h</v>
      </c>
      <c r="J188" s="62"/>
      <c r="AY188" s="63"/>
      <c r="AZ188" s="63"/>
      <c r="BA188" s="63"/>
      <c r="BB188" s="63"/>
      <c r="BC188" s="63"/>
      <c r="BD188" s="63"/>
      <c r="BE188" s="63"/>
      <c r="BF188" s="63"/>
      <c r="BG188" s="63"/>
      <c r="BH188" s="63"/>
      <c r="BI188" s="63"/>
    </row>
    <row r="189" spans="2:74" ht="22.5" customHeight="1" outlineLevel="1" x14ac:dyDescent="0.35">
      <c r="B189" s="71"/>
      <c r="C189" s="212" t="s">
        <v>365</v>
      </c>
      <c r="D189" s="215"/>
      <c r="E189" s="213"/>
      <c r="F189" s="213"/>
      <c r="G189" s="213"/>
      <c r="H189" s="213"/>
      <c r="I189" s="214"/>
      <c r="J189" s="62"/>
      <c r="AY189" s="63"/>
      <c r="AZ189" s="63"/>
      <c r="BA189" s="63"/>
      <c r="BB189" s="63"/>
      <c r="BC189" s="63"/>
      <c r="BD189" s="63"/>
      <c r="BE189" s="63"/>
      <c r="BF189" s="63"/>
      <c r="BG189" s="63"/>
      <c r="BH189" s="63"/>
      <c r="BI189" s="63"/>
    </row>
    <row r="190" spans="2:74" ht="22.5" customHeight="1" outlineLevel="1" x14ac:dyDescent="0.35">
      <c r="B190" s="71" t="s">
        <v>228</v>
      </c>
      <c r="C190" s="115" t="s">
        <v>367</v>
      </c>
      <c r="D190" s="70"/>
      <c r="F190" s="161" t="str">
        <f>IF(F$172="Inget antal angivet","",IFERROR(INDEX($AI$173:$BI$198,MATCH(F$169,$AG$173:$AG$198,0),MATCH($B190,$AI$173:$BI$173,0)),""))</f>
        <v/>
      </c>
      <c r="G190" s="162">
        <f t="shared" ref="G190:I192" ca="1" si="151">IFERROR(INDEX($AI$173:$BI$198,MATCH(G$169,$AG$173:$AG$198,0),MATCH($B190,$AI$173:$BI$173,0)),"")</f>
        <v>101</v>
      </c>
      <c r="H190" s="162">
        <f t="shared" ca="1" si="151"/>
        <v>94</v>
      </c>
      <c r="I190" s="162">
        <f t="shared" ca="1" si="151"/>
        <v>89</v>
      </c>
      <c r="J190" s="62"/>
      <c r="AY190" s="63"/>
      <c r="AZ190" s="63"/>
      <c r="BA190" s="63"/>
      <c r="BB190" s="63"/>
      <c r="BC190" s="63"/>
      <c r="BD190" s="63"/>
      <c r="BE190" s="63"/>
      <c r="BF190" s="63"/>
      <c r="BG190" s="63"/>
      <c r="BH190" s="63"/>
      <c r="BI190" s="63"/>
    </row>
    <row r="191" spans="2:74" ht="22.5" customHeight="1" outlineLevel="1" x14ac:dyDescent="0.35">
      <c r="B191" s="71" t="s">
        <v>229</v>
      </c>
      <c r="C191" s="61" t="s">
        <v>368</v>
      </c>
      <c r="D191" s="70"/>
      <c r="F191" s="165" t="str">
        <f>IF(F$172="Inget antal angivet","",IFERROR(INDEX($AI$173:$BI$198,MATCH(F$169,$AG$173:$AG$198,0),MATCH($B191,$AI$173:$BI$173,0)),""))</f>
        <v/>
      </c>
      <c r="G191" s="166">
        <f t="shared" ca="1" si="151"/>
        <v>50</v>
      </c>
      <c r="H191" s="166">
        <f t="shared" ca="1" si="151"/>
        <v>85</v>
      </c>
      <c r="I191" s="166">
        <f t="shared" ca="1" si="151"/>
        <v>25</v>
      </c>
      <c r="J191" s="73"/>
      <c r="AY191" s="63"/>
      <c r="AZ191" s="63"/>
      <c r="BA191" s="63"/>
      <c r="BB191" s="63"/>
      <c r="BC191" s="63"/>
      <c r="BD191" s="63"/>
      <c r="BE191" s="63"/>
      <c r="BF191" s="63"/>
      <c r="BG191" s="63"/>
      <c r="BH191" s="63"/>
      <c r="BI191" s="63"/>
    </row>
    <row r="192" spans="2:74" ht="22.5" customHeight="1" outlineLevel="1" x14ac:dyDescent="0.35">
      <c r="B192" s="71" t="s">
        <v>230</v>
      </c>
      <c r="C192" s="96" t="s">
        <v>369</v>
      </c>
      <c r="D192" s="70"/>
      <c r="F192" s="163" t="str">
        <f>IF(F$172="Inget antal angivet","",IFERROR(INDEX($AI$173:$BI$198,MATCH(F$169,$AG$173:$AG$198,0),MATCH($B192,$AI$173:$BI$173,0)),""))</f>
        <v/>
      </c>
      <c r="G192" s="164">
        <f t="shared" ca="1" si="151"/>
        <v>50</v>
      </c>
      <c r="H192" s="164">
        <f t="shared" ca="1" si="151"/>
        <v>100</v>
      </c>
      <c r="I192" s="164">
        <f t="shared" ca="1" si="151"/>
        <v>25</v>
      </c>
      <c r="J192" s="54"/>
      <c r="AY192" s="63"/>
      <c r="AZ192" s="63"/>
      <c r="BA192" s="63"/>
      <c r="BB192" s="63"/>
      <c r="BC192" s="63"/>
      <c r="BD192" s="63"/>
      <c r="BE192" s="63"/>
      <c r="BF192" s="63"/>
      <c r="BG192" s="63"/>
      <c r="BH192" s="63"/>
      <c r="BI192" s="63"/>
    </row>
    <row r="193" spans="2:75" ht="22.5" customHeight="1" outlineLevel="1" x14ac:dyDescent="0.35">
      <c r="J193" s="73"/>
      <c r="AY193" s="63"/>
      <c r="AZ193" s="63"/>
      <c r="BA193" s="63"/>
      <c r="BB193" s="63"/>
      <c r="BC193" s="63"/>
      <c r="BD193" s="63"/>
      <c r="BE193" s="63"/>
      <c r="BF193" s="63"/>
      <c r="BG193" s="63"/>
      <c r="BH193" s="63"/>
      <c r="BI193" s="63"/>
    </row>
    <row r="194" spans="2:75" ht="22.5" customHeight="1" x14ac:dyDescent="0.35">
      <c r="J194" s="54"/>
      <c r="AY194" s="63"/>
      <c r="AZ194" s="63"/>
      <c r="BA194" s="63"/>
      <c r="BB194" s="63"/>
      <c r="BC194" s="63"/>
      <c r="BD194" s="63"/>
      <c r="BE194" s="63"/>
      <c r="BF194" s="63"/>
      <c r="BG194" s="63"/>
      <c r="BH194" s="63"/>
      <c r="BI194" s="63"/>
    </row>
    <row r="195" spans="2:75" ht="22.5" customHeight="1" x14ac:dyDescent="0.35">
      <c r="D195" s="72" t="s">
        <v>233</v>
      </c>
      <c r="F195" s="221" t="s">
        <v>252</v>
      </c>
      <c r="G195" s="221"/>
      <c r="H195" s="221"/>
      <c r="I195" s="222"/>
      <c r="J195" s="73"/>
      <c r="AY195" s="63"/>
      <c r="AZ195" s="63"/>
      <c r="BA195" s="63"/>
      <c r="BB195" s="63"/>
      <c r="BC195" s="63"/>
      <c r="BD195" s="63"/>
      <c r="BE195" s="63"/>
      <c r="BF195" s="63"/>
      <c r="BG195" s="63"/>
      <c r="BH195" s="63"/>
      <c r="BI195" s="63"/>
    </row>
    <row r="196" spans="2:75" ht="22.5" customHeight="1" x14ac:dyDescent="0.35">
      <c r="D196" s="74"/>
      <c r="F196" s="202" t="str">
        <f ca="1">IFERROR(INDEX($V$174:$V$185,MATCH(F169,$W$174:$W$185,0))*D196,"")</f>
        <v/>
      </c>
      <c r="G196" s="202">
        <f ca="1">IFERROR(P174 *D196,"")</f>
        <v>0</v>
      </c>
      <c r="H196" s="202">
        <f ca="1">IFERROR(P175 *D196,"")</f>
        <v>0</v>
      </c>
      <c r="I196" s="202">
        <f ca="1">IFERROR(P176 * D196,"")</f>
        <v>0</v>
      </c>
      <c r="J196" s="54"/>
      <c r="AY196" s="63"/>
      <c r="AZ196" s="63"/>
      <c r="BA196" s="63"/>
      <c r="BB196" s="63"/>
      <c r="BC196" s="63"/>
      <c r="BD196" s="63"/>
      <c r="BE196" s="63"/>
      <c r="BF196" s="63"/>
      <c r="BG196" s="63"/>
      <c r="BH196" s="63"/>
      <c r="BI196" s="63"/>
    </row>
    <row r="197" spans="2:75" x14ac:dyDescent="0.35">
      <c r="AY197" s="63"/>
      <c r="AZ197" s="63"/>
      <c r="BA197" s="63"/>
      <c r="BB197" s="63"/>
      <c r="BC197" s="63"/>
      <c r="BD197" s="63"/>
      <c r="BE197" s="63"/>
      <c r="BF197" s="63"/>
      <c r="BG197" s="63"/>
      <c r="BH197" s="63"/>
      <c r="BI197" s="63"/>
    </row>
    <row r="198" spans="2:75" ht="15" thickBot="1" x14ac:dyDescent="0.4">
      <c r="C198" s="174"/>
      <c r="D198" s="174"/>
      <c r="E198" s="174"/>
      <c r="F198" s="174"/>
      <c r="G198" s="174"/>
      <c r="H198" s="174"/>
      <c r="I198" s="174"/>
      <c r="AY198" s="63"/>
      <c r="AZ198" s="63"/>
      <c r="BA198" s="63"/>
      <c r="BB198" s="63"/>
      <c r="BC198" s="63"/>
      <c r="BD198" s="63"/>
      <c r="BE198" s="63"/>
      <c r="BF198" s="63"/>
      <c r="BG198" s="63"/>
      <c r="BH198" s="63"/>
      <c r="BI198" s="63"/>
    </row>
    <row r="199" spans="2:75" ht="15" thickTop="1" x14ac:dyDescent="0.35"/>
    <row r="200" spans="2:75" ht="71.25" customHeight="1" collapsed="1" x14ac:dyDescent="0.35">
      <c r="C200" s="53"/>
      <c r="D200" s="53"/>
      <c r="F200" s="50" t="e">
        <f ca="1">N204</f>
        <v>#N/A</v>
      </c>
      <c r="G200" s="50" t="str">
        <f ca="1">INDEX(W205:W229,MATCH(P205,V205:V229,0))</f>
        <v>Offererad produktnr. 11Advania Sverige AB</v>
      </c>
      <c r="H200" s="50" t="str">
        <f ca="1">INDEX(W204:W228,MATCH(P206,V204:V228,0))</f>
        <v>Offererad produktnr. 11Atea Sverige AB</v>
      </c>
      <c r="I200" s="50" t="str">
        <f ca="1">INDEX(W204:W228,MATCH(P207,V204:V228,0))</f>
        <v>Offererad produktnr. 11Qlosr Göteborg AB</v>
      </c>
      <c r="AI200" s="12" t="s">
        <v>124</v>
      </c>
      <c r="AJ200" s="12" t="s">
        <v>124</v>
      </c>
      <c r="AK200" s="12" t="s">
        <v>124</v>
      </c>
      <c r="AL200" s="12" t="s">
        <v>124</v>
      </c>
      <c r="AM200" s="12" t="s">
        <v>124</v>
      </c>
      <c r="AN200" s="12" t="s">
        <v>124</v>
      </c>
      <c r="AO200" s="12" t="s">
        <v>124</v>
      </c>
      <c r="AP200" s="12" t="s">
        <v>124</v>
      </c>
      <c r="AQ200" s="12" t="s">
        <v>124</v>
      </c>
      <c r="AR200" s="12" t="s">
        <v>124</v>
      </c>
      <c r="AS200" s="12" t="s">
        <v>124</v>
      </c>
      <c r="AT200" s="12" t="s">
        <v>124</v>
      </c>
      <c r="AU200" s="12" t="s">
        <v>124</v>
      </c>
      <c r="AV200" s="12" t="s">
        <v>124</v>
      </c>
      <c r="AW200" s="12" t="s">
        <v>124</v>
      </c>
      <c r="AX200" s="12" t="s">
        <v>124</v>
      </c>
      <c r="AY200" s="12" t="s">
        <v>124</v>
      </c>
      <c r="AZ200" s="12" t="s">
        <v>124</v>
      </c>
      <c r="BA200" s="12" t="s">
        <v>124</v>
      </c>
      <c r="BB200" s="12" t="s">
        <v>124</v>
      </c>
      <c r="BC200" s="12" t="s">
        <v>124</v>
      </c>
      <c r="BD200" s="12" t="s">
        <v>124</v>
      </c>
      <c r="BE200" s="12" t="s">
        <v>124</v>
      </c>
      <c r="BF200" s="12" t="s">
        <v>124</v>
      </c>
      <c r="BG200" s="12" t="s">
        <v>124</v>
      </c>
      <c r="BH200" s="12" t="s">
        <v>124</v>
      </c>
      <c r="BI200" s="12" t="s">
        <v>124</v>
      </c>
      <c r="BJ200" s="12"/>
      <c r="BK200" s="12"/>
      <c r="BL200" s="12"/>
      <c r="BM200" s="12"/>
      <c r="BN200" s="12"/>
      <c r="BO200" s="12"/>
      <c r="BP200" s="12"/>
      <c r="BQ200" s="12"/>
      <c r="BR200" s="12"/>
      <c r="BS200" s="12"/>
      <c r="BT200" s="12"/>
      <c r="BU200" s="12"/>
      <c r="BV200" s="12"/>
      <c r="BW200" s="12"/>
    </row>
    <row r="201" spans="2:75" ht="26.25" customHeight="1" thickBot="1" x14ac:dyDescent="0.4">
      <c r="C201" s="53"/>
      <c r="D201" s="53"/>
      <c r="F201" s="140" t="s">
        <v>446</v>
      </c>
      <c r="G201" s="205" t="s">
        <v>447</v>
      </c>
      <c r="H201" s="205"/>
      <c r="I201" s="205"/>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row>
    <row r="202" spans="2:75" ht="22.5" customHeight="1" thickBot="1" x14ac:dyDescent="0.4">
      <c r="B202" t="str">
        <f ca="1" xml:space="preserve"> "Produkt "  &amp; B203</f>
        <v>Produkt 7</v>
      </c>
      <c r="C202" s="206" t="str">
        <f>IF(F203="Ingen produkt motsvarar","Felmeddelande",IF(COUNTIF($P$1:$P$6,TRUE)&gt;0,"","Felmeddelande"))</f>
        <v/>
      </c>
      <c r="D202" s="207"/>
      <c r="F202" s="218" t="s">
        <v>271</v>
      </c>
      <c r="G202" s="218"/>
      <c r="H202" s="218"/>
      <c r="I202" s="219"/>
      <c r="O202">
        <v>1</v>
      </c>
      <c r="AI202" s="13" t="str">
        <f t="shared" ref="AI202:AW202" si="152">AI204</f>
        <v>Skärmstorlek (tum)</v>
      </c>
      <c r="AJ202" s="13" t="str">
        <f t="shared" si="152"/>
        <v>Upplösning</v>
      </c>
      <c r="AK202" s="13" t="str">
        <f t="shared" si="152"/>
        <v>Portar USB</v>
      </c>
      <c r="AL202" s="13" t="str">
        <f t="shared" si="152"/>
        <v>Portar HDMI</v>
      </c>
      <c r="AM202" s="13" t="str">
        <f t="shared" si="152"/>
        <v>Portar Display</v>
      </c>
      <c r="AN202" s="13" t="str">
        <f t="shared" si="152"/>
        <v>Antal färger</v>
      </c>
      <c r="AO202" s="13" t="str">
        <f t="shared" si="152"/>
        <v>Ljusstyrka</v>
      </c>
      <c r="AP202" s="13" t="str">
        <f t="shared" si="152"/>
        <v>Energiprestanda</v>
      </c>
      <c r="AQ202" s="13" t="str">
        <f t="shared" si="152"/>
        <v>Låsskydd</v>
      </c>
      <c r="AR202" s="13" t="str">
        <f t="shared" si="152"/>
        <v>Kommunikation Bluetooth</v>
      </c>
      <c r="AS202" s="13" t="str">
        <f t="shared" si="152"/>
        <v>Batteritid (tim)</v>
      </c>
      <c r="AT202" s="13" t="str">
        <f t="shared" si="152"/>
        <v>Energiprestanda</v>
      </c>
      <c r="AU202" s="13" t="str">
        <f t="shared" si="152"/>
        <v>Låsskydd</v>
      </c>
      <c r="AV202" s="13" t="str">
        <f t="shared" si="152"/>
        <v>Operativsystem</v>
      </c>
      <c r="AW202" s="13" t="str">
        <f t="shared" si="152"/>
        <v>Modellbenämning</v>
      </c>
      <c r="AX202" t="s">
        <v>224</v>
      </c>
      <c r="AY202" s="56" t="s">
        <v>53</v>
      </c>
      <c r="AZ202" s="57" t="s">
        <v>228</v>
      </c>
      <c r="BA202" s="57" t="s">
        <v>229</v>
      </c>
      <c r="BB202" s="57" t="s">
        <v>230</v>
      </c>
      <c r="BC202" s="56" t="s">
        <v>340</v>
      </c>
      <c r="BD202" s="57" t="s">
        <v>345</v>
      </c>
      <c r="BE202" s="57"/>
      <c r="BF202" s="57"/>
      <c r="BG202" s="57"/>
      <c r="BH202" s="57" t="s">
        <v>6</v>
      </c>
      <c r="BI202" s="4" t="s">
        <v>51</v>
      </c>
      <c r="BJ202" s="13"/>
      <c r="BK202" s="13"/>
      <c r="BL202" s="13"/>
      <c r="BM202" s="13"/>
      <c r="BN202" s="13"/>
      <c r="BO202" s="13"/>
      <c r="BP202" s="13"/>
      <c r="BQ202" s="13"/>
      <c r="BR202" s="13"/>
      <c r="BS202" s="13"/>
      <c r="BT202" s="13"/>
      <c r="BU202" s="13"/>
      <c r="BV202" s="13"/>
      <c r="BW202" s="13"/>
    </row>
    <row r="203" spans="2:75" ht="22.5" customHeight="1" x14ac:dyDescent="0.35">
      <c r="B203">
        <f ca="1">COUNTIF($F$7:F206,"Produkt I varukorg*")</f>
        <v>7</v>
      </c>
      <c r="F203" s="51" t="str">
        <f>IF(D227&lt;1,"Inget antal angivet",IFERROR(INDEX($V$205:$V$216,MATCH(F200,$W$205:$W$216,0)),"Ingen produkt motsvarar"))</f>
        <v>Inget antal angivet</v>
      </c>
      <c r="G203" s="52">
        <f ca="1">IFERROR(P205,"Ingen produkt motsvarar")</f>
        <v>1981</v>
      </c>
      <c r="H203" s="52">
        <f ca="1">IFERROR(P206,"")</f>
        <v>2034</v>
      </c>
      <c r="I203" s="52">
        <f ca="1">IFERROR(P207,"")</f>
        <v>2076</v>
      </c>
      <c r="W203" t="str">
        <f>IF(COUNTIF(X203:AF203,FALSE)&gt;0,AG203,"")</f>
        <v/>
      </c>
      <c r="X203" t="b">
        <f>IF($D$206="",TRUE,IF(AI203=$D$206,TRUE,FALSE))</f>
        <v>1</v>
      </c>
      <c r="Y203" t="b">
        <f>IF(D205="",TRUE,IF(AJ203=$D$207,TRUE,FALSE))</f>
        <v>1</v>
      </c>
      <c r="Z203" t="b">
        <f>IF(D206="",TRUE,IF(AK203=D206,TRUE,FALSE))</f>
        <v>1</v>
      </c>
      <c r="AA203" t="b">
        <f>IF(D207="",TRUE,IF(AL203=D207,TRUE,FALSE))</f>
        <v>1</v>
      </c>
      <c r="AB203" t="b">
        <f>IF(D211="",TRUE,IF(AM203=D211,TRUE,FALSE))</f>
        <v>1</v>
      </c>
      <c r="AC203" t="b">
        <f>IF(D212="",TRUE,IF(AN203=D212,TRUE,FALSE))</f>
        <v>1</v>
      </c>
      <c r="AE203" t="b">
        <f>IF(D210="",TRUE,IF(AO203=D210,TRUE,FALSE))</f>
        <v>1</v>
      </c>
      <c r="AF203" t="b">
        <f>IFERROR(IF($D213="",TRUE,IF(MID(AT203,LEN(AT203)-2,1)*1&gt;=MID($D213,LEN($D213)-2,1)*1,TRUE,FALSE)),FALSE)</f>
        <v>1</v>
      </c>
      <c r="AG203" t="s">
        <v>126</v>
      </c>
      <c r="AI203" s="58" t="str">
        <f t="shared" ref="AI203:BI203" ca="1" si="153">IFERROR(INDEX(INDIRECT(AI$200&amp;"!$A$10:CC100000"),MATCH($AG203,INDIRECT(AI$200&amp;"!BH$10:BH100000"),0),MATCH(AI$202,INDIRECT(AI$200&amp;"!a10:CC10"),0)),"False")</f>
        <v>False</v>
      </c>
      <c r="AJ203" s="58" t="str">
        <f t="shared" ca="1" si="153"/>
        <v>False</v>
      </c>
      <c r="AK203" s="58" t="str">
        <f t="shared" ca="1" si="153"/>
        <v>False</v>
      </c>
      <c r="AL203" s="58" t="str">
        <f t="shared" ca="1" si="153"/>
        <v>False</v>
      </c>
      <c r="AM203" s="58" t="str">
        <f t="shared" ca="1" si="153"/>
        <v>False</v>
      </c>
      <c r="AN203" s="58" t="str">
        <f t="shared" ca="1" si="153"/>
        <v>False</v>
      </c>
      <c r="AO203" s="58" t="str">
        <f t="shared" ca="1" si="153"/>
        <v>False</v>
      </c>
      <c r="AP203" s="58" t="str">
        <f t="shared" ca="1" si="153"/>
        <v>False</v>
      </c>
      <c r="AQ203" s="58" t="str">
        <f t="shared" ca="1" si="153"/>
        <v>False</v>
      </c>
      <c r="AR203" s="58" t="str">
        <f t="shared" ca="1" si="153"/>
        <v>False</v>
      </c>
      <c r="AS203" s="58" t="str">
        <f t="shared" ca="1" si="153"/>
        <v>False</v>
      </c>
      <c r="AT203" s="58" t="str">
        <f t="shared" ca="1" si="153"/>
        <v>False</v>
      </c>
      <c r="AU203" s="58" t="str">
        <f t="shared" ca="1" si="153"/>
        <v>False</v>
      </c>
      <c r="AV203" s="58" t="str">
        <f t="shared" ca="1" si="153"/>
        <v>False</v>
      </c>
      <c r="AW203" s="58" t="str">
        <f t="shared" ca="1" si="153"/>
        <v>False</v>
      </c>
      <c r="AX203" s="58" t="str">
        <f t="shared" ca="1" si="153"/>
        <v>False</v>
      </c>
      <c r="AY203" s="58" t="str">
        <f t="shared" ca="1" si="153"/>
        <v>False</v>
      </c>
      <c r="AZ203" s="58" t="str">
        <f t="shared" ca="1" si="153"/>
        <v>False</v>
      </c>
      <c r="BA203" s="58" t="str">
        <f t="shared" ca="1" si="153"/>
        <v>False</v>
      </c>
      <c r="BB203" s="58" t="str">
        <f t="shared" ca="1" si="153"/>
        <v>False</v>
      </c>
      <c r="BC203" s="58" t="str">
        <f t="shared" ca="1" si="153"/>
        <v>False</v>
      </c>
      <c r="BD203" s="58" t="str">
        <f t="shared" ca="1" si="153"/>
        <v>False</v>
      </c>
      <c r="BE203" s="58" t="str">
        <f t="shared" ca="1" si="153"/>
        <v>False</v>
      </c>
      <c r="BF203" s="58" t="str">
        <f t="shared" ca="1" si="153"/>
        <v>False</v>
      </c>
      <c r="BG203" s="58" t="str">
        <f t="shared" ca="1" si="153"/>
        <v>False</v>
      </c>
      <c r="BH203" s="58" t="str">
        <f t="shared" ca="1" si="153"/>
        <v>False</v>
      </c>
      <c r="BI203" s="58" t="str">
        <f t="shared" ca="1" si="153"/>
        <v>False</v>
      </c>
      <c r="BJ203" s="58"/>
      <c r="BK203" s="58"/>
      <c r="BL203" s="58"/>
      <c r="BM203" s="58"/>
      <c r="BN203" s="58"/>
      <c r="BO203" s="58"/>
      <c r="BP203" s="58"/>
      <c r="BQ203" s="58"/>
      <c r="BR203" s="58"/>
      <c r="BS203" s="58"/>
      <c r="BT203" s="58"/>
      <c r="BU203" s="58"/>
      <c r="BV203" s="58"/>
      <c r="BW203" s="58"/>
    </row>
    <row r="204" spans="2:75" ht="22.5" customHeight="1" x14ac:dyDescent="0.35">
      <c r="C204" s="210" t="str">
        <f ca="1" xml:space="preserve"> "Bildskärm "  &amp; RIGHT("00" &amp; B203,2)</f>
        <v>Bildskärm 07</v>
      </c>
      <c r="D204" s="211"/>
      <c r="F204" s="103" t="str">
        <f>IF(F$203="Inget antal angivet","",IFERROR(INDEX($AI$204:$BI$229,MATCH(F$200,$AG$204:$AG$229,0),MATCH("Modellbenämning",$AI$204:$BI$204,0)),""))</f>
        <v/>
      </c>
      <c r="G204" s="103" t="str">
        <f ca="1">IFERROR(INDEX($AI$204:$BI$229,MATCH(G$200,$AG$204:$AG$229,0),MATCH("Modellbenämning",$AI$204:$BI$204,0)),"")</f>
        <v>HP E24i G4 - E-Series - LED-skärm</v>
      </c>
      <c r="H204" s="103" t="str">
        <f ca="1">IFERROR(INDEX($AI$204:$BI$229,MATCH(H$200,$AG$204:$AG$229,0),MATCH("Modellbenämning",$AI$204:$BI$204,0)),"")</f>
        <v>F24T450FQR</v>
      </c>
      <c r="I204" s="103" t="str">
        <f ca="1">IFERROR(INDEX($AI$204:$BI$229,MATCH(I$200,$AG$204:$AG$229,0),MATCH("Modellbenämning",$AI$204:$BI$204,0)),"")</f>
        <v>P2422h</v>
      </c>
      <c r="J204" s="93"/>
      <c r="K204" s="103"/>
      <c r="L204" s="103"/>
      <c r="M204" s="103"/>
      <c r="N204" s="103" t="e">
        <f ca="1">INDEX($N$205:$N$210,MATCH(Överblick!$L$2,$M$205:$M$210,0))</f>
        <v>#N/A</v>
      </c>
      <c r="O204" s="103"/>
      <c r="P204" s="103"/>
      <c r="Q204" s="103"/>
      <c r="R204" s="103">
        <v>1</v>
      </c>
      <c r="S204" s="103">
        <v>2</v>
      </c>
      <c r="T204" s="103">
        <v>3</v>
      </c>
      <c r="U204" s="103">
        <v>5</v>
      </c>
      <c r="V204" s="103"/>
      <c r="W204" s="103" t="s">
        <v>122</v>
      </c>
      <c r="X204" s="103" t="s">
        <v>7</v>
      </c>
      <c r="Y204" s="103" t="s">
        <v>2</v>
      </c>
      <c r="Z204" s="103" t="s">
        <v>67</v>
      </c>
      <c r="AA204" s="103" t="s">
        <v>68</v>
      </c>
      <c r="AB204" s="103" t="s">
        <v>73</v>
      </c>
      <c r="AC204" s="103" t="s">
        <v>13</v>
      </c>
      <c r="AD204" s="103"/>
      <c r="AE204" s="103" t="s">
        <v>14</v>
      </c>
      <c r="AF204" s="103" t="s">
        <v>38</v>
      </c>
      <c r="AG204" s="103" t="s">
        <v>222</v>
      </c>
      <c r="AH204" s="103">
        <v>1</v>
      </c>
      <c r="AI204" s="103" t="s">
        <v>7</v>
      </c>
      <c r="AJ204" s="103" t="s">
        <v>2</v>
      </c>
      <c r="AK204" s="103" t="s">
        <v>67</v>
      </c>
      <c r="AL204" s="103" t="s">
        <v>68</v>
      </c>
      <c r="AM204" s="103" t="s">
        <v>73</v>
      </c>
      <c r="AN204" s="103" t="s">
        <v>13</v>
      </c>
      <c r="AO204" s="103" t="s">
        <v>14</v>
      </c>
      <c r="AP204" s="103" t="s">
        <v>38</v>
      </c>
      <c r="AQ204" s="103" t="s">
        <v>37</v>
      </c>
      <c r="AR204" s="103" t="s">
        <v>75</v>
      </c>
      <c r="AS204" s="103" t="s">
        <v>120</v>
      </c>
      <c r="AT204" s="103" t="s">
        <v>38</v>
      </c>
      <c r="AU204" s="103" t="s">
        <v>37</v>
      </c>
      <c r="AV204" s="103" t="s">
        <v>3</v>
      </c>
      <c r="AW204" s="103" t="s">
        <v>52</v>
      </c>
      <c r="AX204" s="103" t="s">
        <v>25</v>
      </c>
      <c r="AY204" s="103" t="s">
        <v>53</v>
      </c>
      <c r="AZ204" s="103" t="s">
        <v>228</v>
      </c>
      <c r="BA204" s="103" t="s">
        <v>229</v>
      </c>
      <c r="BB204" s="103" t="s">
        <v>230</v>
      </c>
      <c r="BC204" s="103" t="s">
        <v>340</v>
      </c>
      <c r="BD204" s="103" t="s">
        <v>345</v>
      </c>
      <c r="BE204" s="103"/>
      <c r="BF204" s="103"/>
      <c r="BG204" s="103"/>
      <c r="BH204" s="103" t="s">
        <v>6</v>
      </c>
      <c r="BI204" s="103" t="s">
        <v>51</v>
      </c>
      <c r="BJ204" s="103" t="s">
        <v>7</v>
      </c>
      <c r="BK204" s="103" t="s">
        <v>2</v>
      </c>
      <c r="BL204" s="103" t="s">
        <v>67</v>
      </c>
      <c r="BM204" s="103" t="s">
        <v>68</v>
      </c>
      <c r="BN204" s="103" t="s">
        <v>73</v>
      </c>
      <c r="BO204" s="103" t="s">
        <v>13</v>
      </c>
      <c r="BP204" s="103" t="s">
        <v>14</v>
      </c>
      <c r="BQ204" s="103" t="s">
        <v>38</v>
      </c>
      <c r="BR204" s="103" t="s">
        <v>37</v>
      </c>
      <c r="BS204" s="103" t="s">
        <v>120</v>
      </c>
      <c r="BT204" s="103" t="s">
        <v>38</v>
      </c>
      <c r="BU204" s="103" t="s">
        <v>37</v>
      </c>
      <c r="BV204" s="103" t="s">
        <v>3</v>
      </c>
    </row>
    <row r="205" spans="2:75" ht="22.5" customHeight="1" outlineLevel="1" x14ac:dyDescent="0.35">
      <c r="C205" s="210" t="s">
        <v>261</v>
      </c>
      <c r="D205" s="211"/>
      <c r="F205" s="76" t="str">
        <f>IF(F$203="Inget antal angivet","",IFERROR(INDEX($AI$204:$BI$229,MATCH(F$200,$AG$204:$AG$229,0),MATCH("Varumärke",$AI$204:$BI$204,0)),""))</f>
        <v/>
      </c>
      <c r="G205" s="77" t="str">
        <f ca="1">IFERROR(INDEX($AI$204:$BI$229,MATCH(G$200,$AG$204:$AG$229,0),MATCH("Varumärke",$AI$204:$BI$204,0)),"")</f>
        <v>HP</v>
      </c>
      <c r="H205" s="77" t="str">
        <f ca="1">IFERROR(INDEX($AI$204:$BI$229,MATCH(H$200,$AG$204:$AG$229,0),MATCH("Varumärke",$AI$204:$BI$204,0)),"")</f>
        <v>Samsung</v>
      </c>
      <c r="I205" s="119" t="str">
        <f ca="1">IFERROR(INDEX($AI$204:$BI$229,MATCH(I$200,$AG$204:$AG$229,0),MATCH("Varumärke",$AI$204:$BI$204,0)),"")</f>
        <v>Dell</v>
      </c>
      <c r="K205" s="196">
        <f t="shared" ref="K205:K210" ca="1" si="154">O205*$D$227</f>
        <v>0</v>
      </c>
      <c r="L205" s="185" t="b">
        <f t="shared" ref="L205:L210" si="155">IF($D$227=0,TRUE,IF(K205=0,FALSE,TRUE))</f>
        <v>1</v>
      </c>
      <c r="M205" s="185" t="s">
        <v>162</v>
      </c>
      <c r="N205" s="185" t="str">
        <f t="shared" ref="N205:N210" ca="1" si="156">IFERROR(INDEX($W$205:$W$216,MATCH(O205,$V$205:$V$215,0)),"")</f>
        <v>Offererad produktnr. 11Advania Sverige AB</v>
      </c>
      <c r="O205" s="185" cm="1">
        <f t="array" aca="1" ref="O205" ca="1">MIN(IF(($BH$205:$BH$216=M205)*($AH$205:$AH$216=$O$202),$V$205:$V$216))</f>
        <v>1981</v>
      </c>
      <c r="P205" s="197">
        <f ca="1">IFERROR(SMALL($V$205:$V$229,1),"")</f>
        <v>1981</v>
      </c>
      <c r="Q205" s="185">
        <f t="shared" ref="Q205:Q214" si="157">SUM(R205:U205)</f>
        <v>0</v>
      </c>
      <c r="R205" s="185">
        <f t="shared" ref="R205:R214" si="158">IF($D$217="",0,AY205)</f>
        <v>0</v>
      </c>
      <c r="S205" s="185">
        <f t="shared" ref="S205:S214" si="159">IF($D$221="",0,AZ205)</f>
        <v>0</v>
      </c>
      <c r="T205" s="185">
        <f t="shared" ref="T205:T214" si="160">IF($D$222="",0,BA205)</f>
        <v>0</v>
      </c>
      <c r="U205" s="185">
        <f t="shared" ref="U205:U214" si="161">IF($D$223="",0,BD205)</f>
        <v>0</v>
      </c>
      <c r="V205" s="196">
        <f t="shared" ref="V205:V214" ca="1" si="162">IF(W205="","",SUM(AX205,R205:U205))</f>
        <v>1981</v>
      </c>
      <c r="W205" s="185" t="str">
        <f t="shared" ref="W205:W214" si="163">IF(COUNTIF(X205:AF205,FALSE)&gt;0,"",AG205)</f>
        <v>Offererad produktnr. 11Advania Sverige AB</v>
      </c>
      <c r="X205" s="185" t="b">
        <f>IF($D$206="",TRUE,IF(COUNTIF(Processor!$I$2:$I$9,$D$206)&gt;0,AND(AI205&gt;INDEX(Processor!$J$2:$J$9,MATCH($D$206,Processor!$I$2:$I$9,0)),AI205&lt;INDEX(Processor!$K$2:$K$9,MATCH($D$206,Processor!$I$2:$I$9,0))),IF(AI205=$D$206,TRUE,FALSE)))</f>
        <v>1</v>
      </c>
      <c r="Y205" s="185" t="b">
        <f t="shared" ref="Y205:Y214" si="164">IFERROR(IF($D$207="",TRUE,IF(AND(IF(LEFT(RIGHT($D$207,4),4)*1&lt;=1*LEFT(AJ205,4),TRUE,FALSE),IF(RIGHT(AJ205,LEN(AJ205)-FIND("x",AJ205))*1&gt;=1*RIGHT(RIGHT($D$207,4),4),TRUE,FALSE)),TRUE,FALSE)),0)</f>
        <v>1</v>
      </c>
      <c r="Z205" s="185" t="b">
        <f t="shared" ref="Z205:Z214" si="165">IF($D$208="",TRUE,IF(AK205&gt;=$D$208,TRUE,FALSE))</f>
        <v>1</v>
      </c>
      <c r="AA205" s="185" t="b">
        <f t="shared" ref="AA205:AA214" si="166">IF($D$209="",TRUE,IF(AL205&gt;=$D$209,TRUE,FALSE))</f>
        <v>1</v>
      </c>
      <c r="AB205" s="185" t="b">
        <f t="shared" ref="AB205:AB214" si="167">IF($D$210="",TRUE,IF(AM205&gt;=$D$210,TRUE,FALSE))</f>
        <v>1</v>
      </c>
      <c r="AC205" s="185" t="b">
        <f t="shared" ref="AC205:AC214" si="168">IF($D$211="",TRUE,IF(AN205&gt;=$D$211,TRUE,FALSE))</f>
        <v>1</v>
      </c>
      <c r="AD205" s="185"/>
      <c r="AE205" s="185" t="b">
        <f t="shared" ref="AE205:AE214" si="169">IF($D$212="",TRUE,IF(AO205&gt;=$D$212,TRUE,FALSE))</f>
        <v>1</v>
      </c>
      <c r="AF205" s="185" t="b">
        <f>IFERROR(IF($D213="",TRUE,IF(MID(AT205,LEN(AT205)-2,1)*1&gt;=MID($D213,LEN($D213)-2,1)*1,TRUE,FALSE)),FALSE)</f>
        <v>1</v>
      </c>
      <c r="AG205" s="185" t="s">
        <v>208</v>
      </c>
      <c r="AH205" s="201">
        <v>1</v>
      </c>
      <c r="AI205" s="185">
        <f t="shared" ref="AI205:AR214" ca="1" si="170">IFERROR(INDEX(INDIRECT(AI$200&amp;"!$A$10:CC100000"),MATCH($AG205,INDIRECT(AI$200&amp;"!BH$10:BH100000"),0),MATCH(AI$202,INDIRECT(AI$200&amp;"!a10:CC10"),0)),"False")</f>
        <v>24</v>
      </c>
      <c r="AJ205" s="185" t="str">
        <f t="shared" ca="1" si="170"/>
        <v>1920x1080</v>
      </c>
      <c r="AK205" s="185">
        <f t="shared" ca="1" si="170"/>
        <v>4</v>
      </c>
      <c r="AL205" s="185">
        <f t="shared" ca="1" si="170"/>
        <v>0</v>
      </c>
      <c r="AM205" s="185">
        <f t="shared" ca="1" si="170"/>
        <v>1</v>
      </c>
      <c r="AN205" s="185">
        <f t="shared" ca="1" si="170"/>
        <v>16700000</v>
      </c>
      <c r="AO205" s="185">
        <f t="shared" ca="1" si="170"/>
        <v>250</v>
      </c>
      <c r="AP205" s="185" t="str">
        <f t="shared" ca="1" si="170"/>
        <v>Version 8.0</v>
      </c>
      <c r="AQ205" s="185" t="str">
        <f t="shared" ca="1" si="170"/>
        <v>Ja</v>
      </c>
      <c r="AR205" s="185">
        <f t="shared" ca="1" si="170"/>
        <v>0</v>
      </c>
      <c r="AS205" s="185">
        <f t="shared" ref="AS205:BB214" ca="1" si="171">IFERROR(INDEX(INDIRECT(AS$200&amp;"!$A$10:CC100000"),MATCH($AG205,INDIRECT(AS$200&amp;"!BH$10:BH100000"),0),MATCH(AS$202,INDIRECT(AS$200&amp;"!a10:CC10"),0)),"False")</f>
        <v>0</v>
      </c>
      <c r="AT205" s="185" t="str">
        <f t="shared" ca="1" si="171"/>
        <v>Version 8.0</v>
      </c>
      <c r="AU205" s="185" t="str">
        <f t="shared" ca="1" si="171"/>
        <v>Ja</v>
      </c>
      <c r="AV205" s="185">
        <f t="shared" ca="1" si="171"/>
        <v>0</v>
      </c>
      <c r="AW205" s="185" t="str">
        <f t="shared" ca="1" si="171"/>
        <v>HP E24i G4 - E-Series - LED-skärm</v>
      </c>
      <c r="AX205" s="185">
        <f t="shared" ca="1" si="171"/>
        <v>1981</v>
      </c>
      <c r="AY205" s="192">
        <f t="shared" ca="1" si="171"/>
        <v>639</v>
      </c>
      <c r="AZ205" s="192">
        <f t="shared" ca="1" si="171"/>
        <v>101</v>
      </c>
      <c r="BA205" s="192">
        <f t="shared" ca="1" si="171"/>
        <v>50</v>
      </c>
      <c r="BB205" s="192">
        <f t="shared" ca="1" si="171"/>
        <v>50</v>
      </c>
      <c r="BC205" s="192" t="str">
        <f t="shared" ref="BC205:BI214" ca="1" si="172">IFERROR(INDEX(INDIRECT(BC$200&amp;"!$A$10:CC100000"),MATCH($AG205,INDIRECT(BC$200&amp;"!BH$10:BH100000"),0),MATCH(BC$202,INDIRECT(BC$200&amp;"!a10:CC10"),0)),"False")</f>
        <v>eSTUFF</v>
      </c>
      <c r="BD205" s="192" t="str">
        <f t="shared" ca="1" si="172"/>
        <v>GLBB24519325 -  Filter för personlig integritet - 2-vägs - 24" - svart</v>
      </c>
      <c r="BE205" s="192" t="str">
        <f t="shared" ca="1" si="172"/>
        <v>False</v>
      </c>
      <c r="BF205" s="192" t="str">
        <f t="shared" ca="1" si="172"/>
        <v>False</v>
      </c>
      <c r="BG205" s="192" t="str">
        <f t="shared" ca="1" si="172"/>
        <v>False</v>
      </c>
      <c r="BH205" s="192" t="str">
        <f t="shared" ca="1" si="172"/>
        <v>Advania Sverige AB</v>
      </c>
      <c r="BI205" s="192" t="str">
        <f t="shared" ca="1" si="172"/>
        <v>HP</v>
      </c>
      <c r="BJ205" s="199">
        <v>23.8</v>
      </c>
      <c r="BK205" s="185" t="s">
        <v>71</v>
      </c>
      <c r="BL205" s="185">
        <v>0</v>
      </c>
      <c r="BM205" s="185">
        <v>1</v>
      </c>
      <c r="BN205" s="185">
        <v>1</v>
      </c>
      <c r="BO205" s="185">
        <v>16700000</v>
      </c>
      <c r="BP205" s="185">
        <v>250</v>
      </c>
      <c r="BQ205" s="185" t="s">
        <v>352</v>
      </c>
      <c r="BR205" s="185" t="s">
        <v>69</v>
      </c>
      <c r="BS205" s="185"/>
      <c r="BT205" s="185"/>
      <c r="BU205" s="185" t="s">
        <v>352</v>
      </c>
      <c r="BV205" s="185" t="s">
        <v>69</v>
      </c>
      <c r="BW205">
        <v>0</v>
      </c>
    </row>
    <row r="206" spans="2:75" ht="22.5" customHeight="1" outlineLevel="1" x14ac:dyDescent="0.35">
      <c r="C206" s="61" t="s">
        <v>7</v>
      </c>
      <c r="D206" s="64"/>
      <c r="F206" s="78" t="str">
        <f t="shared" ref="F206:F214" si="173">IF(F$203="Inget antal angivet","",IFERROR(INDEX($AI$204:$BI$229,MATCH(F$200,$AG$204:$AG$229,0),MATCH($C206,$AI$204:$BI$204,0)),""))</f>
        <v/>
      </c>
      <c r="G206" s="79">
        <f t="shared" ref="G206:I214" ca="1" si="174">IFERROR(INDEX($AI$204:$BI$229,MATCH(G$200,$AG$204:$AG$229,0),MATCH($C206,$AI$204:$BI$204,0)),"")</f>
        <v>24</v>
      </c>
      <c r="H206" s="79">
        <f t="shared" ca="1" si="174"/>
        <v>23.8</v>
      </c>
      <c r="I206" s="120">
        <f t="shared" ca="1" si="174"/>
        <v>23.8</v>
      </c>
      <c r="J206" s="62"/>
      <c r="K206" s="196">
        <f t="shared" ca="1" si="154"/>
        <v>0</v>
      </c>
      <c r="L206" s="185" t="b">
        <f t="shared" si="155"/>
        <v>1</v>
      </c>
      <c r="M206" s="185" t="s">
        <v>150</v>
      </c>
      <c r="N206" s="185" t="str">
        <f t="shared" ca="1" si="156"/>
        <v>Offererad produktnr. 11Atea Sverige AB</v>
      </c>
      <c r="O206" s="185" cm="1">
        <f t="array" aca="1" ref="O206" ca="1">MIN(IF(($BH$205:$BH$216=M206)*($AH$205:$AH$216=$O$202),$V$205:$V$216))</f>
        <v>2034</v>
      </c>
      <c r="P206" s="197">
        <f ca="1">IFERROR(SMALL($V$205:$V$229,2),"")</f>
        <v>2034</v>
      </c>
      <c r="Q206" s="185">
        <f t="shared" si="157"/>
        <v>0</v>
      </c>
      <c r="R206" s="185">
        <f t="shared" si="158"/>
        <v>0</v>
      </c>
      <c r="S206" s="185">
        <f t="shared" si="159"/>
        <v>0</v>
      </c>
      <c r="T206" s="185">
        <f t="shared" si="160"/>
        <v>0</v>
      </c>
      <c r="U206" s="185">
        <f t="shared" si="161"/>
        <v>0</v>
      </c>
      <c r="V206" s="196">
        <f t="shared" ca="1" si="162"/>
        <v>3060</v>
      </c>
      <c r="W206" s="185" t="str">
        <f t="shared" si="163"/>
        <v>Offererad produktnr. 12Advania Sverige AB</v>
      </c>
      <c r="X206" s="185" t="b">
        <f>IF($D$206="",TRUE,IF(COUNTIF(Processor!$I$2:$I$9,$D$206)&gt;0,AND(AI206&gt;INDEX(Processor!$J$2:$J$9,MATCH($D$206,Processor!$I$2:$I$9,0)),AI206&lt;INDEX(Processor!$K$2:$K$9,MATCH($D$206,Processor!$I$2:$I$9,0))),IF(AI206=$D$206,TRUE,FALSE)))</f>
        <v>1</v>
      </c>
      <c r="Y206" s="185" t="b">
        <f t="shared" si="164"/>
        <v>1</v>
      </c>
      <c r="Z206" s="185" t="b">
        <f t="shared" si="165"/>
        <v>1</v>
      </c>
      <c r="AA206" s="185" t="b">
        <f t="shared" si="166"/>
        <v>1</v>
      </c>
      <c r="AB206" s="185" t="b">
        <f t="shared" si="167"/>
        <v>1</v>
      </c>
      <c r="AC206" s="185" t="b">
        <f t="shared" si="168"/>
        <v>1</v>
      </c>
      <c r="AD206" s="185"/>
      <c r="AE206" s="185" t="b">
        <f t="shared" si="169"/>
        <v>1</v>
      </c>
      <c r="AF206" s="185" t="b">
        <f>IFERROR(IF($D213="",TRUE,IF(MID(AT206,LEN(AT206)-2,1)*1&gt;=MID($D213,LEN($D213)-2,1)*1,TRUE,FALSE)),FALSE)</f>
        <v>1</v>
      </c>
      <c r="AG206" s="185" t="s">
        <v>209</v>
      </c>
      <c r="AH206" s="201">
        <v>1</v>
      </c>
      <c r="AI206" s="185">
        <f t="shared" ca="1" si="170"/>
        <v>27</v>
      </c>
      <c r="AJ206" s="185" t="str">
        <f t="shared" ca="1" si="170"/>
        <v>2560x1440</v>
      </c>
      <c r="AK206" s="185">
        <f t="shared" ca="1" si="170"/>
        <v>4</v>
      </c>
      <c r="AL206" s="185">
        <f t="shared" ca="1" si="170"/>
        <v>0</v>
      </c>
      <c r="AM206" s="185">
        <f t="shared" ca="1" si="170"/>
        <v>1</v>
      </c>
      <c r="AN206" s="185">
        <f t="shared" ca="1" si="170"/>
        <v>16700000</v>
      </c>
      <c r="AO206" s="185">
        <f t="shared" ca="1" si="170"/>
        <v>350</v>
      </c>
      <c r="AP206" s="185" t="str">
        <f t="shared" ca="1" si="170"/>
        <v>Version 8.0</v>
      </c>
      <c r="AQ206" s="185" t="str">
        <f t="shared" ca="1" si="170"/>
        <v>Ja</v>
      </c>
      <c r="AR206" s="185">
        <f t="shared" ca="1" si="170"/>
        <v>0</v>
      </c>
      <c r="AS206" s="185">
        <f t="shared" ca="1" si="171"/>
        <v>0</v>
      </c>
      <c r="AT206" s="185" t="str">
        <f t="shared" ca="1" si="171"/>
        <v>Version 8.0</v>
      </c>
      <c r="AU206" s="185" t="str">
        <f t="shared" ca="1" si="171"/>
        <v>Ja</v>
      </c>
      <c r="AV206" s="185">
        <f t="shared" ca="1" si="171"/>
        <v>0</v>
      </c>
      <c r="AW206" s="185" t="str">
        <f t="shared" ca="1" si="171"/>
        <v>HP E27q G5 - E-Series</v>
      </c>
      <c r="AX206" s="185">
        <f t="shared" ca="1" si="171"/>
        <v>3060</v>
      </c>
      <c r="AY206" s="192">
        <f t="shared" ca="1" si="171"/>
        <v>815</v>
      </c>
      <c r="AZ206" s="192">
        <f t="shared" ca="1" si="171"/>
        <v>101</v>
      </c>
      <c r="BA206" s="192">
        <f t="shared" ca="1" si="171"/>
        <v>50</v>
      </c>
      <c r="BB206" s="192">
        <f t="shared" ca="1" si="171"/>
        <v>50</v>
      </c>
      <c r="BC206" s="192" t="str">
        <f t="shared" ca="1" si="172"/>
        <v>eSTUFF</v>
      </c>
      <c r="BD206" s="192" t="str">
        <f t="shared" ca="1" si="172"/>
        <v>GLBB27598337 - Filter för personlig integritet - 2-vägs - 27" - svart</v>
      </c>
      <c r="BE206" s="192" t="str">
        <f t="shared" ca="1" si="172"/>
        <v>False</v>
      </c>
      <c r="BF206" s="192" t="str">
        <f t="shared" ca="1" si="172"/>
        <v>False</v>
      </c>
      <c r="BG206" s="192" t="str">
        <f t="shared" ca="1" si="172"/>
        <v>False</v>
      </c>
      <c r="BH206" s="192" t="str">
        <f t="shared" ca="1" si="172"/>
        <v>Advania Sverige AB</v>
      </c>
      <c r="BI206" s="192" t="str">
        <f t="shared" ca="1" si="172"/>
        <v>HP</v>
      </c>
      <c r="BJ206" s="199">
        <v>24</v>
      </c>
      <c r="BK206" s="185" t="s">
        <v>92</v>
      </c>
      <c r="BL206" s="185">
        <v>2</v>
      </c>
      <c r="BM206" s="185">
        <v>2</v>
      </c>
      <c r="BN206" s="185"/>
      <c r="BO206" s="185">
        <v>1070000000</v>
      </c>
      <c r="BP206" s="185">
        <v>300</v>
      </c>
      <c r="BQ206" s="185"/>
      <c r="BR206" s="185"/>
      <c r="BS206" s="185"/>
      <c r="BT206" s="185"/>
      <c r="BU206" s="185"/>
      <c r="BV206" s="185"/>
      <c r="BW206">
        <v>0</v>
      </c>
    </row>
    <row r="207" spans="2:75" ht="22.5" customHeight="1" outlineLevel="1" x14ac:dyDescent="0.35">
      <c r="C207" s="61" t="s">
        <v>2</v>
      </c>
      <c r="D207" s="64"/>
      <c r="F207" s="78" t="str">
        <f t="shared" si="173"/>
        <v/>
      </c>
      <c r="G207" s="79" t="str">
        <f t="shared" ca="1" si="174"/>
        <v>1920x1080</v>
      </c>
      <c r="H207" s="79" t="str">
        <f t="shared" ca="1" si="174"/>
        <v>1920x1080</v>
      </c>
      <c r="I207" s="120" t="str">
        <f t="shared" ca="1" si="174"/>
        <v>1920x1080</v>
      </c>
      <c r="J207" s="62"/>
      <c r="K207" s="196">
        <f t="shared" ca="1" si="154"/>
        <v>0</v>
      </c>
      <c r="L207" s="185" t="b">
        <f t="shared" si="155"/>
        <v>1</v>
      </c>
      <c r="M207" s="185" t="s">
        <v>128</v>
      </c>
      <c r="N207" s="185" t="str">
        <f t="shared" ca="1" si="156"/>
        <v>Offererad produktnr. 11Dustin Sverige AB</v>
      </c>
      <c r="O207" s="185" cm="1">
        <f t="array" aca="1" ref="O207" ca="1">MIN(IF(($BH$205:$BH$216=M207)*($AH$205:$AH$216=$O$202),$V$205:$V$216))</f>
        <v>2190</v>
      </c>
      <c r="P207" s="197">
        <f ca="1">IFERROR(SMALL($V$205:$V$229,3),"")</f>
        <v>2076</v>
      </c>
      <c r="Q207" s="185">
        <f t="shared" si="157"/>
        <v>0</v>
      </c>
      <c r="R207" s="185">
        <f t="shared" si="158"/>
        <v>0</v>
      </c>
      <c r="S207" s="185">
        <f t="shared" si="159"/>
        <v>0</v>
      </c>
      <c r="T207" s="185">
        <f t="shared" si="160"/>
        <v>0</v>
      </c>
      <c r="U207" s="185">
        <f t="shared" si="161"/>
        <v>0</v>
      </c>
      <c r="V207" s="196">
        <f t="shared" ca="1" si="162"/>
        <v>2034</v>
      </c>
      <c r="W207" s="185" t="str">
        <f t="shared" si="163"/>
        <v>Offererad produktnr. 11Atea Sverige AB</v>
      </c>
      <c r="X207" s="185" t="b">
        <f>IF($D$206="",TRUE,IF(COUNTIF(Processor!$I$2:$I$9,$D$206)&gt;0,AND(AI207&gt;INDEX(Processor!$J$2:$J$9,MATCH($D$206,Processor!$I$2:$I$9,0)),AI207&lt;INDEX(Processor!$K$2:$K$9,MATCH($D$206,Processor!$I$2:$I$9,0))),IF(AI207=$D$206,TRUE,FALSE)))</f>
        <v>1</v>
      </c>
      <c r="Y207" s="185" t="b">
        <f t="shared" si="164"/>
        <v>1</v>
      </c>
      <c r="Z207" s="185" t="b">
        <f t="shared" si="165"/>
        <v>1</v>
      </c>
      <c r="AA207" s="185" t="b">
        <f t="shared" si="166"/>
        <v>1</v>
      </c>
      <c r="AB207" s="185" t="b">
        <f t="shared" si="167"/>
        <v>1</v>
      </c>
      <c r="AC207" s="185" t="b">
        <f t="shared" si="168"/>
        <v>1</v>
      </c>
      <c r="AD207" s="185"/>
      <c r="AE207" s="185" t="b">
        <f t="shared" si="169"/>
        <v>1</v>
      </c>
      <c r="AF207" s="185" t="b">
        <f>IFERROR(IF($D213="",TRUE,IF(MID(AT207,LEN(AT207)-2,1)*1&gt;=MID($D213,LEN($D213)-2,1)*1,TRUE,FALSE)),FALSE)</f>
        <v>1</v>
      </c>
      <c r="AG207" s="185" t="s">
        <v>196</v>
      </c>
      <c r="AH207" s="201">
        <v>1</v>
      </c>
      <c r="AI207" s="185">
        <f t="shared" ca="1" si="170"/>
        <v>23.8</v>
      </c>
      <c r="AJ207" s="185" t="str">
        <f t="shared" ca="1" si="170"/>
        <v>1920x1080</v>
      </c>
      <c r="AK207" s="185">
        <f t="shared" ca="1" si="170"/>
        <v>2</v>
      </c>
      <c r="AL207" s="185">
        <f t="shared" ca="1" si="170"/>
        <v>0</v>
      </c>
      <c r="AM207" s="185">
        <f t="shared" ca="1" si="170"/>
        <v>1</v>
      </c>
      <c r="AN207" s="185">
        <f t="shared" ca="1" si="170"/>
        <v>16700000</v>
      </c>
      <c r="AO207" s="185">
        <f t="shared" ca="1" si="170"/>
        <v>250</v>
      </c>
      <c r="AP207" s="185" t="str">
        <f t="shared" ca="1" si="170"/>
        <v>Version 8.0</v>
      </c>
      <c r="AQ207" s="185" t="str">
        <f t="shared" ca="1" si="170"/>
        <v>Ja</v>
      </c>
      <c r="AR207" s="185">
        <f t="shared" ca="1" si="170"/>
        <v>0</v>
      </c>
      <c r="AS207" s="185">
        <f t="shared" ca="1" si="171"/>
        <v>0</v>
      </c>
      <c r="AT207" s="185" t="str">
        <f t="shared" ca="1" si="171"/>
        <v>Version 8.0</v>
      </c>
      <c r="AU207" s="185" t="str">
        <f t="shared" ca="1" si="171"/>
        <v>Ja</v>
      </c>
      <c r="AV207" s="185">
        <f t="shared" ca="1" si="171"/>
        <v>0</v>
      </c>
      <c r="AW207" s="185" t="str">
        <f t="shared" ca="1" si="171"/>
        <v>F24T450FQR</v>
      </c>
      <c r="AX207" s="185">
        <f t="shared" ca="1" si="171"/>
        <v>2034</v>
      </c>
      <c r="AY207" s="192">
        <f t="shared" ca="1" si="171"/>
        <v>778</v>
      </c>
      <c r="AZ207" s="192">
        <f t="shared" ca="1" si="171"/>
        <v>94</v>
      </c>
      <c r="BA207" s="192">
        <f t="shared" ca="1" si="171"/>
        <v>85</v>
      </c>
      <c r="BB207" s="192">
        <f t="shared" ca="1" si="171"/>
        <v>100</v>
      </c>
      <c r="BC207" s="192" t="str">
        <f t="shared" ca="1" si="172"/>
        <v>Targus</v>
      </c>
      <c r="BD207" s="192" t="str">
        <f t="shared" ca="1" si="172"/>
        <v>Targus Privacy Screen - filter för personlig integritet - 23,8 tum bred</v>
      </c>
      <c r="BE207" s="192" t="str">
        <f t="shared" ca="1" si="172"/>
        <v>False</v>
      </c>
      <c r="BF207" s="192" t="str">
        <f t="shared" ca="1" si="172"/>
        <v>False</v>
      </c>
      <c r="BG207" s="192" t="str">
        <f t="shared" ca="1" si="172"/>
        <v>False</v>
      </c>
      <c r="BH207" s="192" t="str">
        <f t="shared" ca="1" si="172"/>
        <v>Atea Sverige AB</v>
      </c>
      <c r="BI207" s="192" t="str">
        <f t="shared" ca="1" si="172"/>
        <v>Samsung</v>
      </c>
      <c r="BJ207" s="199">
        <v>27</v>
      </c>
      <c r="BK207" s="185"/>
      <c r="BL207" s="185">
        <v>4</v>
      </c>
      <c r="BM207" s="185"/>
      <c r="BN207" s="185"/>
      <c r="BO207" s="185"/>
      <c r="BP207" s="185">
        <v>350</v>
      </c>
      <c r="BQ207" s="185"/>
      <c r="BR207" s="185"/>
      <c r="BS207" s="185"/>
      <c r="BT207" s="185"/>
      <c r="BU207" s="185"/>
      <c r="BV207" s="185"/>
    </row>
    <row r="208" spans="2:75" ht="22.5" customHeight="1" outlineLevel="1" x14ac:dyDescent="0.35">
      <c r="B208" t="s">
        <v>272</v>
      </c>
      <c r="C208" s="61" t="s">
        <v>67</v>
      </c>
      <c r="D208" s="64"/>
      <c r="F208" s="78" t="str">
        <f t="shared" si="173"/>
        <v/>
      </c>
      <c r="G208" s="79">
        <f t="shared" ca="1" si="174"/>
        <v>4</v>
      </c>
      <c r="H208" s="79">
        <f t="shared" ca="1" si="174"/>
        <v>2</v>
      </c>
      <c r="I208" s="120">
        <f t="shared" ca="1" si="174"/>
        <v>5</v>
      </c>
      <c r="J208" s="62"/>
      <c r="K208" s="196">
        <f t="shared" ca="1" si="154"/>
        <v>0</v>
      </c>
      <c r="L208" s="185" t="b">
        <f t="shared" si="155"/>
        <v>1</v>
      </c>
      <c r="M208" s="185" t="s">
        <v>169</v>
      </c>
      <c r="N208" s="185" t="str">
        <f t="shared" ca="1" si="156"/>
        <v>Offererad produktnr. 11Foxway Education AB</v>
      </c>
      <c r="O208" s="185" cm="1">
        <f t="array" aca="1" ref="O208" ca="1">MIN(IF(($BH$205:$BH$216=M208)*($AH$205:$AH$216=$O$202),$V$205:$V$216))</f>
        <v>2361</v>
      </c>
      <c r="P208" s="197"/>
      <c r="Q208" s="185">
        <f t="shared" si="157"/>
        <v>0</v>
      </c>
      <c r="R208" s="185">
        <f t="shared" si="158"/>
        <v>0</v>
      </c>
      <c r="S208" s="185">
        <f t="shared" si="159"/>
        <v>0</v>
      </c>
      <c r="T208" s="185">
        <f t="shared" si="160"/>
        <v>0</v>
      </c>
      <c r="U208" s="185">
        <f t="shared" si="161"/>
        <v>0</v>
      </c>
      <c r="V208" s="196">
        <f t="shared" ca="1" si="162"/>
        <v>3234</v>
      </c>
      <c r="W208" s="185" t="str">
        <f t="shared" si="163"/>
        <v>Offererad produktnr. 12Atea Sverige AB</v>
      </c>
      <c r="X208" s="185" t="b">
        <f>IF($D$206="",TRUE,IF(COUNTIF(Processor!$I$2:$I$9,$D$206)&gt;0,AND(AI208&gt;INDEX(Processor!$J$2:$J$9,MATCH($D$206,Processor!$I$2:$I$9,0)),AI208&lt;INDEX(Processor!$K$2:$K$9,MATCH($D$206,Processor!$I$2:$I$9,0))),IF(AI208=$D$206,TRUE,FALSE)))</f>
        <v>1</v>
      </c>
      <c r="Y208" s="185" t="b">
        <f t="shared" si="164"/>
        <v>1</v>
      </c>
      <c r="Z208" s="185" t="b">
        <f t="shared" si="165"/>
        <v>1</v>
      </c>
      <c r="AA208" s="185" t="b">
        <f t="shared" si="166"/>
        <v>1</v>
      </c>
      <c r="AB208" s="185" t="b">
        <f t="shared" si="167"/>
        <v>1</v>
      </c>
      <c r="AC208" s="185" t="b">
        <f t="shared" si="168"/>
        <v>1</v>
      </c>
      <c r="AD208" s="185"/>
      <c r="AE208" s="185" t="b">
        <f t="shared" si="169"/>
        <v>1</v>
      </c>
      <c r="AF208" s="185" t="b">
        <f>IFERROR(IF($D213="",TRUE,IF(MID(AT208,LEN(AT208)-2,1)*1&gt;=MID($D213,LEN($D213)-2,1)*1,TRUE,FALSE)),FALSE)</f>
        <v>1</v>
      </c>
      <c r="AG208" s="185" t="s">
        <v>197</v>
      </c>
      <c r="AH208" s="201">
        <v>1</v>
      </c>
      <c r="AI208" s="185">
        <f t="shared" ca="1" si="170"/>
        <v>27</v>
      </c>
      <c r="AJ208" s="185" t="str">
        <f t="shared" ca="1" si="170"/>
        <v>2560x1440</v>
      </c>
      <c r="AK208" s="185">
        <f t="shared" ca="1" si="170"/>
        <v>4</v>
      </c>
      <c r="AL208" s="185">
        <f t="shared" ca="1" si="170"/>
        <v>0</v>
      </c>
      <c r="AM208" s="185">
        <f t="shared" ca="1" si="170"/>
        <v>1</v>
      </c>
      <c r="AN208" s="185">
        <f t="shared" ca="1" si="170"/>
        <v>1070000000</v>
      </c>
      <c r="AO208" s="185">
        <f t="shared" ca="1" si="170"/>
        <v>300</v>
      </c>
      <c r="AP208" s="185" t="str">
        <f t="shared" ca="1" si="170"/>
        <v>Version 8.0</v>
      </c>
      <c r="AQ208" s="185" t="str">
        <f t="shared" ca="1" si="170"/>
        <v>Ja</v>
      </c>
      <c r="AR208" s="185">
        <f t="shared" ca="1" si="170"/>
        <v>0</v>
      </c>
      <c r="AS208" s="185">
        <f t="shared" ca="1" si="171"/>
        <v>0</v>
      </c>
      <c r="AT208" s="185" t="str">
        <f t="shared" ca="1" si="171"/>
        <v>Version 8.0</v>
      </c>
      <c r="AU208" s="185" t="str">
        <f t="shared" ca="1" si="171"/>
        <v>Ja</v>
      </c>
      <c r="AV208" s="185">
        <f t="shared" ca="1" si="171"/>
        <v>0</v>
      </c>
      <c r="AW208" s="185" t="str">
        <f t="shared" ca="1" si="171"/>
        <v>S27A600NAU</v>
      </c>
      <c r="AX208" s="185">
        <f t="shared" ca="1" si="171"/>
        <v>3234</v>
      </c>
      <c r="AY208" s="192">
        <f t="shared" ca="1" si="171"/>
        <v>1020</v>
      </c>
      <c r="AZ208" s="192">
        <f t="shared" ca="1" si="171"/>
        <v>164</v>
      </c>
      <c r="BA208" s="192">
        <f t="shared" ca="1" si="171"/>
        <v>85</v>
      </c>
      <c r="BB208" s="192">
        <f t="shared" ca="1" si="171"/>
        <v>100</v>
      </c>
      <c r="BC208" s="192" t="str">
        <f t="shared" ca="1" si="172"/>
        <v>Targus</v>
      </c>
      <c r="BD208" s="192" t="str">
        <f t="shared" ca="1" si="172"/>
        <v>Targus Privacy Screen 27" Widescreen (16:9) - filter för personlig integritet - 27 tum bred</v>
      </c>
      <c r="BE208" s="192" t="str">
        <f t="shared" ca="1" si="172"/>
        <v>False</v>
      </c>
      <c r="BF208" s="192" t="str">
        <f t="shared" ca="1" si="172"/>
        <v>False</v>
      </c>
      <c r="BG208" s="192" t="str">
        <f t="shared" ca="1" si="172"/>
        <v>False</v>
      </c>
      <c r="BH208" s="192" t="str">
        <f t="shared" ca="1" si="172"/>
        <v>Atea Sverige AB</v>
      </c>
      <c r="BI208" s="192" t="str">
        <f t="shared" ca="1" si="172"/>
        <v>Samsung</v>
      </c>
      <c r="BJ208" s="199"/>
      <c r="BK208" s="185"/>
      <c r="BL208" s="185">
        <v>5</v>
      </c>
      <c r="BM208" s="185"/>
      <c r="BN208" s="185"/>
      <c r="BO208" s="185"/>
      <c r="BP208" s="185"/>
      <c r="BQ208" s="185"/>
      <c r="BR208" s="185"/>
      <c r="BS208" s="185"/>
      <c r="BT208" s="185"/>
      <c r="BU208" s="185"/>
      <c r="BV208" s="185"/>
    </row>
    <row r="209" spans="2:61" ht="22.5" customHeight="1" outlineLevel="1" x14ac:dyDescent="0.35">
      <c r="C209" s="61" t="s">
        <v>68</v>
      </c>
      <c r="D209" s="64"/>
      <c r="F209" s="78" t="str">
        <f t="shared" si="173"/>
        <v/>
      </c>
      <c r="G209" s="79">
        <f t="shared" ca="1" si="174"/>
        <v>0</v>
      </c>
      <c r="H209" s="79">
        <f t="shared" ca="1" si="174"/>
        <v>0</v>
      </c>
      <c r="I209" s="120">
        <f t="shared" ca="1" si="174"/>
        <v>0</v>
      </c>
      <c r="J209" s="62"/>
      <c r="K209" s="196">
        <f t="shared" ca="1" si="154"/>
        <v>0</v>
      </c>
      <c r="L209" s="185" t="b">
        <f t="shared" si="155"/>
        <v>1</v>
      </c>
      <c r="M209" s="185" t="s">
        <v>167</v>
      </c>
      <c r="N209" s="185" t="str">
        <f t="shared" ca="1" si="156"/>
        <v/>
      </c>
      <c r="O209" s="185" cm="1">
        <f t="array" aca="1" ref="O209" ca="1">MIN(IF(($BH$205:$BH$216=M209)*($AH$205:$AH$216=$O$202),$V$205:$V$216))</f>
        <v>0</v>
      </c>
      <c r="P209" s="197"/>
      <c r="Q209" s="185">
        <f t="shared" si="157"/>
        <v>0</v>
      </c>
      <c r="R209" s="185">
        <f t="shared" si="158"/>
        <v>0</v>
      </c>
      <c r="S209" s="185">
        <f t="shared" si="159"/>
        <v>0</v>
      </c>
      <c r="T209" s="185">
        <f t="shared" si="160"/>
        <v>0</v>
      </c>
      <c r="U209" s="185">
        <f t="shared" si="161"/>
        <v>0</v>
      </c>
      <c r="V209" s="196">
        <f t="shared" ca="1" si="162"/>
        <v>2190</v>
      </c>
      <c r="W209" s="185" t="str">
        <f t="shared" si="163"/>
        <v>Offererad produktnr. 11Dustin Sverige AB</v>
      </c>
      <c r="X209" s="185" t="b">
        <f>IF($D$206="",TRUE,IF(COUNTIF(Processor!$I$2:$I$9,$D$206)&gt;0,AND(AI209&gt;INDEX(Processor!$J$2:$J$9,MATCH($D$206,Processor!$I$2:$I$9,0)),AI209&lt;INDEX(Processor!$K$2:$K$9,MATCH($D$206,Processor!$I$2:$I$9,0))),IF(AI209=$D$206,TRUE,FALSE)))</f>
        <v>1</v>
      </c>
      <c r="Y209" s="185" t="b">
        <f t="shared" si="164"/>
        <v>1</v>
      </c>
      <c r="Z209" s="185" t="b">
        <f t="shared" si="165"/>
        <v>1</v>
      </c>
      <c r="AA209" s="185" t="b">
        <f t="shared" si="166"/>
        <v>1</v>
      </c>
      <c r="AB209" s="185" t="b">
        <f t="shared" si="167"/>
        <v>1</v>
      </c>
      <c r="AC209" s="185" t="b">
        <f t="shared" si="168"/>
        <v>1</v>
      </c>
      <c r="AD209" s="185"/>
      <c r="AE209" s="185" t="b">
        <f t="shared" si="169"/>
        <v>1</v>
      </c>
      <c r="AF209" s="185" t="b">
        <f>IFERROR(IF($D213="",TRUE,IF(MID(AT209,LEN(AT209)-2,1)*1&gt;=MID($D213,LEN($D213)-2,1)*1,TRUE,FALSE)),FALSE)</f>
        <v>1</v>
      </c>
      <c r="AG209" s="185" t="s">
        <v>184</v>
      </c>
      <c r="AH209" s="201">
        <v>1</v>
      </c>
      <c r="AI209" s="185">
        <f t="shared" ca="1" si="170"/>
        <v>23.8</v>
      </c>
      <c r="AJ209" s="185" t="str">
        <f t="shared" ca="1" si="170"/>
        <v>1920x1080</v>
      </c>
      <c r="AK209" s="185">
        <f t="shared" ca="1" si="170"/>
        <v>0</v>
      </c>
      <c r="AL209" s="185">
        <f t="shared" ca="1" si="170"/>
        <v>0</v>
      </c>
      <c r="AM209" s="185">
        <f t="shared" ca="1" si="170"/>
        <v>1</v>
      </c>
      <c r="AN209" s="185">
        <f t="shared" ca="1" si="170"/>
        <v>16700000</v>
      </c>
      <c r="AO209" s="185">
        <f t="shared" ca="1" si="170"/>
        <v>250</v>
      </c>
      <c r="AP209" s="185" t="str">
        <f t="shared" ca="1" si="170"/>
        <v>Version 8.0</v>
      </c>
      <c r="AQ209" s="185" t="str">
        <f t="shared" ca="1" si="170"/>
        <v>Ja</v>
      </c>
      <c r="AR209" s="185">
        <f t="shared" ca="1" si="170"/>
        <v>0</v>
      </c>
      <c r="AS209" s="185">
        <f t="shared" ca="1" si="171"/>
        <v>0</v>
      </c>
      <c r="AT209" s="185" t="str">
        <f t="shared" ca="1" si="171"/>
        <v>Version 8.0</v>
      </c>
      <c r="AU209" s="185" t="str">
        <f t="shared" ca="1" si="171"/>
        <v>Ja</v>
      </c>
      <c r="AV209" s="185">
        <f t="shared" ca="1" si="171"/>
        <v>0</v>
      </c>
      <c r="AW209" s="185" t="str">
        <f t="shared" ca="1" si="171"/>
        <v>HP P24h G5</v>
      </c>
      <c r="AX209" s="185">
        <f t="shared" ca="1" si="171"/>
        <v>2190</v>
      </c>
      <c r="AY209" s="192">
        <f t="shared" ca="1" si="171"/>
        <v>620</v>
      </c>
      <c r="AZ209" s="192">
        <f t="shared" ca="1" si="171"/>
        <v>28</v>
      </c>
      <c r="BA209" s="192">
        <f t="shared" ca="1" si="171"/>
        <v>20</v>
      </c>
      <c r="BB209" s="192">
        <f t="shared" ca="1" si="171"/>
        <v>20</v>
      </c>
      <c r="BC209" s="192" t="str">
        <f t="shared" ca="1" si="172"/>
        <v>Cirafon</v>
      </c>
      <c r="BD209" s="192" t="str">
        <f t="shared" ca="1" si="172"/>
        <v>DPF23.8-9</v>
      </c>
      <c r="BE209" s="192" t="str">
        <f t="shared" ca="1" si="172"/>
        <v>False</v>
      </c>
      <c r="BF209" s="192" t="str">
        <f t="shared" ca="1" si="172"/>
        <v>False</v>
      </c>
      <c r="BG209" s="192" t="str">
        <f t="shared" ca="1" si="172"/>
        <v>False</v>
      </c>
      <c r="BH209" s="192" t="str">
        <f t="shared" ca="1" si="172"/>
        <v>Dustin Sverige AB</v>
      </c>
      <c r="BI209" s="192" t="str">
        <f t="shared" ca="1" si="172"/>
        <v>HP</v>
      </c>
    </row>
    <row r="210" spans="2:61" ht="22.5" customHeight="1" outlineLevel="1" x14ac:dyDescent="0.35">
      <c r="C210" s="61" t="s">
        <v>73</v>
      </c>
      <c r="D210" s="64"/>
      <c r="F210" s="78" t="str">
        <f t="shared" si="173"/>
        <v/>
      </c>
      <c r="G210" s="79">
        <f t="shared" ca="1" si="174"/>
        <v>1</v>
      </c>
      <c r="H210" s="79">
        <f t="shared" ca="1" si="174"/>
        <v>1</v>
      </c>
      <c r="I210" s="120">
        <f t="shared" ca="1" si="174"/>
        <v>1</v>
      </c>
      <c r="J210" s="62"/>
      <c r="K210" s="196">
        <f t="shared" ca="1" si="154"/>
        <v>0</v>
      </c>
      <c r="L210" s="185" t="b">
        <f t="shared" si="155"/>
        <v>1</v>
      </c>
      <c r="M210" s="185" t="s">
        <v>546</v>
      </c>
      <c r="N210" s="185" t="str">
        <f t="shared" ca="1" si="156"/>
        <v>Offererad produktnr. 11Qlosr Göteborg AB</v>
      </c>
      <c r="O210" s="185" cm="1">
        <f t="array" aca="1" ref="O210" ca="1">MIN(IF(($BH$205:$BH$216=M210)*($AH$205:$AH$216=$O$202),$V$205:$V$216))</f>
        <v>2076</v>
      </c>
      <c r="P210" s="197"/>
      <c r="Q210" s="185">
        <f t="shared" si="157"/>
        <v>0</v>
      </c>
      <c r="R210" s="185">
        <f t="shared" si="158"/>
        <v>0</v>
      </c>
      <c r="S210" s="185">
        <f t="shared" si="159"/>
        <v>0</v>
      </c>
      <c r="T210" s="185">
        <f t="shared" si="160"/>
        <v>0</v>
      </c>
      <c r="U210" s="185">
        <f t="shared" si="161"/>
        <v>0</v>
      </c>
      <c r="V210" s="196">
        <f t="shared" ca="1" si="162"/>
        <v>3010</v>
      </c>
      <c r="W210" s="185" t="str">
        <f t="shared" si="163"/>
        <v>Offererad produktnr. 12Dustin Sverige AB</v>
      </c>
      <c r="X210" s="185" t="b">
        <f>IF($D$206="",TRUE,IF(COUNTIF(Processor!$I$2:$I$9,$D$206)&gt;0,AND(AI210&gt;INDEX(Processor!$J$2:$J$9,MATCH($D$206,Processor!$I$2:$I$9,0)),AI210&lt;INDEX(Processor!$K$2:$K$9,MATCH($D$206,Processor!$I$2:$I$9,0))),IF(AI210=$D$206,TRUE,FALSE)))</f>
        <v>1</v>
      </c>
      <c r="Y210" s="185" t="b">
        <f t="shared" si="164"/>
        <v>1</v>
      </c>
      <c r="Z210" s="185" t="b">
        <f t="shared" si="165"/>
        <v>1</v>
      </c>
      <c r="AA210" s="185" t="b">
        <f t="shared" si="166"/>
        <v>1</v>
      </c>
      <c r="AB210" s="185" t="b">
        <f t="shared" si="167"/>
        <v>1</v>
      </c>
      <c r="AC210" s="185" t="b">
        <f t="shared" si="168"/>
        <v>1</v>
      </c>
      <c r="AD210" s="185"/>
      <c r="AE210" s="185" t="b">
        <f t="shared" si="169"/>
        <v>1</v>
      </c>
      <c r="AF210" s="185" t="b">
        <f>IFERROR(IF($D213="",TRUE,IF(MID(AT210,LEN(AT210)-2,1)*1&gt;=MID($D213,LEN($D213)-2,1)*1,TRUE,FALSE)),FALSE)</f>
        <v>1</v>
      </c>
      <c r="AG210" s="185" t="s">
        <v>185</v>
      </c>
      <c r="AH210" s="201">
        <v>1</v>
      </c>
      <c r="AI210" s="185">
        <f t="shared" ca="1" si="170"/>
        <v>27</v>
      </c>
      <c r="AJ210" s="185" t="str">
        <f t="shared" ca="1" si="170"/>
        <v>2560x1440</v>
      </c>
      <c r="AK210" s="185">
        <f t="shared" ca="1" si="170"/>
        <v>4</v>
      </c>
      <c r="AL210" s="185">
        <f t="shared" ca="1" si="170"/>
        <v>0</v>
      </c>
      <c r="AM210" s="185">
        <f t="shared" ca="1" si="170"/>
        <v>1</v>
      </c>
      <c r="AN210" s="185">
        <f t="shared" ca="1" si="170"/>
        <v>16700000</v>
      </c>
      <c r="AO210" s="185">
        <f t="shared" ca="1" si="170"/>
        <v>350</v>
      </c>
      <c r="AP210" s="185" t="str">
        <f t="shared" ca="1" si="170"/>
        <v>Version 8.0</v>
      </c>
      <c r="AQ210" s="185" t="str">
        <f t="shared" ca="1" si="170"/>
        <v>Ja</v>
      </c>
      <c r="AR210" s="185">
        <f t="shared" ca="1" si="170"/>
        <v>0</v>
      </c>
      <c r="AS210" s="185">
        <f t="shared" ca="1" si="171"/>
        <v>0</v>
      </c>
      <c r="AT210" s="185" t="str">
        <f t="shared" ca="1" si="171"/>
        <v>Version 8.0</v>
      </c>
      <c r="AU210" s="185" t="str">
        <f t="shared" ca="1" si="171"/>
        <v>Ja</v>
      </c>
      <c r="AV210" s="185">
        <f t="shared" ca="1" si="171"/>
        <v>0</v>
      </c>
      <c r="AW210" s="185" t="str">
        <f t="shared" ca="1" si="171"/>
        <v>HP E27Q G5 PVC Free </v>
      </c>
      <c r="AX210" s="185">
        <f t="shared" ca="1" si="171"/>
        <v>3010</v>
      </c>
      <c r="AY210" s="192">
        <f t="shared" ca="1" si="171"/>
        <v>700</v>
      </c>
      <c r="AZ210" s="192">
        <f t="shared" ca="1" si="171"/>
        <v>28</v>
      </c>
      <c r="BA210" s="192">
        <f t="shared" ca="1" si="171"/>
        <v>20</v>
      </c>
      <c r="BB210" s="192">
        <f t="shared" ca="1" si="171"/>
        <v>20</v>
      </c>
      <c r="BC210" s="192" t="str">
        <f t="shared" ca="1" si="172"/>
        <v>Cirafon</v>
      </c>
      <c r="BD210" s="192" t="str">
        <f t="shared" ca="1" si="172"/>
        <v>DPF27-9</v>
      </c>
      <c r="BE210" s="192" t="str">
        <f t="shared" ca="1" si="172"/>
        <v>False</v>
      </c>
      <c r="BF210" s="192" t="str">
        <f t="shared" ca="1" si="172"/>
        <v>False</v>
      </c>
      <c r="BG210" s="192" t="str">
        <f t="shared" ca="1" si="172"/>
        <v>False</v>
      </c>
      <c r="BH210" s="192" t="str">
        <f t="shared" ca="1" si="172"/>
        <v>Dustin Sverige AB</v>
      </c>
      <c r="BI210" s="192" t="str">
        <f t="shared" ca="1" si="172"/>
        <v>HP</v>
      </c>
    </row>
    <row r="211" spans="2:61" ht="22.5" customHeight="1" outlineLevel="1" x14ac:dyDescent="0.35">
      <c r="C211" s="61" t="s">
        <v>13</v>
      </c>
      <c r="D211" s="135"/>
      <c r="F211" s="176" t="str">
        <f t="shared" si="173"/>
        <v/>
      </c>
      <c r="G211" s="136">
        <f t="shared" ca="1" si="174"/>
        <v>16700000</v>
      </c>
      <c r="H211" s="136">
        <f t="shared" ca="1" si="174"/>
        <v>16700000</v>
      </c>
      <c r="I211" s="137">
        <f t="shared" ca="1" si="174"/>
        <v>16700000</v>
      </c>
      <c r="J211" s="62"/>
      <c r="Q211" s="185">
        <f t="shared" si="157"/>
        <v>0</v>
      </c>
      <c r="R211" s="185">
        <f t="shared" si="158"/>
        <v>0</v>
      </c>
      <c r="S211" s="185">
        <f t="shared" si="159"/>
        <v>0</v>
      </c>
      <c r="T211" s="185">
        <f t="shared" si="160"/>
        <v>0</v>
      </c>
      <c r="U211" s="185">
        <f t="shared" si="161"/>
        <v>0</v>
      </c>
      <c r="V211" s="196">
        <f t="shared" ca="1" si="162"/>
        <v>2361</v>
      </c>
      <c r="W211" s="185" t="str">
        <f t="shared" si="163"/>
        <v>Offererad produktnr. 11Foxway Education AB</v>
      </c>
      <c r="X211" s="185" t="b">
        <f>IF($D$206="",TRUE,IF(COUNTIF(Processor!$I$2:$I$9,$D$206)&gt;0,AND(AI211&gt;INDEX(Processor!$J$2:$J$9,MATCH($D$206,Processor!$I$2:$I$9,0)),AI211&lt;INDEX(Processor!$K$2:$K$9,MATCH($D$206,Processor!$I$2:$I$9,0))),IF(AI211=$D$206,TRUE,FALSE)))</f>
        <v>1</v>
      </c>
      <c r="Y211" s="185" t="b">
        <f t="shared" si="164"/>
        <v>1</v>
      </c>
      <c r="Z211" s="185" t="b">
        <f t="shared" si="165"/>
        <v>1</v>
      </c>
      <c r="AA211" s="185" t="b">
        <f t="shared" si="166"/>
        <v>1</v>
      </c>
      <c r="AB211" s="185" t="b">
        <f t="shared" si="167"/>
        <v>1</v>
      </c>
      <c r="AC211" s="185" t="b">
        <f t="shared" si="168"/>
        <v>1</v>
      </c>
      <c r="AD211" s="185"/>
      <c r="AE211" s="185" t="b">
        <f t="shared" si="169"/>
        <v>1</v>
      </c>
      <c r="AF211" s="185" t="b">
        <f>IFERROR(IF($D213="",TRUE,IF(MID(AT211,LEN(AT211)-2,1)*1&gt;=MID($D213,LEN($D213)-2,1)*1,TRUE,FALSE)),FALSE)</f>
        <v>1</v>
      </c>
      <c r="AG211" s="185" t="s">
        <v>220</v>
      </c>
      <c r="AH211" s="201">
        <v>1</v>
      </c>
      <c r="AI211" s="185">
        <f t="shared" ca="1" si="170"/>
        <v>23.8</v>
      </c>
      <c r="AJ211" s="185" t="str">
        <f t="shared" ca="1" si="170"/>
        <v>1920x1080</v>
      </c>
      <c r="AK211" s="185">
        <f t="shared" ca="1" si="170"/>
        <v>0</v>
      </c>
      <c r="AL211" s="185">
        <f t="shared" ca="1" si="170"/>
        <v>0</v>
      </c>
      <c r="AM211" s="185">
        <f t="shared" ca="1" si="170"/>
        <v>1</v>
      </c>
      <c r="AN211" s="185">
        <f t="shared" ca="1" si="170"/>
        <v>16700000</v>
      </c>
      <c r="AO211" s="185">
        <f t="shared" ca="1" si="170"/>
        <v>250</v>
      </c>
      <c r="AP211" s="185" t="str">
        <f t="shared" ca="1" si="170"/>
        <v>Version 8.0</v>
      </c>
      <c r="AQ211" s="185" t="str">
        <f t="shared" ca="1" si="170"/>
        <v>Ja</v>
      </c>
      <c r="AR211" s="185">
        <f t="shared" ca="1" si="170"/>
        <v>0</v>
      </c>
      <c r="AS211" s="185">
        <f t="shared" ca="1" si="171"/>
        <v>0</v>
      </c>
      <c r="AT211" s="185" t="str">
        <f t="shared" ca="1" si="171"/>
        <v>Version 8.0</v>
      </c>
      <c r="AU211" s="185" t="str">
        <f t="shared" ca="1" si="171"/>
        <v>Ja</v>
      </c>
      <c r="AV211" s="185">
        <f t="shared" ca="1" si="171"/>
        <v>0</v>
      </c>
      <c r="AW211" s="185" t="str">
        <f t="shared" ca="1" si="171"/>
        <v>E24-29</v>
      </c>
      <c r="AX211" s="185">
        <f t="shared" ca="1" si="171"/>
        <v>2361</v>
      </c>
      <c r="AY211" s="192">
        <f t="shared" ca="1" si="171"/>
        <v>516</v>
      </c>
      <c r="AZ211" s="192">
        <f t="shared" ca="1" si="171"/>
        <v>90</v>
      </c>
      <c r="BA211" s="192">
        <f t="shared" ca="1" si="171"/>
        <v>60</v>
      </c>
      <c r="BB211" s="192">
        <f t="shared" ca="1" si="171"/>
        <v>50</v>
      </c>
      <c r="BC211" s="192" t="str">
        <f t="shared" ca="1" si="172"/>
        <v>Targus</v>
      </c>
      <c r="BD211" s="192" t="str">
        <f t="shared" ca="1" si="172"/>
        <v>Targus Privacy Screen 23.8"</v>
      </c>
      <c r="BE211" s="192" t="str">
        <f t="shared" ca="1" si="172"/>
        <v>False</v>
      </c>
      <c r="BF211" s="192" t="str">
        <f t="shared" ca="1" si="172"/>
        <v>False</v>
      </c>
      <c r="BG211" s="192" t="str">
        <f t="shared" ca="1" si="172"/>
        <v>False</v>
      </c>
      <c r="BH211" s="192" t="str">
        <f t="shared" ca="1" si="172"/>
        <v>Foxway Education AB</v>
      </c>
      <c r="BI211" s="192" t="str">
        <f t="shared" ca="1" si="172"/>
        <v>Lenovo</v>
      </c>
    </row>
    <row r="212" spans="2:61" ht="22.5" customHeight="1" outlineLevel="1" x14ac:dyDescent="0.35">
      <c r="C212" s="61" t="s">
        <v>14</v>
      </c>
      <c r="D212" s="64"/>
      <c r="F212" s="78" t="str">
        <f t="shared" si="173"/>
        <v/>
      </c>
      <c r="G212" s="79">
        <f t="shared" ca="1" si="174"/>
        <v>250</v>
      </c>
      <c r="H212" s="79">
        <f t="shared" ca="1" si="174"/>
        <v>250</v>
      </c>
      <c r="I212" s="120">
        <f t="shared" ca="1" si="174"/>
        <v>250</v>
      </c>
      <c r="J212" s="62"/>
      <c r="Q212" s="185">
        <f t="shared" si="157"/>
        <v>0</v>
      </c>
      <c r="R212" s="185">
        <f t="shared" si="158"/>
        <v>0</v>
      </c>
      <c r="S212" s="185">
        <f t="shared" si="159"/>
        <v>0</v>
      </c>
      <c r="T212" s="185">
        <f t="shared" si="160"/>
        <v>0</v>
      </c>
      <c r="U212" s="185">
        <f t="shared" si="161"/>
        <v>0</v>
      </c>
      <c r="V212" s="196">
        <f t="shared" ca="1" si="162"/>
        <v>3002</v>
      </c>
      <c r="W212" s="185" t="str">
        <f t="shared" si="163"/>
        <v>Offererad produktnr. 12Foxway Education AB</v>
      </c>
      <c r="X212" s="185" t="b">
        <f>IF($D$206="",TRUE,IF(COUNTIF(Processor!$I$2:$I$9,$D$206)&gt;0,AND(AI212&gt;INDEX(Processor!$J$2:$J$9,MATCH($D$206,Processor!$I$2:$I$9,0)),AI212&lt;INDEX(Processor!$K$2:$K$9,MATCH($D$206,Processor!$I$2:$I$9,0))),IF(AI212=$D$206,TRUE,FALSE)))</f>
        <v>1</v>
      </c>
      <c r="Y212" s="185" t="b">
        <f t="shared" si="164"/>
        <v>1</v>
      </c>
      <c r="Z212" s="185" t="b">
        <f t="shared" si="165"/>
        <v>1</v>
      </c>
      <c r="AA212" s="185" t="b">
        <f t="shared" si="166"/>
        <v>1</v>
      </c>
      <c r="AB212" s="185" t="b">
        <f t="shared" si="167"/>
        <v>1</v>
      </c>
      <c r="AC212" s="185" t="b">
        <f t="shared" si="168"/>
        <v>1</v>
      </c>
      <c r="AD212" s="185"/>
      <c r="AE212" s="185" t="b">
        <f t="shared" si="169"/>
        <v>1</v>
      </c>
      <c r="AF212" s="185" t="b">
        <f>IFERROR(IF($D213="",TRUE,IF(MID(AT212,LEN(AT212)-2,1)*1&gt;=MID($D213,LEN($D213)-2,1)*1,TRUE,FALSE)),FALSE)</f>
        <v>1</v>
      </c>
      <c r="AG212" s="185" t="s">
        <v>221</v>
      </c>
      <c r="AH212" s="201">
        <v>1</v>
      </c>
      <c r="AI212" s="185">
        <f t="shared" ca="1" si="170"/>
        <v>27</v>
      </c>
      <c r="AJ212" s="185" t="str">
        <f t="shared" ca="1" si="170"/>
        <v>2560x1440</v>
      </c>
      <c r="AK212" s="185">
        <f t="shared" ca="1" si="170"/>
        <v>0</v>
      </c>
      <c r="AL212" s="185">
        <f t="shared" ca="1" si="170"/>
        <v>0</v>
      </c>
      <c r="AM212" s="185">
        <f t="shared" ca="1" si="170"/>
        <v>1</v>
      </c>
      <c r="AN212" s="185">
        <f t="shared" ca="1" si="170"/>
        <v>16700000</v>
      </c>
      <c r="AO212" s="185">
        <f t="shared" ca="1" si="170"/>
        <v>350</v>
      </c>
      <c r="AP212" s="185" t="str">
        <f t="shared" ca="1" si="170"/>
        <v>Version 8.0</v>
      </c>
      <c r="AQ212" s="185" t="str">
        <f t="shared" ca="1" si="170"/>
        <v>Ja</v>
      </c>
      <c r="AR212" s="185">
        <f t="shared" ca="1" si="170"/>
        <v>0</v>
      </c>
      <c r="AS212" s="185">
        <f t="shared" ca="1" si="171"/>
        <v>0</v>
      </c>
      <c r="AT212" s="185" t="str">
        <f t="shared" ca="1" si="171"/>
        <v>Version 8.0</v>
      </c>
      <c r="AU212" s="185" t="str">
        <f t="shared" ca="1" si="171"/>
        <v>Ja</v>
      </c>
      <c r="AV212" s="185">
        <f t="shared" ca="1" si="171"/>
        <v>0</v>
      </c>
      <c r="AW212" s="185" t="str">
        <f t="shared" ca="1" si="171"/>
        <v>E27q-20</v>
      </c>
      <c r="AX212" s="185">
        <f t="shared" ca="1" si="171"/>
        <v>3002</v>
      </c>
      <c r="AY212" s="192">
        <f t="shared" ca="1" si="171"/>
        <v>672</v>
      </c>
      <c r="AZ212" s="192">
        <f t="shared" ca="1" si="171"/>
        <v>90</v>
      </c>
      <c r="BA212" s="192">
        <f t="shared" ca="1" si="171"/>
        <v>60</v>
      </c>
      <c r="BB212" s="192">
        <f t="shared" ca="1" si="171"/>
        <v>50</v>
      </c>
      <c r="BC212" s="192" t="str">
        <f t="shared" ca="1" si="172"/>
        <v>Targus</v>
      </c>
      <c r="BD212" s="192" t="str">
        <f t="shared" ca="1" si="172"/>
        <v>Targus Privacy Screen 27"</v>
      </c>
      <c r="BE212" s="192" t="str">
        <f t="shared" ca="1" si="172"/>
        <v>False</v>
      </c>
      <c r="BF212" s="192" t="str">
        <f t="shared" ca="1" si="172"/>
        <v>False</v>
      </c>
      <c r="BG212" s="192" t="str">
        <f t="shared" ca="1" si="172"/>
        <v>False</v>
      </c>
      <c r="BH212" s="192" t="str">
        <f t="shared" ca="1" si="172"/>
        <v>Foxway Education AB</v>
      </c>
      <c r="BI212" s="192" t="str">
        <f t="shared" ca="1" si="172"/>
        <v>Lenovo</v>
      </c>
    </row>
    <row r="213" spans="2:61" ht="22.5" customHeight="1" outlineLevel="1" x14ac:dyDescent="0.35">
      <c r="C213" s="61" t="s">
        <v>38</v>
      </c>
      <c r="D213" s="64"/>
      <c r="F213" s="78" t="str">
        <f t="shared" si="173"/>
        <v/>
      </c>
      <c r="G213" s="79" t="str">
        <f t="shared" ca="1" si="174"/>
        <v>Version 8.0</v>
      </c>
      <c r="H213" s="79" t="str">
        <f t="shared" ca="1" si="174"/>
        <v>Version 8.0</v>
      </c>
      <c r="I213" s="120" t="str">
        <f t="shared" ca="1" si="174"/>
        <v>Version 8.0</v>
      </c>
      <c r="J213" s="62"/>
      <c r="Q213" s="185">
        <f t="shared" si="157"/>
        <v>0</v>
      </c>
      <c r="R213" s="185">
        <f t="shared" si="158"/>
        <v>0</v>
      </c>
      <c r="S213" s="185">
        <f t="shared" si="159"/>
        <v>0</v>
      </c>
      <c r="T213" s="185">
        <f t="shared" si="160"/>
        <v>0</v>
      </c>
      <c r="U213" s="185">
        <f t="shared" si="161"/>
        <v>0</v>
      </c>
      <c r="V213" s="196">
        <f t="shared" ca="1" si="162"/>
        <v>2076</v>
      </c>
      <c r="W213" s="185" t="str">
        <f t="shared" si="163"/>
        <v>Offererad produktnr. 11Qlosr Göteborg AB</v>
      </c>
      <c r="X213" s="185" t="b">
        <f>IF($D$206="",TRUE,IF(COUNTIF(Processor!$I$2:$I$9,$D$206)&gt;0,AND(AI213&gt;INDEX(Processor!$J$2:$J$9,MATCH($D$206,Processor!$I$2:$I$9,0)),AI213&lt;INDEX(Processor!$K$2:$K$9,MATCH($D$206,Processor!$I$2:$I$9,0))),IF(AI213=$D$206,TRUE,FALSE)))</f>
        <v>1</v>
      </c>
      <c r="Y213" s="185" t="b">
        <f t="shared" si="164"/>
        <v>1</v>
      </c>
      <c r="Z213" s="185" t="b">
        <f t="shared" si="165"/>
        <v>1</v>
      </c>
      <c r="AA213" s="185" t="b">
        <f t="shared" si="166"/>
        <v>1</v>
      </c>
      <c r="AB213" s="185" t="b">
        <f t="shared" si="167"/>
        <v>1</v>
      </c>
      <c r="AC213" s="185" t="b">
        <f t="shared" si="168"/>
        <v>1</v>
      </c>
      <c r="AD213" s="185"/>
      <c r="AE213" s="185" t="b">
        <f t="shared" si="169"/>
        <v>1</v>
      </c>
      <c r="AF213" s="185" t="b">
        <f>IFERROR(IF($D213="",TRUE,IF(MID(AT213,LEN(AT213)-2,1)*1&gt;=MID($D213,LEN($D213)-2,1)*1,TRUE,FALSE)),FALSE)</f>
        <v>1</v>
      </c>
      <c r="AG213" s="185" t="s">
        <v>562</v>
      </c>
      <c r="AH213" s="201">
        <v>1</v>
      </c>
      <c r="AI213" s="185">
        <f t="shared" ca="1" si="170"/>
        <v>23.8</v>
      </c>
      <c r="AJ213" s="185" t="str">
        <f t="shared" ca="1" si="170"/>
        <v>1920x1080</v>
      </c>
      <c r="AK213" s="185">
        <f t="shared" ca="1" si="170"/>
        <v>5</v>
      </c>
      <c r="AL213" s="185">
        <f t="shared" ca="1" si="170"/>
        <v>0</v>
      </c>
      <c r="AM213" s="185">
        <f t="shared" ca="1" si="170"/>
        <v>1</v>
      </c>
      <c r="AN213" s="185">
        <f t="shared" ca="1" si="170"/>
        <v>16700000</v>
      </c>
      <c r="AO213" s="185">
        <f t="shared" ca="1" si="170"/>
        <v>250</v>
      </c>
      <c r="AP213" s="185" t="str">
        <f t="shared" ca="1" si="170"/>
        <v>Version 8.0</v>
      </c>
      <c r="AQ213" s="185" t="str">
        <f t="shared" ca="1" si="170"/>
        <v>Ja</v>
      </c>
      <c r="AR213" s="185">
        <f t="shared" ca="1" si="170"/>
        <v>0</v>
      </c>
      <c r="AS213" s="185">
        <f t="shared" ca="1" si="171"/>
        <v>0</v>
      </c>
      <c r="AT213" s="185" t="str">
        <f t="shared" ca="1" si="171"/>
        <v>Version 8.0</v>
      </c>
      <c r="AU213" s="185" t="str">
        <f t="shared" ca="1" si="171"/>
        <v>Ja</v>
      </c>
      <c r="AV213" s="185">
        <f t="shared" ca="1" si="171"/>
        <v>0</v>
      </c>
      <c r="AW213" s="185" t="str">
        <f t="shared" ca="1" si="171"/>
        <v>P2422h</v>
      </c>
      <c r="AX213" s="185">
        <f t="shared" ca="1" si="171"/>
        <v>2076</v>
      </c>
      <c r="AY213" s="192">
        <f t="shared" ca="1" si="171"/>
        <v>540</v>
      </c>
      <c r="AZ213" s="192">
        <f t="shared" ca="1" si="171"/>
        <v>89</v>
      </c>
      <c r="BA213" s="192">
        <f t="shared" ca="1" si="171"/>
        <v>25</v>
      </c>
      <c r="BB213" s="192">
        <f t="shared" ca="1" si="171"/>
        <v>25</v>
      </c>
      <c r="BC213" s="192" t="str">
        <f t="shared" ca="1" si="172"/>
        <v>Kapsolo</v>
      </c>
      <c r="BD213" s="192" t="str">
        <f t="shared" ca="1" si="172"/>
        <v>GBXKAP10786</v>
      </c>
      <c r="BE213" s="192" t="str">
        <f t="shared" ca="1" si="172"/>
        <v>False</v>
      </c>
      <c r="BF213" s="192" t="str">
        <f t="shared" ca="1" si="172"/>
        <v>False</v>
      </c>
      <c r="BG213" s="192" t="str">
        <f t="shared" ca="1" si="172"/>
        <v>False</v>
      </c>
      <c r="BH213" s="192" t="str">
        <f t="shared" ca="1" si="172"/>
        <v>Qlosr Göteborg AB</v>
      </c>
      <c r="BI213" s="192" t="str">
        <f t="shared" ca="1" si="172"/>
        <v>Dell</v>
      </c>
    </row>
    <row r="214" spans="2:61" ht="22.5" customHeight="1" outlineLevel="1" x14ac:dyDescent="0.35">
      <c r="C214" s="61" t="s">
        <v>37</v>
      </c>
      <c r="D214" s="64"/>
      <c r="F214" s="78" t="str">
        <f t="shared" si="173"/>
        <v/>
      </c>
      <c r="G214" s="79" t="str">
        <f t="shared" ca="1" si="174"/>
        <v>Ja</v>
      </c>
      <c r="H214" s="79" t="str">
        <f t="shared" ca="1" si="174"/>
        <v>Ja</v>
      </c>
      <c r="I214" s="120" t="str">
        <f t="shared" ca="1" si="174"/>
        <v>Ja</v>
      </c>
      <c r="J214" s="62"/>
      <c r="Q214" s="185">
        <f t="shared" si="157"/>
        <v>0</v>
      </c>
      <c r="R214" s="185">
        <f t="shared" si="158"/>
        <v>0</v>
      </c>
      <c r="S214" s="185">
        <f t="shared" si="159"/>
        <v>0</v>
      </c>
      <c r="T214" s="185">
        <f t="shared" si="160"/>
        <v>0</v>
      </c>
      <c r="U214" s="185">
        <f t="shared" si="161"/>
        <v>0</v>
      </c>
      <c r="V214" s="196">
        <f t="shared" ca="1" si="162"/>
        <v>2430</v>
      </c>
      <c r="W214" s="185" t="str">
        <f t="shared" si="163"/>
        <v>Offererad produktnr. 12Qlosr Göteborg AB</v>
      </c>
      <c r="X214" s="185" t="b">
        <f>IF($D$206="",TRUE,IF(COUNTIF(Processor!$I$2:$I$9,$D$206)&gt;0,AND(AI214&gt;INDEX(Processor!$J$2:$J$9,MATCH($D$206,Processor!$I$2:$I$9,0)),AI214&lt;INDEX(Processor!$K$2:$K$9,MATCH($D$206,Processor!$I$2:$I$9,0))),IF(AI214=$D$206,TRUE,FALSE)))</f>
        <v>1</v>
      </c>
      <c r="Y214" s="185" t="b">
        <f t="shared" si="164"/>
        <v>1</v>
      </c>
      <c r="Z214" s="185" t="b">
        <f t="shared" si="165"/>
        <v>1</v>
      </c>
      <c r="AA214" s="185" t="b">
        <f t="shared" si="166"/>
        <v>1</v>
      </c>
      <c r="AB214" s="185" t="b">
        <f t="shared" si="167"/>
        <v>1</v>
      </c>
      <c r="AC214" s="185" t="b">
        <f t="shared" si="168"/>
        <v>1</v>
      </c>
      <c r="AD214" s="185"/>
      <c r="AE214" s="185" t="b">
        <f t="shared" si="169"/>
        <v>1</v>
      </c>
      <c r="AF214" s="185" t="b">
        <f>IFERROR(IF($D213="",TRUE,IF(MID(AT214,LEN(AT214)-2,1)*1&gt;=MID($D213,LEN($D213)-2,1)*1,TRUE,FALSE)),FALSE)</f>
        <v>1</v>
      </c>
      <c r="AG214" s="185" t="s">
        <v>563</v>
      </c>
      <c r="AH214" s="201">
        <v>1</v>
      </c>
      <c r="AI214" s="185">
        <f t="shared" ca="1" si="170"/>
        <v>27</v>
      </c>
      <c r="AJ214" s="185" t="str">
        <f t="shared" ca="1" si="170"/>
        <v>2560x1440</v>
      </c>
      <c r="AK214" s="185">
        <f t="shared" ca="1" si="170"/>
        <v>0</v>
      </c>
      <c r="AL214" s="185">
        <f t="shared" ca="1" si="170"/>
        <v>0</v>
      </c>
      <c r="AM214" s="185">
        <f t="shared" ca="1" si="170"/>
        <v>1</v>
      </c>
      <c r="AN214" s="185">
        <f t="shared" ca="1" si="170"/>
        <v>16700000</v>
      </c>
      <c r="AO214" s="185">
        <f t="shared" ca="1" si="170"/>
        <v>350</v>
      </c>
      <c r="AP214" s="185" t="str">
        <f t="shared" ca="1" si="170"/>
        <v>Version 8.0</v>
      </c>
      <c r="AQ214" s="185" t="str">
        <f t="shared" ca="1" si="170"/>
        <v>Ja</v>
      </c>
      <c r="AR214" s="185">
        <f t="shared" ca="1" si="170"/>
        <v>0</v>
      </c>
      <c r="AS214" s="185">
        <f t="shared" ca="1" si="171"/>
        <v>0</v>
      </c>
      <c r="AT214" s="185" t="str">
        <f t="shared" ca="1" si="171"/>
        <v>Version 8.0</v>
      </c>
      <c r="AU214" s="185" t="str">
        <f t="shared" ca="1" si="171"/>
        <v>Ja</v>
      </c>
      <c r="AV214" s="185">
        <f t="shared" ca="1" si="171"/>
        <v>0</v>
      </c>
      <c r="AW214" s="185" t="str">
        <f t="shared" ca="1" si="171"/>
        <v>E27q-20</v>
      </c>
      <c r="AX214" s="185">
        <f t="shared" ca="1" si="171"/>
        <v>2430</v>
      </c>
      <c r="AY214" s="192">
        <f t="shared" ca="1" si="171"/>
        <v>669</v>
      </c>
      <c r="AZ214" s="192">
        <f t="shared" ca="1" si="171"/>
        <v>89</v>
      </c>
      <c r="BA214" s="192">
        <f t="shared" ca="1" si="171"/>
        <v>25</v>
      </c>
      <c r="BB214" s="192">
        <f t="shared" ca="1" si="171"/>
        <v>25</v>
      </c>
      <c r="BC214" s="192" t="str">
        <f t="shared" ca="1" si="172"/>
        <v>Kapsolo</v>
      </c>
      <c r="BD214" s="192" t="str">
        <f t="shared" ca="1" si="172"/>
        <v>GBXKAP11019</v>
      </c>
      <c r="BE214" s="192" t="str">
        <f t="shared" ca="1" si="172"/>
        <v>False</v>
      </c>
      <c r="BF214" s="192" t="str">
        <f t="shared" ca="1" si="172"/>
        <v>False</v>
      </c>
      <c r="BG214" s="192" t="str">
        <f t="shared" ca="1" si="172"/>
        <v>False</v>
      </c>
      <c r="BH214" s="192" t="str">
        <f t="shared" ca="1" si="172"/>
        <v>Qlosr Göteborg AB</v>
      </c>
      <c r="BI214" s="192" t="str">
        <f t="shared" ca="1" si="172"/>
        <v>Lenovo</v>
      </c>
    </row>
    <row r="215" spans="2:61" ht="22.5" customHeight="1" outlineLevel="1" x14ac:dyDescent="0.35">
      <c r="C215" s="66"/>
      <c r="D215" s="67"/>
      <c r="G215" s="62"/>
      <c r="H215" s="62"/>
      <c r="I215" s="62"/>
      <c r="J215" s="94"/>
      <c r="AH215" s="50"/>
      <c r="AY215" s="63"/>
      <c r="AZ215" s="63"/>
      <c r="BA215" s="63"/>
      <c r="BB215" s="63"/>
      <c r="BC215" s="63"/>
      <c r="BD215" s="63"/>
      <c r="BE215" s="63"/>
      <c r="BF215" s="63"/>
      <c r="BG215" s="63"/>
      <c r="BH215" s="63"/>
      <c r="BI215" s="63"/>
    </row>
    <row r="216" spans="2:61" ht="22.5" customHeight="1" outlineLevel="1" x14ac:dyDescent="0.35">
      <c r="C216" s="212" t="s">
        <v>366</v>
      </c>
      <c r="D216" s="213"/>
      <c r="E216" s="213"/>
      <c r="F216" s="213"/>
      <c r="G216" s="213"/>
      <c r="H216" s="213"/>
      <c r="I216" s="214"/>
      <c r="J216" s="62"/>
      <c r="AH216" s="50"/>
      <c r="AY216" s="63"/>
      <c r="AZ216" s="63"/>
      <c r="BA216" s="63"/>
      <c r="BB216" s="63"/>
      <c r="BC216" s="63"/>
      <c r="BD216" s="63"/>
      <c r="BE216" s="63"/>
      <c r="BF216" s="63"/>
      <c r="BG216" s="63"/>
      <c r="BH216" s="63"/>
      <c r="BI216" s="63"/>
    </row>
    <row r="217" spans="2:61" ht="22.5" customHeight="1" outlineLevel="1" x14ac:dyDescent="0.35">
      <c r="B217" s="69" t="s">
        <v>53</v>
      </c>
      <c r="C217" s="115" t="s">
        <v>77</v>
      </c>
      <c r="D217" s="70"/>
      <c r="F217" s="161" t="str">
        <f>IF(F$203="Inget antal angivet","",IFERROR(INDEX($AI$204:$BI$229,MATCH(F$200,$AG$204:$AG$229,0),MATCH($B217,$AI$204:$BI$204,0)),""))</f>
        <v/>
      </c>
      <c r="G217" s="162">
        <f ca="1">IFERROR(INDEX($AI$204:$BI$229,MATCH(G$200,$AG$204:$AG$229,0),MATCH($B217,$AI$204:$BI$204,0)),"")</f>
        <v>639</v>
      </c>
      <c r="H217" s="162">
        <f ca="1">IFERROR(INDEX($AI$204:$BI$229,MATCH(H$200,$AG$204:$AG$229,0),MATCH($B217,$AI$204:$BI$204,0)),"")</f>
        <v>778</v>
      </c>
      <c r="I217" s="162">
        <f ca="1">IFERROR(INDEX($AI$204:$BI$229,MATCH(I$200,$AG$204:$AG$229,0),MATCH($B217,$AI$204:$BI$204,0)),"")</f>
        <v>540</v>
      </c>
      <c r="J217" s="62"/>
      <c r="AY217" s="63"/>
      <c r="AZ217" s="63"/>
      <c r="BA217" s="63"/>
      <c r="BB217" s="63"/>
      <c r="BC217" s="63"/>
      <c r="BD217" s="63"/>
      <c r="BE217" s="63"/>
      <c r="BF217" s="63"/>
      <c r="BG217" s="63"/>
      <c r="BH217" s="63"/>
      <c r="BI217" s="63"/>
    </row>
    <row r="218" spans="2:61" ht="22.5" customHeight="1" outlineLevel="1" x14ac:dyDescent="0.35">
      <c r="B218" s="69" t="s">
        <v>340</v>
      </c>
      <c r="C218" s="96" t="s">
        <v>51</v>
      </c>
      <c r="D218" s="131" t="str">
        <f>IF("Ska Ingå"=D217,"Ska Ingå","")</f>
        <v/>
      </c>
      <c r="F218" s="84" t="str">
        <f>IF(F$203="Inget antal angivet","",IFERROR(INDEX($AI$204:$BI$229,MATCH(F$200,$AG$204:$AG$229,0),MATCH($B218,$AI$204:$BI$204,0)),""))</f>
        <v/>
      </c>
      <c r="G218" s="85" t="str">
        <f ca="1">IFERROR(INDEX($AI$204:$BI$229,MATCH(G$200,$AG$204:$AG$229,0),MATCH($B218,$AI$204:$BI$204,0)),"")</f>
        <v>eSTUFF</v>
      </c>
      <c r="H218" s="85" t="str">
        <f ca="1">IFERROR(INDEX($AI$204:$BI$229,MATCH(H$200,$AG$204:$AG$229,0),MATCH($B218,$AI$204:$BI$204,0)),"")</f>
        <v>Targus</v>
      </c>
      <c r="I218" s="85" t="str">
        <f ca="1">IFERROR(INDEX($AI$204:$BI$229,MATCH(I$200,$AG$204:$AG$229,0),MATCH($C218,$AI$204:$BI$204,0)),"")</f>
        <v>Dell</v>
      </c>
      <c r="J218" s="62"/>
      <c r="AY218" s="63"/>
      <c r="AZ218" s="63"/>
      <c r="BA218" s="63"/>
      <c r="BB218" s="63"/>
      <c r="BC218" s="63"/>
      <c r="BD218" s="63"/>
      <c r="BE218" s="63"/>
      <c r="BF218" s="63"/>
      <c r="BG218" s="63"/>
      <c r="BH218" s="63"/>
      <c r="BI218" s="63"/>
    </row>
    <row r="219" spans="2:61" ht="64.5" customHeight="1" outlineLevel="1" x14ac:dyDescent="0.35">
      <c r="B219" s="71" t="s">
        <v>345</v>
      </c>
      <c r="C219" s="116" t="s">
        <v>52</v>
      </c>
      <c r="D219" s="132" t="str">
        <f>IF("Ska Ingå"=D217,"Ska Ingå","")</f>
        <v/>
      </c>
      <c r="F219" s="117" t="str">
        <f>IF(F$203="Inget antal angivet","",IFERROR(INDEX($AI$204:$BI$229,MATCH(F$200,$AG$204:$AG$229,0),MATCH($B219,$AI$204:$BI$204,0)),""))</f>
        <v/>
      </c>
      <c r="G219" s="118" t="str">
        <f ca="1">IFERROR(INDEX($AI$204:$BI$229,MATCH(G$200,$AG$204:$AG$229,0),MATCH($B219,$AI$204:$BI$204,0)),"")</f>
        <v>GLBB24519325 -  Filter för personlig integritet - 2-vägs - 24" - svart</v>
      </c>
      <c r="H219" s="118" t="str">
        <f ca="1">IFERROR(INDEX($AI$204:$BI$229,MATCH(H$200,$AG$204:$AG$229,0),MATCH($B219,$AI$204:$BI$204,0)),"")</f>
        <v>Targus Privacy Screen - filter för personlig integritet - 23,8 tum bred</v>
      </c>
      <c r="I219" s="118" t="str">
        <f ca="1">IFERROR(INDEX($AI$204:$BI$229,MATCH(I$200,$AG$204:$AG$229,0),MATCH($C219,$AI$204:$BI$204,0)),"")</f>
        <v>P2422h</v>
      </c>
      <c r="J219" s="62"/>
      <c r="AY219" s="63"/>
      <c r="AZ219" s="63"/>
      <c r="BA219" s="63"/>
      <c r="BB219" s="63"/>
      <c r="BC219" s="63"/>
      <c r="BD219" s="63"/>
      <c r="BE219" s="63"/>
      <c r="BF219" s="63"/>
      <c r="BG219" s="63"/>
      <c r="BH219" s="63"/>
      <c r="BI219" s="63"/>
    </row>
    <row r="220" spans="2:61" ht="22.5" customHeight="1" outlineLevel="1" x14ac:dyDescent="0.35">
      <c r="B220" s="71"/>
      <c r="C220" s="212" t="s">
        <v>365</v>
      </c>
      <c r="D220" s="215"/>
      <c r="E220" s="213"/>
      <c r="F220" s="213"/>
      <c r="G220" s="213"/>
      <c r="H220" s="213"/>
      <c r="I220" s="214"/>
      <c r="J220" s="62"/>
      <c r="AY220" s="63"/>
      <c r="AZ220" s="63"/>
      <c r="BA220" s="63"/>
      <c r="BB220" s="63"/>
      <c r="BC220" s="63"/>
      <c r="BD220" s="63"/>
      <c r="BE220" s="63"/>
      <c r="BF220" s="63"/>
      <c r="BG220" s="63"/>
      <c r="BH220" s="63"/>
      <c r="BI220" s="63"/>
    </row>
    <row r="221" spans="2:61" ht="22.5" customHeight="1" outlineLevel="1" x14ac:dyDescent="0.35">
      <c r="B221" s="71" t="s">
        <v>228</v>
      </c>
      <c r="C221" s="115" t="s">
        <v>367</v>
      </c>
      <c r="D221" s="70"/>
      <c r="F221" s="161" t="str">
        <f>IF(F$203="Inget antal angivet","",IFERROR(INDEX($AI$204:$BI$229,MATCH(F$200,$AG$204:$AG$229,0),MATCH($B221,$AI$204:$BI$204,0)),""))</f>
        <v/>
      </c>
      <c r="G221" s="162">
        <f t="shared" ref="G221:I223" ca="1" si="175">IFERROR(INDEX($AI$204:$BI$229,MATCH(G$200,$AG$204:$AG$229,0),MATCH($B221,$AI$204:$BI$204,0)),"")</f>
        <v>101</v>
      </c>
      <c r="H221" s="162">
        <f t="shared" ca="1" si="175"/>
        <v>94</v>
      </c>
      <c r="I221" s="162">
        <f t="shared" ca="1" si="175"/>
        <v>89</v>
      </c>
      <c r="J221" s="62"/>
      <c r="AY221" s="63"/>
      <c r="AZ221" s="63"/>
      <c r="BA221" s="63"/>
      <c r="BB221" s="63"/>
      <c r="BC221" s="63"/>
      <c r="BD221" s="63"/>
      <c r="BE221" s="63"/>
      <c r="BF221" s="63"/>
      <c r="BG221" s="63"/>
      <c r="BH221" s="63"/>
      <c r="BI221" s="63"/>
    </row>
    <row r="222" spans="2:61" ht="22.5" customHeight="1" outlineLevel="1" x14ac:dyDescent="0.35">
      <c r="B222" s="71" t="s">
        <v>229</v>
      </c>
      <c r="C222" s="61" t="s">
        <v>368</v>
      </c>
      <c r="D222" s="70"/>
      <c r="F222" s="165" t="str">
        <f>IF(F$203="Inget antal angivet","",IFERROR(INDEX($AI$204:$BI$229,MATCH(F$200,$AG$204:$AG$229,0),MATCH($B222,$AI$204:$BI$204,0)),""))</f>
        <v/>
      </c>
      <c r="G222" s="166">
        <f t="shared" ca="1" si="175"/>
        <v>50</v>
      </c>
      <c r="H222" s="166">
        <f t="shared" ca="1" si="175"/>
        <v>85</v>
      </c>
      <c r="I222" s="166">
        <f t="shared" ca="1" si="175"/>
        <v>25</v>
      </c>
      <c r="J222" s="73"/>
      <c r="AY222" s="63"/>
      <c r="AZ222" s="63"/>
      <c r="BA222" s="63"/>
      <c r="BB222" s="63"/>
      <c r="BC222" s="63"/>
      <c r="BD222" s="63"/>
      <c r="BE222" s="63"/>
      <c r="BF222" s="63"/>
      <c r="BG222" s="63"/>
      <c r="BH222" s="63"/>
      <c r="BI222" s="63"/>
    </row>
    <row r="223" spans="2:61" ht="22.5" customHeight="1" outlineLevel="1" x14ac:dyDescent="0.35">
      <c r="B223" s="71" t="s">
        <v>230</v>
      </c>
      <c r="C223" s="96" t="s">
        <v>369</v>
      </c>
      <c r="D223" s="70"/>
      <c r="F223" s="163" t="str">
        <f>IF(F$203="Inget antal angivet","",IFERROR(INDEX($AI$204:$BI$229,MATCH(F$200,$AG$204:$AG$229,0),MATCH($B223,$AI$204:$BI$204,0)),""))</f>
        <v/>
      </c>
      <c r="G223" s="164">
        <f t="shared" ca="1" si="175"/>
        <v>50</v>
      </c>
      <c r="H223" s="164">
        <f t="shared" ca="1" si="175"/>
        <v>100</v>
      </c>
      <c r="I223" s="164">
        <f t="shared" ca="1" si="175"/>
        <v>25</v>
      </c>
      <c r="J223" s="54"/>
      <c r="AY223" s="63"/>
      <c r="AZ223" s="63"/>
      <c r="BA223" s="63"/>
      <c r="BB223" s="63"/>
      <c r="BC223" s="63"/>
      <c r="BD223" s="63"/>
      <c r="BE223" s="63"/>
      <c r="BF223" s="63"/>
      <c r="BG223" s="63"/>
      <c r="BH223" s="63"/>
      <c r="BI223" s="63"/>
    </row>
    <row r="224" spans="2:61" ht="22.5" customHeight="1" outlineLevel="1" x14ac:dyDescent="0.35">
      <c r="J224" s="73"/>
      <c r="AY224" s="63"/>
      <c r="AZ224" s="63"/>
      <c r="BA224" s="63"/>
      <c r="BB224" s="63"/>
      <c r="BC224" s="63"/>
      <c r="BD224" s="63"/>
      <c r="BE224" s="63"/>
      <c r="BF224" s="63"/>
      <c r="BG224" s="63"/>
      <c r="BH224" s="63"/>
      <c r="BI224" s="63"/>
    </row>
    <row r="225" spans="2:75" ht="22.5" customHeight="1" x14ac:dyDescent="0.35">
      <c r="J225" s="54"/>
      <c r="AY225" s="63"/>
      <c r="AZ225" s="63"/>
      <c r="BA225" s="63"/>
      <c r="BB225" s="63"/>
      <c r="BC225" s="63"/>
      <c r="BD225" s="63"/>
      <c r="BE225" s="63"/>
      <c r="BF225" s="63"/>
      <c r="BG225" s="63"/>
      <c r="BH225" s="63"/>
      <c r="BI225" s="63"/>
    </row>
    <row r="226" spans="2:75" ht="22.5" customHeight="1" x14ac:dyDescent="0.35">
      <c r="D226" s="72" t="s">
        <v>233</v>
      </c>
      <c r="F226" s="221" t="s">
        <v>252</v>
      </c>
      <c r="G226" s="221"/>
      <c r="H226" s="221"/>
      <c r="I226" s="222"/>
      <c r="J226" s="73"/>
      <c r="AY226" s="63"/>
      <c r="AZ226" s="63"/>
      <c r="BA226" s="63"/>
      <c r="BB226" s="63"/>
      <c r="BC226" s="63"/>
      <c r="BD226" s="63"/>
      <c r="BE226" s="63"/>
      <c r="BF226" s="63"/>
      <c r="BG226" s="63"/>
      <c r="BH226" s="63"/>
      <c r="BI226" s="63"/>
    </row>
    <row r="227" spans="2:75" ht="22.5" customHeight="1" x14ac:dyDescent="0.35">
      <c r="D227" s="74"/>
      <c r="F227" s="202" t="str">
        <f ca="1">IFERROR(INDEX($V$205:$V$216,MATCH(F200,$W$205:$W$216,0))*D227,"")</f>
        <v/>
      </c>
      <c r="G227" s="202">
        <f ca="1">IFERROR(P205 *D227,"")</f>
        <v>0</v>
      </c>
      <c r="H227" s="202">
        <f ca="1">IFERROR(P206 *D227,"")</f>
        <v>0</v>
      </c>
      <c r="I227" s="202">
        <f ca="1">IFERROR(P207 * D227,"")</f>
        <v>0</v>
      </c>
      <c r="J227" s="54"/>
      <c r="AY227" s="63"/>
      <c r="AZ227" s="63"/>
      <c r="BA227" s="63"/>
      <c r="BB227" s="63"/>
      <c r="BC227" s="63"/>
      <c r="BD227" s="63"/>
      <c r="BE227" s="63"/>
      <c r="BF227" s="63"/>
      <c r="BG227" s="63"/>
      <c r="BH227" s="63"/>
      <c r="BI227" s="63"/>
    </row>
    <row r="228" spans="2:75" x14ac:dyDescent="0.35">
      <c r="AY228" s="63"/>
      <c r="AZ228" s="63"/>
      <c r="BA228" s="63"/>
      <c r="BB228" s="63"/>
      <c r="BC228" s="63"/>
      <c r="BD228" s="63"/>
      <c r="BE228" s="63"/>
      <c r="BF228" s="63"/>
      <c r="BG228" s="63"/>
      <c r="BH228" s="63"/>
      <c r="BI228" s="63"/>
    </row>
    <row r="229" spans="2:75" ht="15" thickBot="1" x14ac:dyDescent="0.4">
      <c r="C229" s="174"/>
      <c r="D229" s="174"/>
      <c r="E229" s="174"/>
      <c r="F229" s="174"/>
      <c r="G229" s="174"/>
      <c r="H229" s="174"/>
      <c r="I229" s="174"/>
      <c r="AY229" s="63"/>
      <c r="AZ229" s="63"/>
      <c r="BA229" s="63"/>
      <c r="BB229" s="63"/>
      <c r="BC229" s="63"/>
      <c r="BD229" s="63"/>
      <c r="BE229" s="63"/>
      <c r="BF229" s="63"/>
      <c r="BG229" s="63"/>
      <c r="BH229" s="63"/>
      <c r="BI229" s="63"/>
    </row>
    <row r="230" spans="2:75" ht="15" thickTop="1" x14ac:dyDescent="0.35"/>
    <row r="234" spans="2:75" ht="71.25" customHeight="1" collapsed="1" x14ac:dyDescent="0.35">
      <c r="C234" s="53"/>
      <c r="D234" s="53"/>
      <c r="F234" s="50" t="e">
        <f ca="1">N238</f>
        <v>#N/A</v>
      </c>
      <c r="G234" s="50" t="str">
        <f ca="1">INDEX(W239:W263,MATCH(P239,V239:V263,0))</f>
        <v>Offererad produktnr. 11Advania Sverige AB</v>
      </c>
      <c r="H234" s="50" t="str">
        <f ca="1">INDEX(W238:W262,MATCH(P240,V238:V262,0))</f>
        <v>Offererad produktnr. 11Atea Sverige AB</v>
      </c>
      <c r="I234" s="50" t="str">
        <f ca="1">INDEX(W238:W262,MATCH(P241,V238:V262,0))</f>
        <v>Offererad produktnr. 11Qlosr Göteborg AB</v>
      </c>
      <c r="AI234" s="12" t="s">
        <v>124</v>
      </c>
      <c r="AJ234" s="12" t="s">
        <v>124</v>
      </c>
      <c r="AK234" s="12" t="s">
        <v>124</v>
      </c>
      <c r="AL234" s="12" t="s">
        <v>124</v>
      </c>
      <c r="AM234" s="12" t="s">
        <v>124</v>
      </c>
      <c r="AN234" s="12" t="s">
        <v>124</v>
      </c>
      <c r="AO234" s="12" t="s">
        <v>124</v>
      </c>
      <c r="AP234" s="12" t="s">
        <v>124</v>
      </c>
      <c r="AQ234" s="12" t="s">
        <v>124</v>
      </c>
      <c r="AR234" s="12" t="s">
        <v>124</v>
      </c>
      <c r="AS234" s="12" t="s">
        <v>124</v>
      </c>
      <c r="AT234" s="12" t="s">
        <v>124</v>
      </c>
      <c r="AU234" s="12" t="s">
        <v>124</v>
      </c>
      <c r="AV234" s="12" t="s">
        <v>124</v>
      </c>
      <c r="AW234" s="12" t="s">
        <v>124</v>
      </c>
      <c r="AX234" s="12" t="s">
        <v>124</v>
      </c>
      <c r="AY234" s="12" t="s">
        <v>124</v>
      </c>
      <c r="AZ234" s="12" t="s">
        <v>124</v>
      </c>
      <c r="BA234" s="12" t="s">
        <v>124</v>
      </c>
      <c r="BB234" s="12" t="s">
        <v>124</v>
      </c>
      <c r="BC234" s="12" t="s">
        <v>124</v>
      </c>
      <c r="BD234" s="12" t="s">
        <v>124</v>
      </c>
      <c r="BE234" s="12" t="s">
        <v>124</v>
      </c>
      <c r="BF234" s="12" t="s">
        <v>124</v>
      </c>
      <c r="BG234" s="12" t="s">
        <v>124</v>
      </c>
      <c r="BH234" s="12" t="s">
        <v>124</v>
      </c>
      <c r="BI234" s="12" t="s">
        <v>124</v>
      </c>
      <c r="BJ234" s="12"/>
      <c r="BK234" s="12"/>
      <c r="BL234" s="12"/>
      <c r="BM234" s="12"/>
      <c r="BN234" s="12"/>
      <c r="BO234" s="12"/>
      <c r="BP234" s="12"/>
      <c r="BQ234" s="12"/>
      <c r="BR234" s="12"/>
      <c r="BS234" s="12"/>
      <c r="BT234" s="12"/>
      <c r="BU234" s="12"/>
      <c r="BV234" s="12"/>
      <c r="BW234" s="12"/>
    </row>
    <row r="235" spans="2:75" ht="26.25" customHeight="1" thickBot="1" x14ac:dyDescent="0.4">
      <c r="C235" s="53"/>
      <c r="D235" s="53"/>
      <c r="F235" s="140" t="s">
        <v>446</v>
      </c>
      <c r="G235" s="205" t="s">
        <v>447</v>
      </c>
      <c r="H235" s="205"/>
      <c r="I235" s="205"/>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row>
    <row r="236" spans="2:75" ht="22.5" customHeight="1" thickBot="1" x14ac:dyDescent="0.4">
      <c r="B236" t="str">
        <f ca="1" xml:space="preserve"> "Produkt "  &amp; B237</f>
        <v>Produkt 8</v>
      </c>
      <c r="C236" s="206" t="str">
        <f>IF(F237="Ingen produkt motsvarar","Felmeddelande",IF(COUNTIF($P$1:$P$6,TRUE)&gt;0,"","Felmeddelande"))</f>
        <v/>
      </c>
      <c r="D236" s="207"/>
      <c r="F236" s="218" t="s">
        <v>271</v>
      </c>
      <c r="G236" s="218"/>
      <c r="H236" s="218"/>
      <c r="I236" s="219"/>
      <c r="O236">
        <v>1</v>
      </c>
      <c r="AI236" s="13" t="str">
        <f t="shared" ref="AI236:AW236" si="176">AI238</f>
        <v>Skärmstorlek (tum)</v>
      </c>
      <c r="AJ236" s="13" t="str">
        <f t="shared" si="176"/>
        <v>Upplösning</v>
      </c>
      <c r="AK236" s="13" t="str">
        <f t="shared" si="176"/>
        <v>Portar USB</v>
      </c>
      <c r="AL236" s="13" t="str">
        <f t="shared" si="176"/>
        <v>Portar HDMI</v>
      </c>
      <c r="AM236" s="13" t="str">
        <f t="shared" si="176"/>
        <v>Portar Display</v>
      </c>
      <c r="AN236" s="13" t="str">
        <f t="shared" si="176"/>
        <v>Antal färger</v>
      </c>
      <c r="AO236" s="13" t="str">
        <f t="shared" si="176"/>
        <v>Ljusstyrka</v>
      </c>
      <c r="AP236" s="13" t="str">
        <f t="shared" si="176"/>
        <v>Energiprestanda</v>
      </c>
      <c r="AQ236" s="13" t="str">
        <f t="shared" si="176"/>
        <v>Låsskydd</v>
      </c>
      <c r="AR236" s="13" t="str">
        <f t="shared" si="176"/>
        <v>Kommunikation Bluetooth</v>
      </c>
      <c r="AS236" s="13" t="str">
        <f t="shared" si="176"/>
        <v>Batteritid (tim)</v>
      </c>
      <c r="AT236" s="13" t="str">
        <f t="shared" si="176"/>
        <v>Energiprestanda</v>
      </c>
      <c r="AU236" s="13" t="str">
        <f t="shared" si="176"/>
        <v>Låsskydd</v>
      </c>
      <c r="AV236" s="13" t="str">
        <f t="shared" si="176"/>
        <v>Operativsystem</v>
      </c>
      <c r="AW236" s="13" t="str">
        <f t="shared" si="176"/>
        <v>Modellbenämning</v>
      </c>
      <c r="AX236" t="s">
        <v>224</v>
      </c>
      <c r="AY236" s="56" t="s">
        <v>53</v>
      </c>
      <c r="AZ236" s="57" t="s">
        <v>228</v>
      </c>
      <c r="BA236" s="57" t="s">
        <v>229</v>
      </c>
      <c r="BB236" s="57" t="s">
        <v>230</v>
      </c>
      <c r="BC236" s="56" t="s">
        <v>340</v>
      </c>
      <c r="BD236" s="57" t="s">
        <v>345</v>
      </c>
      <c r="BE236" s="57"/>
      <c r="BF236" s="57"/>
      <c r="BG236" s="57"/>
      <c r="BH236" s="57" t="s">
        <v>6</v>
      </c>
      <c r="BI236" s="4" t="s">
        <v>51</v>
      </c>
      <c r="BJ236" s="13"/>
      <c r="BK236" s="13"/>
      <c r="BL236" s="13"/>
      <c r="BM236" s="13"/>
      <c r="BN236" s="13"/>
      <c r="BO236" s="13"/>
      <c r="BP236" s="13"/>
      <c r="BQ236" s="13"/>
      <c r="BR236" s="13"/>
      <c r="BS236" s="13"/>
      <c r="BT236" s="13"/>
      <c r="BU236" s="13"/>
      <c r="BV236" s="13"/>
      <c r="BW236" s="13"/>
    </row>
    <row r="237" spans="2:75" ht="22.5" customHeight="1" x14ac:dyDescent="0.35">
      <c r="B237">
        <f ca="1">COUNTIF($F$7:F240,"Produkt I varukorg*")</f>
        <v>8</v>
      </c>
      <c r="F237" s="51" t="str">
        <f>IF(D261&lt;1,"Inget antal angivet",IFERROR(INDEX($V$239:$V$250,MATCH(F234,$W$239:$W$250,0)),"Ingen produkt motsvarar"))</f>
        <v>Inget antal angivet</v>
      </c>
      <c r="G237" s="52">
        <f ca="1">IFERROR(P239,"Ingen produkt motsvarar")</f>
        <v>1981</v>
      </c>
      <c r="H237" s="52">
        <f ca="1">IFERROR(P240,"")</f>
        <v>2034</v>
      </c>
      <c r="I237" s="52">
        <f ca="1">IFERROR(P241,"")</f>
        <v>2076</v>
      </c>
      <c r="W237" t="str">
        <f>IF(COUNTIF(X237:AF237,FALSE)&gt;0,AG237,"")</f>
        <v/>
      </c>
      <c r="X237" t="b">
        <f>IF($D$240="",TRUE,IF(AI237=$D$240,TRUE,FALSE))</f>
        <v>1</v>
      </c>
      <c r="Y237" t="b">
        <f>IF(D239="",TRUE,IF(AJ237=$D$241,TRUE,FALSE))</f>
        <v>1</v>
      </c>
      <c r="Z237" t="b">
        <f>IF(D240="",TRUE,IF(AK237=D240,TRUE,FALSE))</f>
        <v>1</v>
      </c>
      <c r="AA237" t="b">
        <f>IF(D241="",TRUE,IF(AL237=D241,TRUE,FALSE))</f>
        <v>1</v>
      </c>
      <c r="AB237" t="b">
        <f>IF(D245="",TRUE,IF(AM237=D245,TRUE,FALSE))</f>
        <v>1</v>
      </c>
      <c r="AC237" t="b">
        <f>IF(D246="",TRUE,IF(AN237=D246,TRUE,FALSE))</f>
        <v>1</v>
      </c>
      <c r="AE237" t="b">
        <f>IF(D244="",TRUE,IF(AO237=D244,TRUE,FALSE))</f>
        <v>1</v>
      </c>
      <c r="AF237" t="b">
        <f>IFERROR(IF($D247="",TRUE,IF(MID(AT237,LEN(AT237)-2,1)*1&gt;=MID($D247,LEN($D247)-2,1)*1,TRUE,FALSE)),FALSE)</f>
        <v>1</v>
      </c>
      <c r="AG237" t="s">
        <v>126</v>
      </c>
      <c r="AI237" s="58" t="str">
        <f t="shared" ref="AI237:BI237" ca="1" si="177">IFERROR(INDEX(INDIRECT(AI$234&amp;"!$A$10:CC100000"),MATCH($AG237,INDIRECT(AI$234&amp;"!BH$10:BH100000"),0),MATCH(AI$236,INDIRECT(AI$234&amp;"!a10:CC10"),0)),"False")</f>
        <v>False</v>
      </c>
      <c r="AJ237" s="58" t="str">
        <f t="shared" ca="1" si="177"/>
        <v>False</v>
      </c>
      <c r="AK237" s="58" t="str">
        <f t="shared" ca="1" si="177"/>
        <v>False</v>
      </c>
      <c r="AL237" s="58" t="str">
        <f t="shared" ca="1" si="177"/>
        <v>False</v>
      </c>
      <c r="AM237" s="58" t="str">
        <f t="shared" ca="1" si="177"/>
        <v>False</v>
      </c>
      <c r="AN237" s="58" t="str">
        <f t="shared" ca="1" si="177"/>
        <v>False</v>
      </c>
      <c r="AO237" s="58" t="str">
        <f t="shared" ca="1" si="177"/>
        <v>False</v>
      </c>
      <c r="AP237" s="58" t="str">
        <f t="shared" ca="1" si="177"/>
        <v>False</v>
      </c>
      <c r="AQ237" s="58" t="str">
        <f t="shared" ca="1" si="177"/>
        <v>False</v>
      </c>
      <c r="AR237" s="58" t="str">
        <f t="shared" ca="1" si="177"/>
        <v>False</v>
      </c>
      <c r="AS237" s="58" t="str">
        <f t="shared" ca="1" si="177"/>
        <v>False</v>
      </c>
      <c r="AT237" s="58" t="str">
        <f t="shared" ca="1" si="177"/>
        <v>False</v>
      </c>
      <c r="AU237" s="58" t="str">
        <f t="shared" ca="1" si="177"/>
        <v>False</v>
      </c>
      <c r="AV237" s="58" t="str">
        <f t="shared" ca="1" si="177"/>
        <v>False</v>
      </c>
      <c r="AW237" s="58" t="str">
        <f t="shared" ca="1" si="177"/>
        <v>False</v>
      </c>
      <c r="AX237" s="58" t="str">
        <f t="shared" ca="1" si="177"/>
        <v>False</v>
      </c>
      <c r="AY237" s="58" t="str">
        <f t="shared" ca="1" si="177"/>
        <v>False</v>
      </c>
      <c r="AZ237" s="58" t="str">
        <f t="shared" ca="1" si="177"/>
        <v>False</v>
      </c>
      <c r="BA237" s="58" t="str">
        <f t="shared" ca="1" si="177"/>
        <v>False</v>
      </c>
      <c r="BB237" s="58" t="str">
        <f t="shared" ca="1" si="177"/>
        <v>False</v>
      </c>
      <c r="BC237" s="58" t="str">
        <f t="shared" ca="1" si="177"/>
        <v>False</v>
      </c>
      <c r="BD237" s="58" t="str">
        <f t="shared" ca="1" si="177"/>
        <v>False</v>
      </c>
      <c r="BE237" s="58" t="str">
        <f t="shared" ca="1" si="177"/>
        <v>False</v>
      </c>
      <c r="BF237" s="58" t="str">
        <f t="shared" ca="1" si="177"/>
        <v>False</v>
      </c>
      <c r="BG237" s="58" t="str">
        <f t="shared" ca="1" si="177"/>
        <v>False</v>
      </c>
      <c r="BH237" s="58" t="str">
        <f t="shared" ca="1" si="177"/>
        <v>False</v>
      </c>
      <c r="BI237" s="58" t="str">
        <f t="shared" ca="1" si="177"/>
        <v>False</v>
      </c>
      <c r="BJ237" s="58"/>
      <c r="BK237" s="58"/>
      <c r="BL237" s="58"/>
      <c r="BM237" s="58"/>
      <c r="BN237" s="58"/>
      <c r="BO237" s="58"/>
      <c r="BP237" s="58"/>
      <c r="BQ237" s="58"/>
      <c r="BR237" s="58"/>
      <c r="BS237" s="58"/>
      <c r="BT237" s="58"/>
      <c r="BU237" s="58"/>
      <c r="BV237" s="58"/>
      <c r="BW237" s="58"/>
    </row>
    <row r="238" spans="2:75" ht="22.5" customHeight="1" x14ac:dyDescent="0.35">
      <c r="C238" s="210" t="str">
        <f ca="1" xml:space="preserve"> "Bildskärm "  &amp; RIGHT("00" &amp; B237,2)</f>
        <v>Bildskärm 08</v>
      </c>
      <c r="D238" s="211"/>
      <c r="F238" s="103" t="str">
        <f>IF(F$237="Inget antal angivet","",IFERROR(INDEX($AI$238:$BI$263,MATCH(F$234,$AG$238:$AG$263,0),MATCH("Modellbenämning",$AI$238:$BI$238,0)),""))</f>
        <v/>
      </c>
      <c r="G238" s="103" t="str">
        <f ca="1">IFERROR(INDEX($AI$238:$BI$263,MATCH(G$234,$AG$238:$AG$263,0),MATCH("Modellbenämning",$AI$238:$BI$238,0)),"")</f>
        <v>HP E24i G4 - E-Series - LED-skärm</v>
      </c>
      <c r="H238" s="103" t="str">
        <f ca="1">IFERROR(INDEX($AI$238:$BI$263,MATCH(H$234,$AG$238:$AG$263,0),MATCH("Modellbenämning",$AI$238:$BI$238,0)),"")</f>
        <v>F24T450FQR</v>
      </c>
      <c r="I238" s="103" t="str">
        <f ca="1">IFERROR(INDEX($AI$238:$BI$263,MATCH(I$234,$AG$238:$AG$263,0),MATCH("Modellbenämning",$AI$238:$BI$238,0)),"")</f>
        <v>P2422h</v>
      </c>
      <c r="J238" s="93"/>
      <c r="K238" s="103"/>
      <c r="L238" s="103"/>
      <c r="M238" s="103"/>
      <c r="N238" s="103" t="e">
        <f ca="1">INDEX($N$239:$N$244,MATCH(Överblick!$L$2,$M$239:$M$244,0))</f>
        <v>#N/A</v>
      </c>
      <c r="O238" s="103"/>
      <c r="P238" s="103"/>
      <c r="Q238" s="103"/>
      <c r="R238" s="103">
        <v>1</v>
      </c>
      <c r="S238" s="103">
        <v>2</v>
      </c>
      <c r="T238" s="103">
        <v>3</v>
      </c>
      <c r="U238" s="103">
        <v>5</v>
      </c>
      <c r="V238" s="103"/>
      <c r="W238" s="103" t="s">
        <v>122</v>
      </c>
      <c r="X238" s="103" t="s">
        <v>7</v>
      </c>
      <c r="Y238" s="103" t="s">
        <v>2</v>
      </c>
      <c r="Z238" s="103" t="s">
        <v>67</v>
      </c>
      <c r="AA238" s="103" t="s">
        <v>68</v>
      </c>
      <c r="AB238" s="103" t="s">
        <v>73</v>
      </c>
      <c r="AC238" s="103" t="s">
        <v>13</v>
      </c>
      <c r="AD238" s="103"/>
      <c r="AE238" s="103" t="s">
        <v>14</v>
      </c>
      <c r="AF238" s="103" t="s">
        <v>38</v>
      </c>
      <c r="AG238" s="103" t="s">
        <v>222</v>
      </c>
      <c r="AH238" s="103">
        <v>1</v>
      </c>
      <c r="AI238" s="103" t="s">
        <v>7</v>
      </c>
      <c r="AJ238" s="103" t="s">
        <v>2</v>
      </c>
      <c r="AK238" s="103" t="s">
        <v>67</v>
      </c>
      <c r="AL238" s="103" t="s">
        <v>68</v>
      </c>
      <c r="AM238" s="103" t="s">
        <v>73</v>
      </c>
      <c r="AN238" s="103" t="s">
        <v>13</v>
      </c>
      <c r="AO238" s="103" t="s">
        <v>14</v>
      </c>
      <c r="AP238" s="103" t="s">
        <v>38</v>
      </c>
      <c r="AQ238" s="103" t="s">
        <v>37</v>
      </c>
      <c r="AR238" s="103" t="s">
        <v>75</v>
      </c>
      <c r="AS238" s="103" t="s">
        <v>120</v>
      </c>
      <c r="AT238" s="103" t="s">
        <v>38</v>
      </c>
      <c r="AU238" s="103" t="s">
        <v>37</v>
      </c>
      <c r="AV238" s="103" t="s">
        <v>3</v>
      </c>
      <c r="AW238" s="103" t="s">
        <v>52</v>
      </c>
      <c r="AX238" s="103" t="s">
        <v>25</v>
      </c>
      <c r="AY238" s="103" t="s">
        <v>53</v>
      </c>
      <c r="AZ238" s="103" t="s">
        <v>228</v>
      </c>
      <c r="BA238" s="103" t="s">
        <v>229</v>
      </c>
      <c r="BB238" s="103" t="s">
        <v>230</v>
      </c>
      <c r="BC238" s="103" t="s">
        <v>340</v>
      </c>
      <c r="BD238" s="103" t="s">
        <v>345</v>
      </c>
      <c r="BE238" s="103"/>
      <c r="BF238" s="103"/>
      <c r="BG238" s="103"/>
      <c r="BH238" s="103" t="s">
        <v>6</v>
      </c>
      <c r="BI238" s="103" t="s">
        <v>51</v>
      </c>
      <c r="BJ238" s="103" t="s">
        <v>7</v>
      </c>
      <c r="BK238" s="103" t="s">
        <v>2</v>
      </c>
      <c r="BL238" s="103" t="s">
        <v>67</v>
      </c>
      <c r="BM238" s="103" t="s">
        <v>68</v>
      </c>
      <c r="BN238" s="103" t="s">
        <v>73</v>
      </c>
      <c r="BO238" s="103" t="s">
        <v>13</v>
      </c>
      <c r="BP238" s="103" t="s">
        <v>14</v>
      </c>
      <c r="BQ238" s="103" t="s">
        <v>38</v>
      </c>
      <c r="BR238" s="103" t="s">
        <v>37</v>
      </c>
      <c r="BS238" s="103" t="s">
        <v>120</v>
      </c>
      <c r="BT238" s="103" t="s">
        <v>38</v>
      </c>
      <c r="BU238" s="103" t="s">
        <v>37</v>
      </c>
      <c r="BV238" s="103" t="s">
        <v>3</v>
      </c>
    </row>
    <row r="239" spans="2:75" ht="22.5" customHeight="1" outlineLevel="1" x14ac:dyDescent="0.35">
      <c r="C239" s="210" t="s">
        <v>261</v>
      </c>
      <c r="D239" s="211"/>
      <c r="F239" s="76" t="str">
        <f>IF(F$237="Inget antal angivet","",IFERROR(INDEX($AI$238:$BI$263,MATCH(F$234,$AG$238:$AG$263,0),MATCH("Varumärke",$AI$238:$BI$238,0)),""))</f>
        <v/>
      </c>
      <c r="G239" s="77" t="str">
        <f ca="1">IFERROR(INDEX($AI$238:$BI$263,MATCH(G$234,$AG$238:$AG$263,0),MATCH("Varumärke",$AI$238:$BI$238,0)),"")</f>
        <v>HP</v>
      </c>
      <c r="H239" s="77" t="str">
        <f ca="1">IFERROR(INDEX($AI$238:$BI$263,MATCH(H$234,$AG$238:$AG$263,0),MATCH("Varumärke",$AI$238:$BI$238,0)),"")</f>
        <v>Samsung</v>
      </c>
      <c r="I239" s="119" t="str">
        <f ca="1">IFERROR(INDEX($AI$238:$BI$263,MATCH(I$234,$AG$238:$AG$263,0),MATCH("Varumärke",$AI$238:$BI$238,0)),"")</f>
        <v>Dell</v>
      </c>
      <c r="K239" s="196">
        <f t="shared" ref="K239:K244" ca="1" si="178">O239*$D$261</f>
        <v>0</v>
      </c>
      <c r="L239" s="185" t="b">
        <f t="shared" ref="L239:L244" si="179">IF($D$261=0,TRUE,IF(K239=0,FALSE,TRUE))</f>
        <v>1</v>
      </c>
      <c r="M239" s="185" t="s">
        <v>162</v>
      </c>
      <c r="N239" s="185" t="str">
        <f t="shared" ref="N239:N244" ca="1" si="180">IFERROR(INDEX($W$239:$W$250,MATCH(O239,$V$239:$V$249,0)),"")</f>
        <v>Offererad produktnr. 11Advania Sverige AB</v>
      </c>
      <c r="O239" s="185" cm="1">
        <f t="array" aca="1" ref="O239" ca="1">MIN(IF(($BH$239:$BH$250=M239)*($AH$239:$AH$250=$O$236),$V$239:$V$250))</f>
        <v>1981</v>
      </c>
      <c r="P239" s="197">
        <f ca="1">IFERROR(SMALL($V$239:$V$263,1),"")</f>
        <v>1981</v>
      </c>
      <c r="Q239" s="185">
        <f t="shared" ref="Q239:Q248" si="181">SUM(R239:U239)</f>
        <v>0</v>
      </c>
      <c r="R239" s="185">
        <f t="shared" ref="R239:R248" si="182">IF($D$251="",0,AY239)</f>
        <v>0</v>
      </c>
      <c r="S239" s="185">
        <f t="shared" ref="S239:S248" si="183">IF($D$255="",0,AZ239)</f>
        <v>0</v>
      </c>
      <c r="T239" s="185">
        <f t="shared" ref="T239:T248" si="184">IF($D$256="",0,BA239)</f>
        <v>0</v>
      </c>
      <c r="U239" s="185">
        <f t="shared" ref="U239:U248" si="185">IF($D$257="",0,BD239)</f>
        <v>0</v>
      </c>
      <c r="V239" s="196">
        <f t="shared" ref="V239:V248" ca="1" si="186">IF(W239="","",SUM(AX239,R239:U239))</f>
        <v>1981</v>
      </c>
      <c r="W239" s="185" t="str">
        <f t="shared" ref="W239:W248" si="187">IF(COUNTIF(X239:AF239,FALSE)&gt;0,"",AG239)</f>
        <v>Offererad produktnr. 11Advania Sverige AB</v>
      </c>
      <c r="X239" s="185" t="b">
        <f>IF($D$240="",TRUE,IF(COUNTIF(Processor!$I$2:$I$9,$D$240)&gt;0,AND(AI239&gt;INDEX(Processor!$J$2:$J$9,MATCH($D$240,Processor!$I$2:$I$9,0)),AI239&lt;INDEX(Processor!$K$2:$K$9,MATCH($D$240,Processor!$I$2:$I$9,0))),IF(AI239=$D$240,TRUE,FALSE)))</f>
        <v>1</v>
      </c>
      <c r="Y239" s="185" t="b">
        <f t="shared" ref="Y239:Y248" si="188">IFERROR(IF($D$241="",TRUE,IF(AND(IF(LEFT(RIGHT($D$241,4),4)*1&lt;=1*LEFT(AJ239,4),TRUE,FALSE),IF(RIGHT(AJ239,LEN(AJ239)-FIND("x",AJ239))*1&gt;=1*RIGHT(RIGHT($D$241,4),4),TRUE,FALSE)),TRUE,FALSE)),0)</f>
        <v>1</v>
      </c>
      <c r="Z239" s="185" t="b">
        <f t="shared" ref="Z239:Z248" si="189">IF($D$242="",TRUE,IF(AK239&gt;=$D$242,TRUE,FALSE))</f>
        <v>1</v>
      </c>
      <c r="AA239" s="185" t="b">
        <f t="shared" ref="AA239:AA248" si="190">IF($D$243="",TRUE,IF(AL239&gt;=$D$243,TRUE,FALSE))</f>
        <v>1</v>
      </c>
      <c r="AB239" s="185" t="b">
        <f t="shared" ref="AB239:AB248" si="191">IF($D$244="",TRUE,IF(AM239&gt;=$D$244,TRUE,FALSE))</f>
        <v>1</v>
      </c>
      <c r="AC239" s="185" t="b">
        <f t="shared" ref="AC239:AC248" si="192">IF($D$245="",TRUE,IF(AN239&gt;=$D$245,TRUE,FALSE))</f>
        <v>1</v>
      </c>
      <c r="AD239" s="185"/>
      <c r="AE239" s="185" t="b">
        <f t="shared" ref="AE239:AE248" si="193">IF($D$246="",TRUE,IF(AO239&gt;=$D$246,TRUE,FALSE))</f>
        <v>1</v>
      </c>
      <c r="AF239" s="185" t="b">
        <f>IFERROR(IF($D247="",TRUE,IF(MID(AT239,LEN(AT239)-2,1)*1&gt;=MID($D247,LEN($D247)-2,1)*1,TRUE,FALSE)),FALSE)</f>
        <v>1</v>
      </c>
      <c r="AG239" s="185" t="s">
        <v>208</v>
      </c>
      <c r="AH239" s="201">
        <v>1</v>
      </c>
      <c r="AI239" s="185">
        <f t="shared" ref="AI239:AR248" ca="1" si="194">IFERROR(INDEX(INDIRECT(AI$234&amp;"!$A$10:CC100000"),MATCH($AG239,INDIRECT(AI$234&amp;"!BH$10:BH100000"),0),MATCH(AI$236,INDIRECT(AI$234&amp;"!a10:CC10"),0)),"False")</f>
        <v>24</v>
      </c>
      <c r="AJ239" s="185" t="str">
        <f t="shared" ca="1" si="194"/>
        <v>1920x1080</v>
      </c>
      <c r="AK239" s="185">
        <f t="shared" ca="1" si="194"/>
        <v>4</v>
      </c>
      <c r="AL239" s="185">
        <f t="shared" ca="1" si="194"/>
        <v>0</v>
      </c>
      <c r="AM239" s="185">
        <f t="shared" ca="1" si="194"/>
        <v>1</v>
      </c>
      <c r="AN239" s="185">
        <f t="shared" ca="1" si="194"/>
        <v>16700000</v>
      </c>
      <c r="AO239" s="185">
        <f t="shared" ca="1" si="194"/>
        <v>250</v>
      </c>
      <c r="AP239" s="185" t="str">
        <f t="shared" ca="1" si="194"/>
        <v>Version 8.0</v>
      </c>
      <c r="AQ239" s="185" t="str">
        <f t="shared" ca="1" si="194"/>
        <v>Ja</v>
      </c>
      <c r="AR239" s="185">
        <f t="shared" ca="1" si="194"/>
        <v>0</v>
      </c>
      <c r="AS239" s="185">
        <f t="shared" ref="AS239:BB248" ca="1" si="195">IFERROR(INDEX(INDIRECT(AS$234&amp;"!$A$10:CC100000"),MATCH($AG239,INDIRECT(AS$234&amp;"!BH$10:BH100000"),0),MATCH(AS$236,INDIRECT(AS$234&amp;"!a10:CC10"),0)),"False")</f>
        <v>0</v>
      </c>
      <c r="AT239" s="185" t="str">
        <f t="shared" ca="1" si="195"/>
        <v>Version 8.0</v>
      </c>
      <c r="AU239" s="185" t="str">
        <f t="shared" ca="1" si="195"/>
        <v>Ja</v>
      </c>
      <c r="AV239" s="185">
        <f t="shared" ca="1" si="195"/>
        <v>0</v>
      </c>
      <c r="AW239" s="185" t="str">
        <f t="shared" ca="1" si="195"/>
        <v>HP E24i G4 - E-Series - LED-skärm</v>
      </c>
      <c r="AX239" s="185">
        <f t="shared" ca="1" si="195"/>
        <v>1981</v>
      </c>
      <c r="AY239" s="192">
        <f t="shared" ca="1" si="195"/>
        <v>639</v>
      </c>
      <c r="AZ239" s="192">
        <f t="shared" ca="1" si="195"/>
        <v>101</v>
      </c>
      <c r="BA239" s="192">
        <f t="shared" ca="1" si="195"/>
        <v>50</v>
      </c>
      <c r="BB239" s="192">
        <f t="shared" ca="1" si="195"/>
        <v>50</v>
      </c>
      <c r="BC239" s="192" t="str">
        <f t="shared" ref="BC239:BI248" ca="1" si="196">IFERROR(INDEX(INDIRECT(BC$234&amp;"!$A$10:CC100000"),MATCH($AG239,INDIRECT(BC$234&amp;"!BH$10:BH100000"),0),MATCH(BC$236,INDIRECT(BC$234&amp;"!a10:CC10"),0)),"False")</f>
        <v>eSTUFF</v>
      </c>
      <c r="BD239" s="192" t="str">
        <f t="shared" ca="1" si="196"/>
        <v>GLBB24519325 -  Filter för personlig integritet - 2-vägs - 24" - svart</v>
      </c>
      <c r="BE239" s="192" t="str">
        <f t="shared" ca="1" si="196"/>
        <v>False</v>
      </c>
      <c r="BF239" s="192" t="str">
        <f t="shared" ca="1" si="196"/>
        <v>False</v>
      </c>
      <c r="BG239" s="192" t="str">
        <f t="shared" ca="1" si="196"/>
        <v>False</v>
      </c>
      <c r="BH239" s="192" t="str">
        <f t="shared" ca="1" si="196"/>
        <v>Advania Sverige AB</v>
      </c>
      <c r="BI239" s="192" t="str">
        <f t="shared" ca="1" si="196"/>
        <v>HP</v>
      </c>
      <c r="BJ239" s="199">
        <v>23.8</v>
      </c>
      <c r="BK239" s="185" t="s">
        <v>71</v>
      </c>
      <c r="BL239" s="185">
        <v>0</v>
      </c>
      <c r="BM239" s="185">
        <v>1</v>
      </c>
      <c r="BN239" s="185">
        <v>1</v>
      </c>
      <c r="BO239" s="185">
        <v>16700000</v>
      </c>
      <c r="BP239" s="185">
        <v>250</v>
      </c>
      <c r="BQ239" s="185" t="s">
        <v>352</v>
      </c>
      <c r="BR239" s="185" t="s">
        <v>69</v>
      </c>
      <c r="BS239" s="185"/>
      <c r="BT239" s="185"/>
      <c r="BU239" s="185" t="s">
        <v>352</v>
      </c>
      <c r="BV239" s="185" t="s">
        <v>69</v>
      </c>
      <c r="BW239">
        <v>0</v>
      </c>
    </row>
    <row r="240" spans="2:75" ht="22.5" customHeight="1" outlineLevel="1" x14ac:dyDescent="0.35">
      <c r="C240" s="61" t="s">
        <v>7</v>
      </c>
      <c r="D240" s="64"/>
      <c r="F240" s="78" t="str">
        <f t="shared" ref="F240:F248" si="197">IF(F$237="Inget antal angivet","",IFERROR(INDEX($AI$238:$BI$263,MATCH(F$234,$AG$238:$AG$263,0),MATCH($C240,$AI$238:$BI$238,0)),""))</f>
        <v/>
      </c>
      <c r="G240" s="79">
        <f t="shared" ref="G240:I248" ca="1" si="198">IFERROR(INDEX($AI$238:$BI$263,MATCH(G$234,$AG$238:$AG$263,0),MATCH($C240,$AI$238:$BI$238,0)),"")</f>
        <v>24</v>
      </c>
      <c r="H240" s="79">
        <f t="shared" ca="1" si="198"/>
        <v>23.8</v>
      </c>
      <c r="I240" s="120">
        <f t="shared" ca="1" si="198"/>
        <v>23.8</v>
      </c>
      <c r="J240" s="62"/>
      <c r="K240" s="196">
        <f t="shared" ca="1" si="178"/>
        <v>0</v>
      </c>
      <c r="L240" s="185" t="b">
        <f t="shared" si="179"/>
        <v>1</v>
      </c>
      <c r="M240" s="185" t="s">
        <v>150</v>
      </c>
      <c r="N240" s="185" t="str">
        <f t="shared" ca="1" si="180"/>
        <v>Offererad produktnr. 11Atea Sverige AB</v>
      </c>
      <c r="O240" s="185" cm="1">
        <f t="array" aca="1" ref="O240" ca="1">MIN(IF(($BH$239:$BH$250=M240)*($AH$239:$AH$250=$O$236),$V$239:$V$250))</f>
        <v>2034</v>
      </c>
      <c r="P240" s="197">
        <f ca="1">IFERROR(SMALL($V$239:$V$263,2),"")</f>
        <v>2034</v>
      </c>
      <c r="Q240" s="185">
        <f t="shared" si="181"/>
        <v>0</v>
      </c>
      <c r="R240" s="185">
        <f t="shared" si="182"/>
        <v>0</v>
      </c>
      <c r="S240" s="185">
        <f t="shared" si="183"/>
        <v>0</v>
      </c>
      <c r="T240" s="185">
        <f t="shared" si="184"/>
        <v>0</v>
      </c>
      <c r="U240" s="185">
        <f t="shared" si="185"/>
        <v>0</v>
      </c>
      <c r="V240" s="196">
        <f t="shared" ca="1" si="186"/>
        <v>3060</v>
      </c>
      <c r="W240" s="185" t="str">
        <f t="shared" si="187"/>
        <v>Offererad produktnr. 12Advania Sverige AB</v>
      </c>
      <c r="X240" s="185" t="b">
        <f>IF($D$240="",TRUE,IF(COUNTIF(Processor!$I$2:$I$9,$D$240)&gt;0,AND(AI240&gt;INDEX(Processor!$J$2:$J$9,MATCH($D$240,Processor!$I$2:$I$9,0)),AI240&lt;INDEX(Processor!$K$2:$K$9,MATCH($D$240,Processor!$I$2:$I$9,0))),IF(AI240=$D$240,TRUE,FALSE)))</f>
        <v>1</v>
      </c>
      <c r="Y240" s="185" t="b">
        <f t="shared" si="188"/>
        <v>1</v>
      </c>
      <c r="Z240" s="185" t="b">
        <f t="shared" si="189"/>
        <v>1</v>
      </c>
      <c r="AA240" s="185" t="b">
        <f t="shared" si="190"/>
        <v>1</v>
      </c>
      <c r="AB240" s="185" t="b">
        <f t="shared" si="191"/>
        <v>1</v>
      </c>
      <c r="AC240" s="185" t="b">
        <f t="shared" si="192"/>
        <v>1</v>
      </c>
      <c r="AD240" s="185"/>
      <c r="AE240" s="185" t="b">
        <f t="shared" si="193"/>
        <v>1</v>
      </c>
      <c r="AF240" s="185" t="b">
        <f>IFERROR(IF($D247="",TRUE,IF(MID(AT240,LEN(AT240)-2,1)*1&gt;=MID($D247,LEN($D247)-2,1)*1,TRUE,FALSE)),FALSE)</f>
        <v>1</v>
      </c>
      <c r="AG240" s="185" t="s">
        <v>209</v>
      </c>
      <c r="AH240" s="201">
        <v>1</v>
      </c>
      <c r="AI240" s="185">
        <f t="shared" ca="1" si="194"/>
        <v>27</v>
      </c>
      <c r="AJ240" s="185" t="str">
        <f t="shared" ca="1" si="194"/>
        <v>2560x1440</v>
      </c>
      <c r="AK240" s="185">
        <f t="shared" ca="1" si="194"/>
        <v>4</v>
      </c>
      <c r="AL240" s="185">
        <f t="shared" ca="1" si="194"/>
        <v>0</v>
      </c>
      <c r="AM240" s="185">
        <f t="shared" ca="1" si="194"/>
        <v>1</v>
      </c>
      <c r="AN240" s="185">
        <f t="shared" ca="1" si="194"/>
        <v>16700000</v>
      </c>
      <c r="AO240" s="185">
        <f t="shared" ca="1" si="194"/>
        <v>350</v>
      </c>
      <c r="AP240" s="185" t="str">
        <f t="shared" ca="1" si="194"/>
        <v>Version 8.0</v>
      </c>
      <c r="AQ240" s="185" t="str">
        <f t="shared" ca="1" si="194"/>
        <v>Ja</v>
      </c>
      <c r="AR240" s="185">
        <f t="shared" ca="1" si="194"/>
        <v>0</v>
      </c>
      <c r="AS240" s="185">
        <f t="shared" ca="1" si="195"/>
        <v>0</v>
      </c>
      <c r="AT240" s="185" t="str">
        <f t="shared" ca="1" si="195"/>
        <v>Version 8.0</v>
      </c>
      <c r="AU240" s="185" t="str">
        <f t="shared" ca="1" si="195"/>
        <v>Ja</v>
      </c>
      <c r="AV240" s="185">
        <f t="shared" ca="1" si="195"/>
        <v>0</v>
      </c>
      <c r="AW240" s="185" t="str">
        <f t="shared" ca="1" si="195"/>
        <v>HP E27q G5 - E-Series</v>
      </c>
      <c r="AX240" s="185">
        <f t="shared" ca="1" si="195"/>
        <v>3060</v>
      </c>
      <c r="AY240" s="192">
        <f t="shared" ca="1" si="195"/>
        <v>815</v>
      </c>
      <c r="AZ240" s="192">
        <f t="shared" ca="1" si="195"/>
        <v>101</v>
      </c>
      <c r="BA240" s="192">
        <f t="shared" ca="1" si="195"/>
        <v>50</v>
      </c>
      <c r="BB240" s="192">
        <f t="shared" ca="1" si="195"/>
        <v>50</v>
      </c>
      <c r="BC240" s="192" t="str">
        <f t="shared" ca="1" si="196"/>
        <v>eSTUFF</v>
      </c>
      <c r="BD240" s="192" t="str">
        <f t="shared" ca="1" si="196"/>
        <v>GLBB27598337 - Filter för personlig integritet - 2-vägs - 27" - svart</v>
      </c>
      <c r="BE240" s="192" t="str">
        <f t="shared" ca="1" si="196"/>
        <v>False</v>
      </c>
      <c r="BF240" s="192" t="str">
        <f t="shared" ca="1" si="196"/>
        <v>False</v>
      </c>
      <c r="BG240" s="192" t="str">
        <f t="shared" ca="1" si="196"/>
        <v>False</v>
      </c>
      <c r="BH240" s="192" t="str">
        <f t="shared" ca="1" si="196"/>
        <v>Advania Sverige AB</v>
      </c>
      <c r="BI240" s="192" t="str">
        <f t="shared" ca="1" si="196"/>
        <v>HP</v>
      </c>
      <c r="BJ240" s="199">
        <v>24</v>
      </c>
      <c r="BK240" s="185" t="s">
        <v>92</v>
      </c>
      <c r="BL240" s="185">
        <v>2</v>
      </c>
      <c r="BM240" s="185">
        <v>2</v>
      </c>
      <c r="BN240" s="185"/>
      <c r="BO240" s="185">
        <v>1070000000</v>
      </c>
      <c r="BP240" s="185">
        <v>300</v>
      </c>
      <c r="BQ240" s="185"/>
      <c r="BR240" s="185"/>
      <c r="BS240" s="185"/>
      <c r="BT240" s="185"/>
      <c r="BU240" s="185"/>
      <c r="BV240" s="185"/>
      <c r="BW240">
        <v>0</v>
      </c>
    </row>
    <row r="241" spans="2:74" ht="22.5" customHeight="1" outlineLevel="1" x14ac:dyDescent="0.35">
      <c r="C241" s="61" t="s">
        <v>2</v>
      </c>
      <c r="D241" s="64"/>
      <c r="F241" s="78" t="str">
        <f t="shared" si="197"/>
        <v/>
      </c>
      <c r="G241" s="79" t="str">
        <f t="shared" ca="1" si="198"/>
        <v>1920x1080</v>
      </c>
      <c r="H241" s="79" t="str">
        <f t="shared" ca="1" si="198"/>
        <v>1920x1080</v>
      </c>
      <c r="I241" s="120" t="str">
        <f t="shared" ca="1" si="198"/>
        <v>1920x1080</v>
      </c>
      <c r="J241" s="62"/>
      <c r="K241" s="196">
        <f t="shared" ca="1" si="178"/>
        <v>0</v>
      </c>
      <c r="L241" s="185" t="b">
        <f t="shared" si="179"/>
        <v>1</v>
      </c>
      <c r="M241" s="185" t="s">
        <v>128</v>
      </c>
      <c r="N241" s="185" t="str">
        <f t="shared" ca="1" si="180"/>
        <v>Offererad produktnr. 11Dustin Sverige AB</v>
      </c>
      <c r="O241" s="185" cm="1">
        <f t="array" aca="1" ref="O241" ca="1">MIN(IF(($BH$239:$BH$250=M241)*($AH$239:$AH$250=$O$236),$V$239:$V$250))</f>
        <v>2190</v>
      </c>
      <c r="P241" s="197">
        <f ca="1">IFERROR(SMALL($V$239:$V$263,3),"")</f>
        <v>2076</v>
      </c>
      <c r="Q241" s="185">
        <f t="shared" si="181"/>
        <v>0</v>
      </c>
      <c r="R241" s="185">
        <f t="shared" si="182"/>
        <v>0</v>
      </c>
      <c r="S241" s="185">
        <f t="shared" si="183"/>
        <v>0</v>
      </c>
      <c r="T241" s="185">
        <f t="shared" si="184"/>
        <v>0</v>
      </c>
      <c r="U241" s="185">
        <f t="shared" si="185"/>
        <v>0</v>
      </c>
      <c r="V241" s="196">
        <f t="shared" ca="1" si="186"/>
        <v>2034</v>
      </c>
      <c r="W241" s="185" t="str">
        <f t="shared" si="187"/>
        <v>Offererad produktnr. 11Atea Sverige AB</v>
      </c>
      <c r="X241" s="185" t="b">
        <f>IF($D$240="",TRUE,IF(COUNTIF(Processor!$I$2:$I$9,$D$240)&gt;0,AND(AI241&gt;INDEX(Processor!$J$2:$J$9,MATCH($D$240,Processor!$I$2:$I$9,0)),AI241&lt;INDEX(Processor!$K$2:$K$9,MATCH($D$240,Processor!$I$2:$I$9,0))),IF(AI241=$D$240,TRUE,FALSE)))</f>
        <v>1</v>
      </c>
      <c r="Y241" s="185" t="b">
        <f t="shared" si="188"/>
        <v>1</v>
      </c>
      <c r="Z241" s="185" t="b">
        <f t="shared" si="189"/>
        <v>1</v>
      </c>
      <c r="AA241" s="185" t="b">
        <f t="shared" si="190"/>
        <v>1</v>
      </c>
      <c r="AB241" s="185" t="b">
        <f t="shared" si="191"/>
        <v>1</v>
      </c>
      <c r="AC241" s="185" t="b">
        <f t="shared" si="192"/>
        <v>1</v>
      </c>
      <c r="AD241" s="185"/>
      <c r="AE241" s="185" t="b">
        <f t="shared" si="193"/>
        <v>1</v>
      </c>
      <c r="AF241" s="185" t="b">
        <f>IFERROR(IF($D247="",TRUE,IF(MID(AT241,LEN(AT241)-2,1)*1&gt;=MID($D247,LEN($D247)-2,1)*1,TRUE,FALSE)),FALSE)</f>
        <v>1</v>
      </c>
      <c r="AG241" s="185" t="s">
        <v>196</v>
      </c>
      <c r="AH241" s="201">
        <v>1</v>
      </c>
      <c r="AI241" s="185">
        <f t="shared" ca="1" si="194"/>
        <v>23.8</v>
      </c>
      <c r="AJ241" s="185" t="str">
        <f t="shared" ca="1" si="194"/>
        <v>1920x1080</v>
      </c>
      <c r="AK241" s="185">
        <f t="shared" ca="1" si="194"/>
        <v>2</v>
      </c>
      <c r="AL241" s="185">
        <f t="shared" ca="1" si="194"/>
        <v>0</v>
      </c>
      <c r="AM241" s="185">
        <f t="shared" ca="1" si="194"/>
        <v>1</v>
      </c>
      <c r="AN241" s="185">
        <f t="shared" ca="1" si="194"/>
        <v>16700000</v>
      </c>
      <c r="AO241" s="185">
        <f t="shared" ca="1" si="194"/>
        <v>250</v>
      </c>
      <c r="AP241" s="185" t="str">
        <f t="shared" ca="1" si="194"/>
        <v>Version 8.0</v>
      </c>
      <c r="AQ241" s="185" t="str">
        <f t="shared" ca="1" si="194"/>
        <v>Ja</v>
      </c>
      <c r="AR241" s="185">
        <f t="shared" ca="1" si="194"/>
        <v>0</v>
      </c>
      <c r="AS241" s="185">
        <f t="shared" ca="1" si="195"/>
        <v>0</v>
      </c>
      <c r="AT241" s="185" t="str">
        <f t="shared" ca="1" si="195"/>
        <v>Version 8.0</v>
      </c>
      <c r="AU241" s="185" t="str">
        <f t="shared" ca="1" si="195"/>
        <v>Ja</v>
      </c>
      <c r="AV241" s="185">
        <f t="shared" ca="1" si="195"/>
        <v>0</v>
      </c>
      <c r="AW241" s="185" t="str">
        <f t="shared" ca="1" si="195"/>
        <v>F24T450FQR</v>
      </c>
      <c r="AX241" s="185">
        <f t="shared" ca="1" si="195"/>
        <v>2034</v>
      </c>
      <c r="AY241" s="192">
        <f t="shared" ca="1" si="195"/>
        <v>778</v>
      </c>
      <c r="AZ241" s="192">
        <f t="shared" ca="1" si="195"/>
        <v>94</v>
      </c>
      <c r="BA241" s="192">
        <f t="shared" ca="1" si="195"/>
        <v>85</v>
      </c>
      <c r="BB241" s="192">
        <f t="shared" ca="1" si="195"/>
        <v>100</v>
      </c>
      <c r="BC241" s="192" t="str">
        <f t="shared" ca="1" si="196"/>
        <v>Targus</v>
      </c>
      <c r="BD241" s="192" t="str">
        <f t="shared" ca="1" si="196"/>
        <v>Targus Privacy Screen - filter för personlig integritet - 23,8 tum bred</v>
      </c>
      <c r="BE241" s="192" t="str">
        <f t="shared" ca="1" si="196"/>
        <v>False</v>
      </c>
      <c r="BF241" s="192" t="str">
        <f t="shared" ca="1" si="196"/>
        <v>False</v>
      </c>
      <c r="BG241" s="192" t="str">
        <f t="shared" ca="1" si="196"/>
        <v>False</v>
      </c>
      <c r="BH241" s="192" t="str">
        <f t="shared" ca="1" si="196"/>
        <v>Atea Sverige AB</v>
      </c>
      <c r="BI241" s="192" t="str">
        <f t="shared" ca="1" si="196"/>
        <v>Samsung</v>
      </c>
      <c r="BJ241" s="199">
        <v>27</v>
      </c>
      <c r="BK241" s="185"/>
      <c r="BL241" s="185">
        <v>4</v>
      </c>
      <c r="BM241" s="185"/>
      <c r="BN241" s="185"/>
      <c r="BO241" s="185"/>
      <c r="BP241" s="185">
        <v>350</v>
      </c>
      <c r="BQ241" s="185"/>
      <c r="BR241" s="185"/>
      <c r="BS241" s="185"/>
      <c r="BT241" s="185"/>
      <c r="BU241" s="185"/>
      <c r="BV241" s="185"/>
    </row>
    <row r="242" spans="2:74" ht="22.5" customHeight="1" outlineLevel="1" x14ac:dyDescent="0.35">
      <c r="B242" t="s">
        <v>272</v>
      </c>
      <c r="C242" s="61" t="s">
        <v>67</v>
      </c>
      <c r="D242" s="64"/>
      <c r="F242" s="78" t="str">
        <f t="shared" si="197"/>
        <v/>
      </c>
      <c r="G242" s="79">
        <f t="shared" ca="1" si="198"/>
        <v>4</v>
      </c>
      <c r="H242" s="79">
        <f t="shared" ca="1" si="198"/>
        <v>2</v>
      </c>
      <c r="I242" s="120">
        <f t="shared" ca="1" si="198"/>
        <v>5</v>
      </c>
      <c r="J242" s="62"/>
      <c r="K242" s="196">
        <f t="shared" ca="1" si="178"/>
        <v>0</v>
      </c>
      <c r="L242" s="185" t="b">
        <f t="shared" si="179"/>
        <v>1</v>
      </c>
      <c r="M242" s="185" t="s">
        <v>169</v>
      </c>
      <c r="N242" s="185" t="str">
        <f t="shared" ca="1" si="180"/>
        <v>Offererad produktnr. 11Foxway Education AB</v>
      </c>
      <c r="O242" s="185" cm="1">
        <f t="array" aca="1" ref="O242" ca="1">MIN(IF(($BH$239:$BH$250=M242)*($AH$239:$AH$250=$O$236),$V$239:$V$250))</f>
        <v>2361</v>
      </c>
      <c r="P242" s="197"/>
      <c r="Q242" s="185">
        <f t="shared" si="181"/>
        <v>0</v>
      </c>
      <c r="R242" s="185">
        <f t="shared" si="182"/>
        <v>0</v>
      </c>
      <c r="S242" s="185">
        <f t="shared" si="183"/>
        <v>0</v>
      </c>
      <c r="T242" s="185">
        <f t="shared" si="184"/>
        <v>0</v>
      </c>
      <c r="U242" s="185">
        <f t="shared" si="185"/>
        <v>0</v>
      </c>
      <c r="V242" s="196">
        <f t="shared" ca="1" si="186"/>
        <v>3234</v>
      </c>
      <c r="W242" s="185" t="str">
        <f t="shared" si="187"/>
        <v>Offererad produktnr. 12Atea Sverige AB</v>
      </c>
      <c r="X242" s="185" t="b">
        <f>IF($D$240="",TRUE,IF(COUNTIF(Processor!$I$2:$I$9,$D$240)&gt;0,AND(AI242&gt;INDEX(Processor!$J$2:$J$9,MATCH($D$240,Processor!$I$2:$I$9,0)),AI242&lt;INDEX(Processor!$K$2:$K$9,MATCH($D$240,Processor!$I$2:$I$9,0))),IF(AI242=$D$240,TRUE,FALSE)))</f>
        <v>1</v>
      </c>
      <c r="Y242" s="185" t="b">
        <f t="shared" si="188"/>
        <v>1</v>
      </c>
      <c r="Z242" s="185" t="b">
        <f t="shared" si="189"/>
        <v>1</v>
      </c>
      <c r="AA242" s="185" t="b">
        <f t="shared" si="190"/>
        <v>1</v>
      </c>
      <c r="AB242" s="185" t="b">
        <f t="shared" si="191"/>
        <v>1</v>
      </c>
      <c r="AC242" s="185" t="b">
        <f t="shared" si="192"/>
        <v>1</v>
      </c>
      <c r="AD242" s="185"/>
      <c r="AE242" s="185" t="b">
        <f t="shared" si="193"/>
        <v>1</v>
      </c>
      <c r="AF242" s="185" t="b">
        <f>IFERROR(IF($D247="",TRUE,IF(MID(AT242,LEN(AT242)-2,1)*1&gt;=MID($D247,LEN($D247)-2,1)*1,TRUE,FALSE)),FALSE)</f>
        <v>1</v>
      </c>
      <c r="AG242" s="185" t="s">
        <v>197</v>
      </c>
      <c r="AH242" s="201">
        <v>1</v>
      </c>
      <c r="AI242" s="185">
        <f t="shared" ca="1" si="194"/>
        <v>27</v>
      </c>
      <c r="AJ242" s="185" t="str">
        <f t="shared" ca="1" si="194"/>
        <v>2560x1440</v>
      </c>
      <c r="AK242" s="185">
        <f t="shared" ca="1" si="194"/>
        <v>4</v>
      </c>
      <c r="AL242" s="185">
        <f t="shared" ca="1" si="194"/>
        <v>0</v>
      </c>
      <c r="AM242" s="185">
        <f t="shared" ca="1" si="194"/>
        <v>1</v>
      </c>
      <c r="AN242" s="185">
        <f t="shared" ca="1" si="194"/>
        <v>1070000000</v>
      </c>
      <c r="AO242" s="185">
        <f t="shared" ca="1" si="194"/>
        <v>300</v>
      </c>
      <c r="AP242" s="185" t="str">
        <f t="shared" ca="1" si="194"/>
        <v>Version 8.0</v>
      </c>
      <c r="AQ242" s="185" t="str">
        <f t="shared" ca="1" si="194"/>
        <v>Ja</v>
      </c>
      <c r="AR242" s="185">
        <f t="shared" ca="1" si="194"/>
        <v>0</v>
      </c>
      <c r="AS242" s="185">
        <f t="shared" ca="1" si="195"/>
        <v>0</v>
      </c>
      <c r="AT242" s="185" t="str">
        <f t="shared" ca="1" si="195"/>
        <v>Version 8.0</v>
      </c>
      <c r="AU242" s="185" t="str">
        <f t="shared" ca="1" si="195"/>
        <v>Ja</v>
      </c>
      <c r="AV242" s="185">
        <f t="shared" ca="1" si="195"/>
        <v>0</v>
      </c>
      <c r="AW242" s="185" t="str">
        <f t="shared" ca="1" si="195"/>
        <v>S27A600NAU</v>
      </c>
      <c r="AX242" s="185">
        <f t="shared" ca="1" si="195"/>
        <v>3234</v>
      </c>
      <c r="AY242" s="192">
        <f t="shared" ca="1" si="195"/>
        <v>1020</v>
      </c>
      <c r="AZ242" s="192">
        <f t="shared" ca="1" si="195"/>
        <v>164</v>
      </c>
      <c r="BA242" s="192">
        <f t="shared" ca="1" si="195"/>
        <v>85</v>
      </c>
      <c r="BB242" s="192">
        <f t="shared" ca="1" si="195"/>
        <v>100</v>
      </c>
      <c r="BC242" s="192" t="str">
        <f t="shared" ca="1" si="196"/>
        <v>Targus</v>
      </c>
      <c r="BD242" s="192" t="str">
        <f t="shared" ca="1" si="196"/>
        <v>Targus Privacy Screen 27" Widescreen (16:9) - filter för personlig integritet - 27 tum bred</v>
      </c>
      <c r="BE242" s="192" t="str">
        <f t="shared" ca="1" si="196"/>
        <v>False</v>
      </c>
      <c r="BF242" s="192" t="str">
        <f t="shared" ca="1" si="196"/>
        <v>False</v>
      </c>
      <c r="BG242" s="192" t="str">
        <f t="shared" ca="1" si="196"/>
        <v>False</v>
      </c>
      <c r="BH242" s="192" t="str">
        <f t="shared" ca="1" si="196"/>
        <v>Atea Sverige AB</v>
      </c>
      <c r="BI242" s="192" t="str">
        <f t="shared" ca="1" si="196"/>
        <v>Samsung</v>
      </c>
      <c r="BJ242" s="199"/>
      <c r="BK242" s="185"/>
      <c r="BL242" s="185">
        <v>5</v>
      </c>
      <c r="BM242" s="185"/>
      <c r="BN242" s="185"/>
      <c r="BO242" s="185"/>
      <c r="BP242" s="185"/>
      <c r="BQ242" s="185"/>
      <c r="BR242" s="185"/>
      <c r="BS242" s="185"/>
      <c r="BT242" s="185"/>
      <c r="BU242" s="185"/>
      <c r="BV242" s="185"/>
    </row>
    <row r="243" spans="2:74" ht="22.5" customHeight="1" outlineLevel="1" x14ac:dyDescent="0.35">
      <c r="C243" s="61" t="s">
        <v>68</v>
      </c>
      <c r="D243" s="64"/>
      <c r="F243" s="78" t="str">
        <f t="shared" si="197"/>
        <v/>
      </c>
      <c r="G243" s="79">
        <f t="shared" ca="1" si="198"/>
        <v>0</v>
      </c>
      <c r="H243" s="79">
        <f t="shared" ca="1" si="198"/>
        <v>0</v>
      </c>
      <c r="I243" s="120">
        <f t="shared" ca="1" si="198"/>
        <v>0</v>
      </c>
      <c r="J243" s="62"/>
      <c r="K243" s="196">
        <f t="shared" ca="1" si="178"/>
        <v>0</v>
      </c>
      <c r="L243" s="185" t="b">
        <f t="shared" si="179"/>
        <v>1</v>
      </c>
      <c r="M243" s="185" t="s">
        <v>167</v>
      </c>
      <c r="N243" s="185" t="str">
        <f t="shared" ca="1" si="180"/>
        <v/>
      </c>
      <c r="O243" s="185" cm="1">
        <f t="array" aca="1" ref="O243" ca="1">MIN(IF(($BH$239:$BH$250=M243)*($AH$239:$AH$250=$O$236),$V$239:$V$250))</f>
        <v>0</v>
      </c>
      <c r="P243" s="197"/>
      <c r="Q243" s="185">
        <f t="shared" si="181"/>
        <v>0</v>
      </c>
      <c r="R243" s="185">
        <f t="shared" si="182"/>
        <v>0</v>
      </c>
      <c r="S243" s="185">
        <f t="shared" si="183"/>
        <v>0</v>
      </c>
      <c r="T243" s="185">
        <f t="shared" si="184"/>
        <v>0</v>
      </c>
      <c r="U243" s="185">
        <f t="shared" si="185"/>
        <v>0</v>
      </c>
      <c r="V243" s="196">
        <f t="shared" ca="1" si="186"/>
        <v>2190</v>
      </c>
      <c r="W243" s="185" t="str">
        <f t="shared" si="187"/>
        <v>Offererad produktnr. 11Dustin Sverige AB</v>
      </c>
      <c r="X243" s="185" t="b">
        <f>IF($D$240="",TRUE,IF(COUNTIF(Processor!$I$2:$I$9,$D$240)&gt;0,AND(AI243&gt;INDEX(Processor!$J$2:$J$9,MATCH($D$240,Processor!$I$2:$I$9,0)),AI243&lt;INDEX(Processor!$K$2:$K$9,MATCH($D$240,Processor!$I$2:$I$9,0))),IF(AI243=$D$240,TRUE,FALSE)))</f>
        <v>1</v>
      </c>
      <c r="Y243" s="185" t="b">
        <f t="shared" si="188"/>
        <v>1</v>
      </c>
      <c r="Z243" s="185" t="b">
        <f t="shared" si="189"/>
        <v>1</v>
      </c>
      <c r="AA243" s="185" t="b">
        <f t="shared" si="190"/>
        <v>1</v>
      </c>
      <c r="AB243" s="185" t="b">
        <f t="shared" si="191"/>
        <v>1</v>
      </c>
      <c r="AC243" s="185" t="b">
        <f t="shared" si="192"/>
        <v>1</v>
      </c>
      <c r="AD243" s="185"/>
      <c r="AE243" s="185" t="b">
        <f t="shared" si="193"/>
        <v>1</v>
      </c>
      <c r="AF243" s="185" t="b">
        <f>IFERROR(IF($D247="",TRUE,IF(MID(AT243,LEN(AT243)-2,1)*1&gt;=MID($D247,LEN($D247)-2,1)*1,TRUE,FALSE)),FALSE)</f>
        <v>1</v>
      </c>
      <c r="AG243" s="185" t="s">
        <v>184</v>
      </c>
      <c r="AH243" s="201">
        <v>1</v>
      </c>
      <c r="AI243" s="185">
        <f t="shared" ca="1" si="194"/>
        <v>23.8</v>
      </c>
      <c r="AJ243" s="185" t="str">
        <f t="shared" ca="1" si="194"/>
        <v>1920x1080</v>
      </c>
      <c r="AK243" s="185">
        <f t="shared" ca="1" si="194"/>
        <v>0</v>
      </c>
      <c r="AL243" s="185">
        <f t="shared" ca="1" si="194"/>
        <v>0</v>
      </c>
      <c r="AM243" s="185">
        <f t="shared" ca="1" si="194"/>
        <v>1</v>
      </c>
      <c r="AN243" s="185">
        <f t="shared" ca="1" si="194"/>
        <v>16700000</v>
      </c>
      <c r="AO243" s="185">
        <f t="shared" ca="1" si="194"/>
        <v>250</v>
      </c>
      <c r="AP243" s="185" t="str">
        <f t="shared" ca="1" si="194"/>
        <v>Version 8.0</v>
      </c>
      <c r="AQ243" s="185" t="str">
        <f t="shared" ca="1" si="194"/>
        <v>Ja</v>
      </c>
      <c r="AR243" s="185">
        <f t="shared" ca="1" si="194"/>
        <v>0</v>
      </c>
      <c r="AS243" s="185">
        <f t="shared" ca="1" si="195"/>
        <v>0</v>
      </c>
      <c r="AT243" s="185" t="str">
        <f t="shared" ca="1" si="195"/>
        <v>Version 8.0</v>
      </c>
      <c r="AU243" s="185" t="str">
        <f t="shared" ca="1" si="195"/>
        <v>Ja</v>
      </c>
      <c r="AV243" s="185">
        <f t="shared" ca="1" si="195"/>
        <v>0</v>
      </c>
      <c r="AW243" s="185" t="str">
        <f t="shared" ca="1" si="195"/>
        <v>HP P24h G5</v>
      </c>
      <c r="AX243" s="185">
        <f t="shared" ca="1" si="195"/>
        <v>2190</v>
      </c>
      <c r="AY243" s="192">
        <f t="shared" ca="1" si="195"/>
        <v>620</v>
      </c>
      <c r="AZ243" s="192">
        <f t="shared" ca="1" si="195"/>
        <v>28</v>
      </c>
      <c r="BA243" s="192">
        <f t="shared" ca="1" si="195"/>
        <v>20</v>
      </c>
      <c r="BB243" s="192">
        <f t="shared" ca="1" si="195"/>
        <v>20</v>
      </c>
      <c r="BC243" s="192" t="str">
        <f t="shared" ca="1" si="196"/>
        <v>Cirafon</v>
      </c>
      <c r="BD243" s="192" t="str">
        <f t="shared" ca="1" si="196"/>
        <v>DPF23.8-9</v>
      </c>
      <c r="BE243" s="192" t="str">
        <f t="shared" ca="1" si="196"/>
        <v>False</v>
      </c>
      <c r="BF243" s="192" t="str">
        <f t="shared" ca="1" si="196"/>
        <v>False</v>
      </c>
      <c r="BG243" s="192" t="str">
        <f t="shared" ca="1" si="196"/>
        <v>False</v>
      </c>
      <c r="BH243" s="192" t="str">
        <f t="shared" ca="1" si="196"/>
        <v>Dustin Sverige AB</v>
      </c>
      <c r="BI243" s="192" t="str">
        <f t="shared" ca="1" si="196"/>
        <v>HP</v>
      </c>
    </row>
    <row r="244" spans="2:74" ht="22.5" customHeight="1" outlineLevel="1" x14ac:dyDescent="0.35">
      <c r="C244" s="61" t="s">
        <v>73</v>
      </c>
      <c r="D244" s="64"/>
      <c r="F244" s="78" t="str">
        <f t="shared" si="197"/>
        <v/>
      </c>
      <c r="G244" s="79">
        <f t="shared" ca="1" si="198"/>
        <v>1</v>
      </c>
      <c r="H244" s="79">
        <f t="shared" ca="1" si="198"/>
        <v>1</v>
      </c>
      <c r="I244" s="120">
        <f t="shared" ca="1" si="198"/>
        <v>1</v>
      </c>
      <c r="J244" s="62"/>
      <c r="K244" s="196">
        <f t="shared" ca="1" si="178"/>
        <v>0</v>
      </c>
      <c r="L244" s="185" t="b">
        <f t="shared" si="179"/>
        <v>1</v>
      </c>
      <c r="M244" s="185" t="s">
        <v>546</v>
      </c>
      <c r="N244" s="185" t="str">
        <f t="shared" ca="1" si="180"/>
        <v>Offererad produktnr. 11Qlosr Göteborg AB</v>
      </c>
      <c r="O244" s="185" cm="1">
        <f t="array" aca="1" ref="O244" ca="1">MIN(IF(($BH$239:$BH$250=M244)*($AH$239:$AH$250=$O$236),$V$239:$V$250))</f>
        <v>2076</v>
      </c>
      <c r="P244" s="197"/>
      <c r="Q244" s="185">
        <f t="shared" si="181"/>
        <v>0</v>
      </c>
      <c r="R244" s="185">
        <f t="shared" si="182"/>
        <v>0</v>
      </c>
      <c r="S244" s="185">
        <f t="shared" si="183"/>
        <v>0</v>
      </c>
      <c r="T244" s="185">
        <f t="shared" si="184"/>
        <v>0</v>
      </c>
      <c r="U244" s="185">
        <f t="shared" si="185"/>
        <v>0</v>
      </c>
      <c r="V244" s="196">
        <f t="shared" ca="1" si="186"/>
        <v>3010</v>
      </c>
      <c r="W244" s="185" t="str">
        <f t="shared" si="187"/>
        <v>Offererad produktnr. 12Dustin Sverige AB</v>
      </c>
      <c r="X244" s="185" t="b">
        <f>IF($D$240="",TRUE,IF(COUNTIF(Processor!$I$2:$I$9,$D$240)&gt;0,AND(AI244&gt;INDEX(Processor!$J$2:$J$9,MATCH($D$240,Processor!$I$2:$I$9,0)),AI244&lt;INDEX(Processor!$K$2:$K$9,MATCH($D$240,Processor!$I$2:$I$9,0))),IF(AI244=$D$240,TRUE,FALSE)))</f>
        <v>1</v>
      </c>
      <c r="Y244" s="185" t="b">
        <f t="shared" si="188"/>
        <v>1</v>
      </c>
      <c r="Z244" s="185" t="b">
        <f t="shared" si="189"/>
        <v>1</v>
      </c>
      <c r="AA244" s="185" t="b">
        <f t="shared" si="190"/>
        <v>1</v>
      </c>
      <c r="AB244" s="185" t="b">
        <f t="shared" si="191"/>
        <v>1</v>
      </c>
      <c r="AC244" s="185" t="b">
        <f t="shared" si="192"/>
        <v>1</v>
      </c>
      <c r="AD244" s="185"/>
      <c r="AE244" s="185" t="b">
        <f t="shared" si="193"/>
        <v>1</v>
      </c>
      <c r="AF244" s="185" t="b">
        <f>IFERROR(IF($D247="",TRUE,IF(MID(AT244,LEN(AT244)-2,1)*1&gt;=MID($D247,LEN($D247)-2,1)*1,TRUE,FALSE)),FALSE)</f>
        <v>1</v>
      </c>
      <c r="AG244" s="185" t="s">
        <v>185</v>
      </c>
      <c r="AH244" s="201">
        <v>1</v>
      </c>
      <c r="AI244" s="185">
        <f t="shared" ca="1" si="194"/>
        <v>27</v>
      </c>
      <c r="AJ244" s="185" t="str">
        <f t="shared" ca="1" si="194"/>
        <v>2560x1440</v>
      </c>
      <c r="AK244" s="185">
        <f t="shared" ca="1" si="194"/>
        <v>4</v>
      </c>
      <c r="AL244" s="185">
        <f t="shared" ca="1" si="194"/>
        <v>0</v>
      </c>
      <c r="AM244" s="185">
        <f t="shared" ca="1" si="194"/>
        <v>1</v>
      </c>
      <c r="AN244" s="185">
        <f t="shared" ca="1" si="194"/>
        <v>16700000</v>
      </c>
      <c r="AO244" s="185">
        <f t="shared" ca="1" si="194"/>
        <v>350</v>
      </c>
      <c r="AP244" s="185" t="str">
        <f t="shared" ca="1" si="194"/>
        <v>Version 8.0</v>
      </c>
      <c r="AQ244" s="185" t="str">
        <f t="shared" ca="1" si="194"/>
        <v>Ja</v>
      </c>
      <c r="AR244" s="185">
        <f t="shared" ca="1" si="194"/>
        <v>0</v>
      </c>
      <c r="AS244" s="185">
        <f t="shared" ca="1" si="195"/>
        <v>0</v>
      </c>
      <c r="AT244" s="185" t="str">
        <f t="shared" ca="1" si="195"/>
        <v>Version 8.0</v>
      </c>
      <c r="AU244" s="185" t="str">
        <f t="shared" ca="1" si="195"/>
        <v>Ja</v>
      </c>
      <c r="AV244" s="185">
        <f t="shared" ca="1" si="195"/>
        <v>0</v>
      </c>
      <c r="AW244" s="185" t="str">
        <f t="shared" ca="1" si="195"/>
        <v>HP E27Q G5 PVC Free </v>
      </c>
      <c r="AX244" s="185">
        <f t="shared" ca="1" si="195"/>
        <v>3010</v>
      </c>
      <c r="AY244" s="192">
        <f t="shared" ca="1" si="195"/>
        <v>700</v>
      </c>
      <c r="AZ244" s="192">
        <f t="shared" ca="1" si="195"/>
        <v>28</v>
      </c>
      <c r="BA244" s="192">
        <f t="shared" ca="1" si="195"/>
        <v>20</v>
      </c>
      <c r="BB244" s="192">
        <f t="shared" ca="1" si="195"/>
        <v>20</v>
      </c>
      <c r="BC244" s="192" t="str">
        <f t="shared" ca="1" si="196"/>
        <v>Cirafon</v>
      </c>
      <c r="BD244" s="192" t="str">
        <f t="shared" ca="1" si="196"/>
        <v>DPF27-9</v>
      </c>
      <c r="BE244" s="192" t="str">
        <f t="shared" ca="1" si="196"/>
        <v>False</v>
      </c>
      <c r="BF244" s="192" t="str">
        <f t="shared" ca="1" si="196"/>
        <v>False</v>
      </c>
      <c r="BG244" s="192" t="str">
        <f t="shared" ca="1" si="196"/>
        <v>False</v>
      </c>
      <c r="BH244" s="192" t="str">
        <f t="shared" ca="1" si="196"/>
        <v>Dustin Sverige AB</v>
      </c>
      <c r="BI244" s="192" t="str">
        <f t="shared" ca="1" si="196"/>
        <v>HP</v>
      </c>
    </row>
    <row r="245" spans="2:74" ht="22.5" customHeight="1" outlineLevel="1" x14ac:dyDescent="0.35">
      <c r="C245" s="61" t="s">
        <v>13</v>
      </c>
      <c r="D245" s="135"/>
      <c r="F245" s="176" t="str">
        <f t="shared" si="197"/>
        <v/>
      </c>
      <c r="G245" s="136">
        <f t="shared" ca="1" si="198"/>
        <v>16700000</v>
      </c>
      <c r="H245" s="136">
        <f t="shared" ca="1" si="198"/>
        <v>16700000</v>
      </c>
      <c r="I245" s="137">
        <f t="shared" ca="1" si="198"/>
        <v>16700000</v>
      </c>
      <c r="J245" s="62"/>
      <c r="Q245" s="185">
        <f t="shared" si="181"/>
        <v>0</v>
      </c>
      <c r="R245" s="185">
        <f t="shared" si="182"/>
        <v>0</v>
      </c>
      <c r="S245" s="185">
        <f t="shared" si="183"/>
        <v>0</v>
      </c>
      <c r="T245" s="185">
        <f t="shared" si="184"/>
        <v>0</v>
      </c>
      <c r="U245" s="185">
        <f t="shared" si="185"/>
        <v>0</v>
      </c>
      <c r="V245" s="196">
        <f t="shared" ca="1" si="186"/>
        <v>2361</v>
      </c>
      <c r="W245" s="185" t="str">
        <f t="shared" si="187"/>
        <v>Offererad produktnr. 11Foxway Education AB</v>
      </c>
      <c r="X245" s="185" t="b">
        <f>IF($D$240="",TRUE,IF(COUNTIF(Processor!$I$2:$I$9,$D$240)&gt;0,AND(AI245&gt;INDEX(Processor!$J$2:$J$9,MATCH($D$240,Processor!$I$2:$I$9,0)),AI245&lt;INDEX(Processor!$K$2:$K$9,MATCH($D$240,Processor!$I$2:$I$9,0))),IF(AI245=$D$240,TRUE,FALSE)))</f>
        <v>1</v>
      </c>
      <c r="Y245" s="185" t="b">
        <f t="shared" si="188"/>
        <v>1</v>
      </c>
      <c r="Z245" s="185" t="b">
        <f t="shared" si="189"/>
        <v>1</v>
      </c>
      <c r="AA245" s="185" t="b">
        <f t="shared" si="190"/>
        <v>1</v>
      </c>
      <c r="AB245" s="185" t="b">
        <f t="shared" si="191"/>
        <v>1</v>
      </c>
      <c r="AC245" s="185" t="b">
        <f t="shared" si="192"/>
        <v>1</v>
      </c>
      <c r="AD245" s="185"/>
      <c r="AE245" s="185" t="b">
        <f t="shared" si="193"/>
        <v>1</v>
      </c>
      <c r="AF245" s="185" t="b">
        <f>IFERROR(IF($D247="",TRUE,IF(MID(AT245,LEN(AT245)-2,1)*1&gt;=MID($D247,LEN($D247)-2,1)*1,TRUE,FALSE)),FALSE)</f>
        <v>1</v>
      </c>
      <c r="AG245" s="185" t="s">
        <v>220</v>
      </c>
      <c r="AH245" s="201">
        <v>1</v>
      </c>
      <c r="AI245" s="185">
        <f t="shared" ca="1" si="194"/>
        <v>23.8</v>
      </c>
      <c r="AJ245" s="185" t="str">
        <f t="shared" ca="1" si="194"/>
        <v>1920x1080</v>
      </c>
      <c r="AK245" s="185">
        <f t="shared" ca="1" si="194"/>
        <v>0</v>
      </c>
      <c r="AL245" s="185">
        <f t="shared" ca="1" si="194"/>
        <v>0</v>
      </c>
      <c r="AM245" s="185">
        <f t="shared" ca="1" si="194"/>
        <v>1</v>
      </c>
      <c r="AN245" s="185">
        <f t="shared" ca="1" si="194"/>
        <v>16700000</v>
      </c>
      <c r="AO245" s="185">
        <f t="shared" ca="1" si="194"/>
        <v>250</v>
      </c>
      <c r="AP245" s="185" t="str">
        <f t="shared" ca="1" si="194"/>
        <v>Version 8.0</v>
      </c>
      <c r="AQ245" s="185" t="str">
        <f t="shared" ca="1" si="194"/>
        <v>Ja</v>
      </c>
      <c r="AR245" s="185">
        <f t="shared" ca="1" si="194"/>
        <v>0</v>
      </c>
      <c r="AS245" s="185">
        <f t="shared" ca="1" si="195"/>
        <v>0</v>
      </c>
      <c r="AT245" s="185" t="str">
        <f t="shared" ca="1" si="195"/>
        <v>Version 8.0</v>
      </c>
      <c r="AU245" s="185" t="str">
        <f t="shared" ca="1" si="195"/>
        <v>Ja</v>
      </c>
      <c r="AV245" s="185">
        <f t="shared" ca="1" si="195"/>
        <v>0</v>
      </c>
      <c r="AW245" s="185" t="str">
        <f t="shared" ca="1" si="195"/>
        <v>E24-29</v>
      </c>
      <c r="AX245" s="185">
        <f t="shared" ca="1" si="195"/>
        <v>2361</v>
      </c>
      <c r="AY245" s="192">
        <f t="shared" ca="1" si="195"/>
        <v>516</v>
      </c>
      <c r="AZ245" s="192">
        <f t="shared" ca="1" si="195"/>
        <v>90</v>
      </c>
      <c r="BA245" s="192">
        <f t="shared" ca="1" si="195"/>
        <v>60</v>
      </c>
      <c r="BB245" s="192">
        <f t="shared" ca="1" si="195"/>
        <v>50</v>
      </c>
      <c r="BC245" s="192" t="str">
        <f t="shared" ca="1" si="196"/>
        <v>Targus</v>
      </c>
      <c r="BD245" s="192" t="str">
        <f t="shared" ca="1" si="196"/>
        <v>Targus Privacy Screen 23.8"</v>
      </c>
      <c r="BE245" s="192" t="str">
        <f t="shared" ca="1" si="196"/>
        <v>False</v>
      </c>
      <c r="BF245" s="192" t="str">
        <f t="shared" ca="1" si="196"/>
        <v>False</v>
      </c>
      <c r="BG245" s="192" t="str">
        <f t="shared" ca="1" si="196"/>
        <v>False</v>
      </c>
      <c r="BH245" s="192" t="str">
        <f t="shared" ca="1" si="196"/>
        <v>Foxway Education AB</v>
      </c>
      <c r="BI245" s="192" t="str">
        <f t="shared" ca="1" si="196"/>
        <v>Lenovo</v>
      </c>
    </row>
    <row r="246" spans="2:74" ht="22.5" customHeight="1" outlineLevel="1" x14ac:dyDescent="0.35">
      <c r="C246" s="61" t="s">
        <v>14</v>
      </c>
      <c r="D246" s="64"/>
      <c r="F246" s="78" t="str">
        <f t="shared" si="197"/>
        <v/>
      </c>
      <c r="G246" s="79">
        <f t="shared" ca="1" si="198"/>
        <v>250</v>
      </c>
      <c r="H246" s="79">
        <f t="shared" ca="1" si="198"/>
        <v>250</v>
      </c>
      <c r="I246" s="120">
        <f t="shared" ca="1" si="198"/>
        <v>250</v>
      </c>
      <c r="J246" s="62"/>
      <c r="Q246" s="185">
        <f t="shared" si="181"/>
        <v>0</v>
      </c>
      <c r="R246" s="185">
        <f t="shared" si="182"/>
        <v>0</v>
      </c>
      <c r="S246" s="185">
        <f t="shared" si="183"/>
        <v>0</v>
      </c>
      <c r="T246" s="185">
        <f t="shared" si="184"/>
        <v>0</v>
      </c>
      <c r="U246" s="185">
        <f t="shared" si="185"/>
        <v>0</v>
      </c>
      <c r="V246" s="196">
        <f t="shared" ca="1" si="186"/>
        <v>3002</v>
      </c>
      <c r="W246" s="185" t="str">
        <f t="shared" si="187"/>
        <v>Offererad produktnr. 12Foxway Education AB</v>
      </c>
      <c r="X246" s="185" t="b">
        <f>IF($D$240="",TRUE,IF(COUNTIF(Processor!$I$2:$I$9,$D$240)&gt;0,AND(AI246&gt;INDEX(Processor!$J$2:$J$9,MATCH($D$240,Processor!$I$2:$I$9,0)),AI246&lt;INDEX(Processor!$K$2:$K$9,MATCH($D$240,Processor!$I$2:$I$9,0))),IF(AI246=$D$240,TRUE,FALSE)))</f>
        <v>1</v>
      </c>
      <c r="Y246" s="185" t="b">
        <f t="shared" si="188"/>
        <v>1</v>
      </c>
      <c r="Z246" s="185" t="b">
        <f t="shared" si="189"/>
        <v>1</v>
      </c>
      <c r="AA246" s="185" t="b">
        <f t="shared" si="190"/>
        <v>1</v>
      </c>
      <c r="AB246" s="185" t="b">
        <f t="shared" si="191"/>
        <v>1</v>
      </c>
      <c r="AC246" s="185" t="b">
        <f t="shared" si="192"/>
        <v>1</v>
      </c>
      <c r="AD246" s="185"/>
      <c r="AE246" s="185" t="b">
        <f t="shared" si="193"/>
        <v>1</v>
      </c>
      <c r="AF246" s="185" t="b">
        <f>IFERROR(IF($D247="",TRUE,IF(MID(AT246,LEN(AT246)-2,1)*1&gt;=MID($D247,LEN($D247)-2,1)*1,TRUE,FALSE)),FALSE)</f>
        <v>1</v>
      </c>
      <c r="AG246" s="185" t="s">
        <v>221</v>
      </c>
      <c r="AH246" s="201">
        <v>1</v>
      </c>
      <c r="AI246" s="185">
        <f t="shared" ca="1" si="194"/>
        <v>27</v>
      </c>
      <c r="AJ246" s="185" t="str">
        <f t="shared" ca="1" si="194"/>
        <v>2560x1440</v>
      </c>
      <c r="AK246" s="185">
        <f t="shared" ca="1" si="194"/>
        <v>0</v>
      </c>
      <c r="AL246" s="185">
        <f t="shared" ca="1" si="194"/>
        <v>0</v>
      </c>
      <c r="AM246" s="185">
        <f t="shared" ca="1" si="194"/>
        <v>1</v>
      </c>
      <c r="AN246" s="185">
        <f t="shared" ca="1" si="194"/>
        <v>16700000</v>
      </c>
      <c r="AO246" s="185">
        <f t="shared" ca="1" si="194"/>
        <v>350</v>
      </c>
      <c r="AP246" s="185" t="str">
        <f t="shared" ca="1" si="194"/>
        <v>Version 8.0</v>
      </c>
      <c r="AQ246" s="185" t="str">
        <f t="shared" ca="1" si="194"/>
        <v>Ja</v>
      </c>
      <c r="AR246" s="185">
        <f t="shared" ca="1" si="194"/>
        <v>0</v>
      </c>
      <c r="AS246" s="185">
        <f t="shared" ca="1" si="195"/>
        <v>0</v>
      </c>
      <c r="AT246" s="185" t="str">
        <f t="shared" ca="1" si="195"/>
        <v>Version 8.0</v>
      </c>
      <c r="AU246" s="185" t="str">
        <f t="shared" ca="1" si="195"/>
        <v>Ja</v>
      </c>
      <c r="AV246" s="185">
        <f t="shared" ca="1" si="195"/>
        <v>0</v>
      </c>
      <c r="AW246" s="185" t="str">
        <f t="shared" ca="1" si="195"/>
        <v>E27q-20</v>
      </c>
      <c r="AX246" s="185">
        <f t="shared" ca="1" si="195"/>
        <v>3002</v>
      </c>
      <c r="AY246" s="192">
        <f t="shared" ca="1" si="195"/>
        <v>672</v>
      </c>
      <c r="AZ246" s="192">
        <f t="shared" ca="1" si="195"/>
        <v>90</v>
      </c>
      <c r="BA246" s="192">
        <f t="shared" ca="1" si="195"/>
        <v>60</v>
      </c>
      <c r="BB246" s="192">
        <f t="shared" ca="1" si="195"/>
        <v>50</v>
      </c>
      <c r="BC246" s="192" t="str">
        <f t="shared" ca="1" si="196"/>
        <v>Targus</v>
      </c>
      <c r="BD246" s="192" t="str">
        <f t="shared" ca="1" si="196"/>
        <v>Targus Privacy Screen 27"</v>
      </c>
      <c r="BE246" s="192" t="str">
        <f t="shared" ca="1" si="196"/>
        <v>False</v>
      </c>
      <c r="BF246" s="192" t="str">
        <f t="shared" ca="1" si="196"/>
        <v>False</v>
      </c>
      <c r="BG246" s="192" t="str">
        <f t="shared" ca="1" si="196"/>
        <v>False</v>
      </c>
      <c r="BH246" s="192" t="str">
        <f t="shared" ca="1" si="196"/>
        <v>Foxway Education AB</v>
      </c>
      <c r="BI246" s="192" t="str">
        <f t="shared" ca="1" si="196"/>
        <v>Lenovo</v>
      </c>
    </row>
    <row r="247" spans="2:74" ht="22.5" customHeight="1" outlineLevel="1" x14ac:dyDescent="0.35">
      <c r="C247" s="61" t="s">
        <v>38</v>
      </c>
      <c r="D247" s="64"/>
      <c r="F247" s="78" t="str">
        <f t="shared" si="197"/>
        <v/>
      </c>
      <c r="G247" s="79" t="str">
        <f t="shared" ca="1" si="198"/>
        <v>Version 8.0</v>
      </c>
      <c r="H247" s="79" t="str">
        <f t="shared" ca="1" si="198"/>
        <v>Version 8.0</v>
      </c>
      <c r="I247" s="120" t="str">
        <f t="shared" ca="1" si="198"/>
        <v>Version 8.0</v>
      </c>
      <c r="J247" s="62"/>
      <c r="Q247" s="185">
        <f t="shared" si="181"/>
        <v>0</v>
      </c>
      <c r="R247" s="185">
        <f t="shared" si="182"/>
        <v>0</v>
      </c>
      <c r="S247" s="185">
        <f t="shared" si="183"/>
        <v>0</v>
      </c>
      <c r="T247" s="185">
        <f t="shared" si="184"/>
        <v>0</v>
      </c>
      <c r="U247" s="185">
        <f t="shared" si="185"/>
        <v>0</v>
      </c>
      <c r="V247" s="196">
        <f t="shared" ca="1" si="186"/>
        <v>2076</v>
      </c>
      <c r="W247" s="185" t="str">
        <f t="shared" si="187"/>
        <v>Offererad produktnr. 11Qlosr Göteborg AB</v>
      </c>
      <c r="X247" s="185" t="b">
        <f>IF($D$240="",TRUE,IF(COUNTIF(Processor!$I$2:$I$9,$D$240)&gt;0,AND(AI247&gt;INDEX(Processor!$J$2:$J$9,MATCH($D$240,Processor!$I$2:$I$9,0)),AI247&lt;INDEX(Processor!$K$2:$K$9,MATCH($D$240,Processor!$I$2:$I$9,0))),IF(AI247=$D$240,TRUE,FALSE)))</f>
        <v>1</v>
      </c>
      <c r="Y247" s="185" t="b">
        <f t="shared" si="188"/>
        <v>1</v>
      </c>
      <c r="Z247" s="185" t="b">
        <f t="shared" si="189"/>
        <v>1</v>
      </c>
      <c r="AA247" s="185" t="b">
        <f t="shared" si="190"/>
        <v>1</v>
      </c>
      <c r="AB247" s="185" t="b">
        <f t="shared" si="191"/>
        <v>1</v>
      </c>
      <c r="AC247" s="185" t="b">
        <f t="shared" si="192"/>
        <v>1</v>
      </c>
      <c r="AD247" s="185"/>
      <c r="AE247" s="185" t="b">
        <f t="shared" si="193"/>
        <v>1</v>
      </c>
      <c r="AF247" s="185" t="b">
        <f>IFERROR(IF($D247="",TRUE,IF(MID(AT247,LEN(AT247)-2,1)*1&gt;=MID($D247,LEN($D247)-2,1)*1,TRUE,FALSE)),FALSE)</f>
        <v>1</v>
      </c>
      <c r="AG247" s="185" t="s">
        <v>562</v>
      </c>
      <c r="AH247" s="201">
        <v>1</v>
      </c>
      <c r="AI247" s="185">
        <f t="shared" ca="1" si="194"/>
        <v>23.8</v>
      </c>
      <c r="AJ247" s="185" t="str">
        <f t="shared" ca="1" si="194"/>
        <v>1920x1080</v>
      </c>
      <c r="AK247" s="185">
        <f t="shared" ca="1" si="194"/>
        <v>5</v>
      </c>
      <c r="AL247" s="185">
        <f t="shared" ca="1" si="194"/>
        <v>0</v>
      </c>
      <c r="AM247" s="185">
        <f t="shared" ca="1" si="194"/>
        <v>1</v>
      </c>
      <c r="AN247" s="185">
        <f t="shared" ca="1" si="194"/>
        <v>16700000</v>
      </c>
      <c r="AO247" s="185">
        <f t="shared" ca="1" si="194"/>
        <v>250</v>
      </c>
      <c r="AP247" s="185" t="str">
        <f t="shared" ca="1" si="194"/>
        <v>Version 8.0</v>
      </c>
      <c r="AQ247" s="185" t="str">
        <f t="shared" ca="1" si="194"/>
        <v>Ja</v>
      </c>
      <c r="AR247" s="185">
        <f t="shared" ca="1" si="194"/>
        <v>0</v>
      </c>
      <c r="AS247" s="185">
        <f t="shared" ca="1" si="195"/>
        <v>0</v>
      </c>
      <c r="AT247" s="185" t="str">
        <f t="shared" ca="1" si="195"/>
        <v>Version 8.0</v>
      </c>
      <c r="AU247" s="185" t="str">
        <f t="shared" ca="1" si="195"/>
        <v>Ja</v>
      </c>
      <c r="AV247" s="185">
        <f t="shared" ca="1" si="195"/>
        <v>0</v>
      </c>
      <c r="AW247" s="185" t="str">
        <f t="shared" ca="1" si="195"/>
        <v>P2422h</v>
      </c>
      <c r="AX247" s="185">
        <f t="shared" ca="1" si="195"/>
        <v>2076</v>
      </c>
      <c r="AY247" s="192">
        <f t="shared" ca="1" si="195"/>
        <v>540</v>
      </c>
      <c r="AZ247" s="192">
        <f t="shared" ca="1" si="195"/>
        <v>89</v>
      </c>
      <c r="BA247" s="192">
        <f t="shared" ca="1" si="195"/>
        <v>25</v>
      </c>
      <c r="BB247" s="192">
        <f t="shared" ca="1" si="195"/>
        <v>25</v>
      </c>
      <c r="BC247" s="192" t="str">
        <f t="shared" ca="1" si="196"/>
        <v>Kapsolo</v>
      </c>
      <c r="BD247" s="192" t="str">
        <f t="shared" ca="1" si="196"/>
        <v>GBXKAP10786</v>
      </c>
      <c r="BE247" s="192" t="str">
        <f t="shared" ca="1" si="196"/>
        <v>False</v>
      </c>
      <c r="BF247" s="192" t="str">
        <f t="shared" ca="1" si="196"/>
        <v>False</v>
      </c>
      <c r="BG247" s="192" t="str">
        <f t="shared" ca="1" si="196"/>
        <v>False</v>
      </c>
      <c r="BH247" s="192" t="str">
        <f t="shared" ca="1" si="196"/>
        <v>Qlosr Göteborg AB</v>
      </c>
      <c r="BI247" s="192" t="str">
        <f t="shared" ca="1" si="196"/>
        <v>Dell</v>
      </c>
    </row>
    <row r="248" spans="2:74" ht="22.5" customHeight="1" outlineLevel="1" x14ac:dyDescent="0.35">
      <c r="C248" s="61" t="s">
        <v>37</v>
      </c>
      <c r="D248" s="64"/>
      <c r="F248" s="78" t="str">
        <f t="shared" si="197"/>
        <v/>
      </c>
      <c r="G248" s="79" t="str">
        <f t="shared" ca="1" si="198"/>
        <v>Ja</v>
      </c>
      <c r="H248" s="79" t="str">
        <f t="shared" ca="1" si="198"/>
        <v>Ja</v>
      </c>
      <c r="I248" s="120" t="str">
        <f t="shared" ca="1" si="198"/>
        <v>Ja</v>
      </c>
      <c r="J248" s="62"/>
      <c r="Q248" s="185">
        <f t="shared" si="181"/>
        <v>0</v>
      </c>
      <c r="R248" s="185">
        <f t="shared" si="182"/>
        <v>0</v>
      </c>
      <c r="S248" s="185">
        <f t="shared" si="183"/>
        <v>0</v>
      </c>
      <c r="T248" s="185">
        <f t="shared" si="184"/>
        <v>0</v>
      </c>
      <c r="U248" s="185">
        <f t="shared" si="185"/>
        <v>0</v>
      </c>
      <c r="V248" s="196">
        <f t="shared" ca="1" si="186"/>
        <v>2430</v>
      </c>
      <c r="W248" s="185" t="str">
        <f t="shared" si="187"/>
        <v>Offererad produktnr. 12Qlosr Göteborg AB</v>
      </c>
      <c r="X248" s="185" t="b">
        <f>IF($D$240="",TRUE,IF(COUNTIF(Processor!$I$2:$I$9,$D$240)&gt;0,AND(AI248&gt;INDEX(Processor!$J$2:$J$9,MATCH($D$240,Processor!$I$2:$I$9,0)),AI248&lt;INDEX(Processor!$K$2:$K$9,MATCH($D$240,Processor!$I$2:$I$9,0))),IF(AI248=$D$240,TRUE,FALSE)))</f>
        <v>1</v>
      </c>
      <c r="Y248" s="185" t="b">
        <f t="shared" si="188"/>
        <v>1</v>
      </c>
      <c r="Z248" s="185" t="b">
        <f t="shared" si="189"/>
        <v>1</v>
      </c>
      <c r="AA248" s="185" t="b">
        <f t="shared" si="190"/>
        <v>1</v>
      </c>
      <c r="AB248" s="185" t="b">
        <f t="shared" si="191"/>
        <v>1</v>
      </c>
      <c r="AC248" s="185" t="b">
        <f t="shared" si="192"/>
        <v>1</v>
      </c>
      <c r="AD248" s="185"/>
      <c r="AE248" s="185" t="b">
        <f t="shared" si="193"/>
        <v>1</v>
      </c>
      <c r="AF248" s="185" t="b">
        <f>IFERROR(IF($D247="",TRUE,IF(MID(AT248,LEN(AT248)-2,1)*1&gt;=MID($D247,LEN($D247)-2,1)*1,TRUE,FALSE)),FALSE)</f>
        <v>1</v>
      </c>
      <c r="AG248" s="185" t="s">
        <v>563</v>
      </c>
      <c r="AH248" s="201">
        <v>1</v>
      </c>
      <c r="AI248" s="185">
        <f t="shared" ca="1" si="194"/>
        <v>27</v>
      </c>
      <c r="AJ248" s="185" t="str">
        <f t="shared" ca="1" si="194"/>
        <v>2560x1440</v>
      </c>
      <c r="AK248" s="185">
        <f t="shared" ca="1" si="194"/>
        <v>0</v>
      </c>
      <c r="AL248" s="185">
        <f t="shared" ca="1" si="194"/>
        <v>0</v>
      </c>
      <c r="AM248" s="185">
        <f t="shared" ca="1" si="194"/>
        <v>1</v>
      </c>
      <c r="AN248" s="185">
        <f t="shared" ca="1" si="194"/>
        <v>16700000</v>
      </c>
      <c r="AO248" s="185">
        <f t="shared" ca="1" si="194"/>
        <v>350</v>
      </c>
      <c r="AP248" s="185" t="str">
        <f t="shared" ca="1" si="194"/>
        <v>Version 8.0</v>
      </c>
      <c r="AQ248" s="185" t="str">
        <f t="shared" ca="1" si="194"/>
        <v>Ja</v>
      </c>
      <c r="AR248" s="185">
        <f t="shared" ca="1" si="194"/>
        <v>0</v>
      </c>
      <c r="AS248" s="185">
        <f t="shared" ca="1" si="195"/>
        <v>0</v>
      </c>
      <c r="AT248" s="185" t="str">
        <f t="shared" ca="1" si="195"/>
        <v>Version 8.0</v>
      </c>
      <c r="AU248" s="185" t="str">
        <f t="shared" ca="1" si="195"/>
        <v>Ja</v>
      </c>
      <c r="AV248" s="185">
        <f t="shared" ca="1" si="195"/>
        <v>0</v>
      </c>
      <c r="AW248" s="185" t="str">
        <f t="shared" ca="1" si="195"/>
        <v>E27q-20</v>
      </c>
      <c r="AX248" s="185">
        <f t="shared" ca="1" si="195"/>
        <v>2430</v>
      </c>
      <c r="AY248" s="192">
        <f t="shared" ca="1" si="195"/>
        <v>669</v>
      </c>
      <c r="AZ248" s="192">
        <f t="shared" ca="1" si="195"/>
        <v>89</v>
      </c>
      <c r="BA248" s="192">
        <f t="shared" ca="1" si="195"/>
        <v>25</v>
      </c>
      <c r="BB248" s="192">
        <f t="shared" ca="1" si="195"/>
        <v>25</v>
      </c>
      <c r="BC248" s="192" t="str">
        <f t="shared" ca="1" si="196"/>
        <v>Kapsolo</v>
      </c>
      <c r="BD248" s="192" t="str">
        <f t="shared" ca="1" si="196"/>
        <v>GBXKAP11019</v>
      </c>
      <c r="BE248" s="192" t="str">
        <f t="shared" ca="1" si="196"/>
        <v>False</v>
      </c>
      <c r="BF248" s="192" t="str">
        <f t="shared" ca="1" si="196"/>
        <v>False</v>
      </c>
      <c r="BG248" s="192" t="str">
        <f t="shared" ca="1" si="196"/>
        <v>False</v>
      </c>
      <c r="BH248" s="192" t="str">
        <f t="shared" ca="1" si="196"/>
        <v>Qlosr Göteborg AB</v>
      </c>
      <c r="BI248" s="192" t="str">
        <f t="shared" ca="1" si="196"/>
        <v>Lenovo</v>
      </c>
    </row>
    <row r="249" spans="2:74" ht="22.5" customHeight="1" outlineLevel="1" x14ac:dyDescent="0.35">
      <c r="C249" s="66"/>
      <c r="D249" s="67"/>
      <c r="G249" s="62"/>
      <c r="H249" s="62"/>
      <c r="I249" s="62"/>
      <c r="J249" s="94"/>
      <c r="AH249" s="50"/>
      <c r="AY249" s="63"/>
      <c r="AZ249" s="63"/>
      <c r="BA249" s="63"/>
      <c r="BB249" s="63"/>
      <c r="BC249" s="63"/>
      <c r="BD249" s="63"/>
      <c r="BE249" s="63"/>
      <c r="BF249" s="63"/>
      <c r="BG249" s="63"/>
      <c r="BH249" s="63"/>
      <c r="BI249" s="63"/>
    </row>
    <row r="250" spans="2:74" ht="22.5" customHeight="1" outlineLevel="1" x14ac:dyDescent="0.35">
      <c r="C250" s="212" t="s">
        <v>366</v>
      </c>
      <c r="D250" s="213"/>
      <c r="E250" s="213"/>
      <c r="F250" s="213"/>
      <c r="G250" s="213"/>
      <c r="H250" s="213"/>
      <c r="I250" s="214"/>
      <c r="J250" s="62"/>
      <c r="AH250" s="50"/>
      <c r="AY250" s="63"/>
      <c r="AZ250" s="63"/>
      <c r="BA250" s="63"/>
      <c r="BB250" s="63"/>
      <c r="BC250" s="63"/>
      <c r="BD250" s="63"/>
      <c r="BE250" s="63"/>
      <c r="BF250" s="63"/>
      <c r="BG250" s="63"/>
      <c r="BH250" s="63"/>
      <c r="BI250" s="63"/>
    </row>
    <row r="251" spans="2:74" ht="22.5" customHeight="1" outlineLevel="1" x14ac:dyDescent="0.35">
      <c r="B251" s="69" t="s">
        <v>53</v>
      </c>
      <c r="C251" s="115" t="s">
        <v>77</v>
      </c>
      <c r="D251" s="70"/>
      <c r="F251" s="161" t="str">
        <f>IF(F$237="Inget antal angivet","",IFERROR(INDEX($AI$238:$BI$263,MATCH(F$234,$AG$238:$AG$263,0),MATCH($B251,$AI$238:$BI$238,0)),""))</f>
        <v/>
      </c>
      <c r="G251" s="162">
        <f ca="1">IFERROR(INDEX($AI$238:$BI$263,MATCH(G$234,$AG$238:$AG$263,0),MATCH($B251,$AI$238:$BI$238,0)),"")</f>
        <v>639</v>
      </c>
      <c r="H251" s="162">
        <f ca="1">IFERROR(INDEX($AI$238:$BI$263,MATCH(H$234,$AG$238:$AG$263,0),MATCH($B251,$AI$238:$BI$238,0)),"")</f>
        <v>778</v>
      </c>
      <c r="I251" s="162">
        <f ca="1">IFERROR(INDEX($AI$238:$BI$263,MATCH(I$234,$AG$238:$AG$263,0),MATCH($B251,$AI$238:$BI$238,0)),"")</f>
        <v>540</v>
      </c>
      <c r="J251" s="62"/>
      <c r="AY251" s="63"/>
      <c r="AZ251" s="63"/>
      <c r="BA251" s="63"/>
      <c r="BB251" s="63"/>
      <c r="BC251" s="63"/>
      <c r="BD251" s="63"/>
      <c r="BE251" s="63"/>
      <c r="BF251" s="63"/>
      <c r="BG251" s="63"/>
      <c r="BH251" s="63"/>
      <c r="BI251" s="63"/>
    </row>
    <row r="252" spans="2:74" ht="22.5" customHeight="1" outlineLevel="1" x14ac:dyDescent="0.35">
      <c r="B252" s="69" t="s">
        <v>340</v>
      </c>
      <c r="C252" s="96" t="s">
        <v>51</v>
      </c>
      <c r="D252" s="131" t="str">
        <f>IF("Ska Ingå"=D251,"Ska Ingå","")</f>
        <v/>
      </c>
      <c r="F252" s="84" t="str">
        <f>IF(F$237="Inget antal angivet","",IFERROR(INDEX($AI$238:$BI$263,MATCH(F$234,$AG$238:$AG$263,0),MATCH($B252,$AI$238:$BI$238,0)),""))</f>
        <v/>
      </c>
      <c r="G252" s="85" t="str">
        <f ca="1">IFERROR(INDEX($AI$238:$BI$263,MATCH(G$234,$AG$238:$AG$263,0),MATCH($B252,$AI$238:$BI$238,0)),"")</f>
        <v>eSTUFF</v>
      </c>
      <c r="H252" s="85" t="str">
        <f ca="1">IFERROR(INDEX($AI$238:$BI$263,MATCH(H$234,$AG$238:$AG$263,0),MATCH($B252,$AI$238:$BI$238,0)),"")</f>
        <v>Targus</v>
      </c>
      <c r="I252" s="85" t="str">
        <f ca="1">IFERROR(INDEX($AI$238:$BI$263,MATCH(I$234,$AG$238:$AG$263,0),MATCH($C252,$AI$238:$BI$238,0)),"")</f>
        <v>Dell</v>
      </c>
      <c r="J252" s="62"/>
      <c r="AY252" s="63"/>
      <c r="AZ252" s="63"/>
      <c r="BA252" s="63"/>
      <c r="BB252" s="63"/>
      <c r="BC252" s="63"/>
      <c r="BD252" s="63"/>
      <c r="BE252" s="63"/>
      <c r="BF252" s="63"/>
      <c r="BG252" s="63"/>
      <c r="BH252" s="63"/>
      <c r="BI252" s="63"/>
    </row>
    <row r="253" spans="2:74" ht="64.5" customHeight="1" outlineLevel="1" x14ac:dyDescent="0.35">
      <c r="B253" s="71" t="s">
        <v>345</v>
      </c>
      <c r="C253" s="116" t="s">
        <v>52</v>
      </c>
      <c r="D253" s="132" t="str">
        <f>IF("Ska Ingå"=D251,"Ska Ingå","")</f>
        <v/>
      </c>
      <c r="F253" s="117" t="str">
        <f>IF(F$237="Inget antal angivet","",IFERROR(INDEX($AI$238:$BI$263,MATCH(F$234,$AG$238:$AG$263,0),MATCH($B253,$AI$238:$BI$238,0)),""))</f>
        <v/>
      </c>
      <c r="G253" s="118" t="str">
        <f ca="1">IFERROR(INDEX($AI$238:$BI$263,MATCH(G$234,$AG$238:$AG$263,0),MATCH($B253,$AI$238:$BI$238,0)),"")</f>
        <v>GLBB24519325 -  Filter för personlig integritet - 2-vägs - 24" - svart</v>
      </c>
      <c r="H253" s="118" t="str">
        <f ca="1">IFERROR(INDEX($AI$238:$BI$263,MATCH(H$234,$AG$238:$AG$263,0),MATCH($B253,$AI$238:$BI$238,0)),"")</f>
        <v>Targus Privacy Screen - filter för personlig integritet - 23,8 tum bred</v>
      </c>
      <c r="I253" s="118" t="str">
        <f ca="1">IFERROR(INDEX($AI$238:$BI$263,MATCH(I$234,$AG$238:$AG$263,0),MATCH($C253,$AI$238:$BI$238,0)),"")</f>
        <v>P2422h</v>
      </c>
      <c r="J253" s="62"/>
      <c r="AY253" s="63"/>
      <c r="AZ253" s="63"/>
      <c r="BA253" s="63"/>
      <c r="BB253" s="63"/>
      <c r="BC253" s="63"/>
      <c r="BD253" s="63"/>
      <c r="BE253" s="63"/>
      <c r="BF253" s="63"/>
      <c r="BG253" s="63"/>
      <c r="BH253" s="63"/>
      <c r="BI253" s="63"/>
    </row>
    <row r="254" spans="2:74" ht="22.5" customHeight="1" outlineLevel="1" x14ac:dyDescent="0.35">
      <c r="B254" s="71"/>
      <c r="C254" s="212" t="s">
        <v>365</v>
      </c>
      <c r="D254" s="215"/>
      <c r="E254" s="213"/>
      <c r="F254" s="213"/>
      <c r="G254" s="213"/>
      <c r="H254" s="213"/>
      <c r="I254" s="214"/>
      <c r="J254" s="62"/>
      <c r="AY254" s="63"/>
      <c r="AZ254" s="63"/>
      <c r="BA254" s="63"/>
      <c r="BB254" s="63"/>
      <c r="BC254" s="63"/>
      <c r="BD254" s="63"/>
      <c r="BE254" s="63"/>
      <c r="BF254" s="63"/>
      <c r="BG254" s="63"/>
      <c r="BH254" s="63"/>
      <c r="BI254" s="63"/>
    </row>
    <row r="255" spans="2:74" ht="22.5" customHeight="1" outlineLevel="1" x14ac:dyDescent="0.35">
      <c r="B255" s="71" t="s">
        <v>228</v>
      </c>
      <c r="C255" s="115" t="s">
        <v>367</v>
      </c>
      <c r="D255" s="70"/>
      <c r="F255" s="161" t="str">
        <f>IF(F$237="Inget antal angivet","",IFERROR(INDEX($AI$238:$BI$263,MATCH(F$234,$AG$238:$AG$263,0),MATCH($B255,$AI$238:$BI$238,0)),""))</f>
        <v/>
      </c>
      <c r="G255" s="162">
        <f t="shared" ref="G255:I257" ca="1" si="199">IFERROR(INDEX($AI$238:$BI$263,MATCH(G$234,$AG$238:$AG$263,0),MATCH($B255,$AI$238:$BI$238,0)),"")</f>
        <v>101</v>
      </c>
      <c r="H255" s="162">
        <f t="shared" ca="1" si="199"/>
        <v>94</v>
      </c>
      <c r="I255" s="162">
        <f t="shared" ca="1" si="199"/>
        <v>89</v>
      </c>
      <c r="J255" s="62"/>
      <c r="AY255" s="63"/>
      <c r="AZ255" s="63"/>
      <c r="BA255" s="63"/>
      <c r="BB255" s="63"/>
      <c r="BC255" s="63"/>
      <c r="BD255" s="63"/>
      <c r="BE255" s="63"/>
      <c r="BF255" s="63"/>
      <c r="BG255" s="63"/>
      <c r="BH255" s="63"/>
      <c r="BI255" s="63"/>
    </row>
    <row r="256" spans="2:74" ht="22.5" customHeight="1" outlineLevel="1" x14ac:dyDescent="0.35">
      <c r="B256" s="71" t="s">
        <v>229</v>
      </c>
      <c r="C256" s="61" t="s">
        <v>368</v>
      </c>
      <c r="D256" s="70"/>
      <c r="F256" s="165" t="str">
        <f>IF(F$237="Inget antal angivet","",IFERROR(INDEX($AI$238:$BI$263,MATCH(F$234,$AG$238:$AG$263,0),MATCH($B256,$AI$238:$BI$238,0)),""))</f>
        <v/>
      </c>
      <c r="G256" s="166">
        <f t="shared" ca="1" si="199"/>
        <v>50</v>
      </c>
      <c r="H256" s="166">
        <f t="shared" ca="1" si="199"/>
        <v>85</v>
      </c>
      <c r="I256" s="166">
        <f t="shared" ca="1" si="199"/>
        <v>25</v>
      </c>
      <c r="J256" s="73"/>
      <c r="AY256" s="63"/>
      <c r="AZ256" s="63"/>
      <c r="BA256" s="63"/>
      <c r="BB256" s="63"/>
      <c r="BC256" s="63"/>
      <c r="BD256" s="63"/>
      <c r="BE256" s="63"/>
      <c r="BF256" s="63"/>
      <c r="BG256" s="63"/>
      <c r="BH256" s="63"/>
      <c r="BI256" s="63"/>
    </row>
    <row r="257" spans="2:75" ht="22.5" customHeight="1" outlineLevel="1" x14ac:dyDescent="0.35">
      <c r="B257" s="71" t="s">
        <v>230</v>
      </c>
      <c r="C257" s="96" t="s">
        <v>369</v>
      </c>
      <c r="D257" s="70"/>
      <c r="F257" s="163" t="str">
        <f>IF(F$237="Inget antal angivet","",IFERROR(INDEX($AI$238:$BI$263,MATCH(F$234,$AG$238:$AG$263,0),MATCH($B257,$AI$238:$BI$238,0)),""))</f>
        <v/>
      </c>
      <c r="G257" s="164">
        <f t="shared" ca="1" si="199"/>
        <v>50</v>
      </c>
      <c r="H257" s="164">
        <f t="shared" ca="1" si="199"/>
        <v>100</v>
      </c>
      <c r="I257" s="164">
        <f t="shared" ca="1" si="199"/>
        <v>25</v>
      </c>
      <c r="J257" s="54"/>
      <c r="AY257" s="63"/>
      <c r="AZ257" s="63"/>
      <c r="BA257" s="63"/>
      <c r="BB257" s="63"/>
      <c r="BC257" s="63"/>
      <c r="BD257" s="63"/>
      <c r="BE257" s="63"/>
      <c r="BF257" s="63"/>
      <c r="BG257" s="63"/>
      <c r="BH257" s="63"/>
      <c r="BI257" s="63"/>
    </row>
    <row r="258" spans="2:75" ht="22.5" customHeight="1" outlineLevel="1" x14ac:dyDescent="0.35">
      <c r="J258" s="73"/>
      <c r="AY258" s="63"/>
      <c r="AZ258" s="63"/>
      <c r="BA258" s="63"/>
      <c r="BB258" s="63"/>
      <c r="BC258" s="63"/>
      <c r="BD258" s="63"/>
      <c r="BE258" s="63"/>
      <c r="BF258" s="63"/>
      <c r="BG258" s="63"/>
      <c r="BH258" s="63"/>
      <c r="BI258" s="63"/>
    </row>
    <row r="259" spans="2:75" ht="22.5" customHeight="1" x14ac:dyDescent="0.35">
      <c r="J259" s="54"/>
      <c r="AY259" s="63"/>
      <c r="AZ259" s="63"/>
      <c r="BA259" s="63"/>
      <c r="BB259" s="63"/>
      <c r="BC259" s="63"/>
      <c r="BD259" s="63"/>
      <c r="BE259" s="63"/>
      <c r="BF259" s="63"/>
      <c r="BG259" s="63"/>
      <c r="BH259" s="63"/>
      <c r="BI259" s="63"/>
    </row>
    <row r="260" spans="2:75" ht="22.5" customHeight="1" x14ac:dyDescent="0.35">
      <c r="D260" s="72" t="s">
        <v>233</v>
      </c>
      <c r="F260" s="221" t="s">
        <v>252</v>
      </c>
      <c r="G260" s="221"/>
      <c r="H260" s="221"/>
      <c r="I260" s="222"/>
      <c r="J260" s="73"/>
      <c r="AY260" s="63"/>
      <c r="AZ260" s="63"/>
      <c r="BA260" s="63"/>
      <c r="BB260" s="63"/>
      <c r="BC260" s="63"/>
      <c r="BD260" s="63"/>
      <c r="BE260" s="63"/>
      <c r="BF260" s="63"/>
      <c r="BG260" s="63"/>
      <c r="BH260" s="63"/>
      <c r="BI260" s="63"/>
    </row>
    <row r="261" spans="2:75" ht="22.5" customHeight="1" x14ac:dyDescent="0.35">
      <c r="D261" s="74"/>
      <c r="F261" s="202" t="str">
        <f ca="1">IFERROR(INDEX($V$239:$V$250,MATCH(F234,$W$239:$W$250,0))*D261,"")</f>
        <v/>
      </c>
      <c r="G261" s="202">
        <f ca="1">IFERROR(P239 *D261,"")</f>
        <v>0</v>
      </c>
      <c r="H261" s="202">
        <f ca="1">IFERROR(P240 *D261,"")</f>
        <v>0</v>
      </c>
      <c r="I261" s="202">
        <f ca="1">IFERROR(P241 * D261,"")</f>
        <v>0</v>
      </c>
      <c r="J261" s="54"/>
      <c r="AY261" s="63"/>
      <c r="AZ261" s="63"/>
      <c r="BA261" s="63"/>
      <c r="BB261" s="63"/>
      <c r="BC261" s="63"/>
      <c r="BD261" s="63"/>
      <c r="BE261" s="63"/>
      <c r="BF261" s="63"/>
      <c r="BG261" s="63"/>
      <c r="BH261" s="63"/>
      <c r="BI261" s="63"/>
    </row>
    <row r="262" spans="2:75" x14ac:dyDescent="0.35">
      <c r="AY262" s="63"/>
      <c r="AZ262" s="63"/>
      <c r="BA262" s="63"/>
      <c r="BB262" s="63"/>
      <c r="BC262" s="63"/>
      <c r="BD262" s="63"/>
      <c r="BE262" s="63"/>
      <c r="BF262" s="63"/>
      <c r="BG262" s="63"/>
      <c r="BH262" s="63"/>
      <c r="BI262" s="63"/>
    </row>
    <row r="263" spans="2:75" ht="15" thickBot="1" x14ac:dyDescent="0.4">
      <c r="C263" s="174"/>
      <c r="D263" s="174"/>
      <c r="E263" s="174"/>
      <c r="F263" s="174"/>
      <c r="G263" s="174"/>
      <c r="H263" s="174"/>
      <c r="I263" s="174"/>
      <c r="AY263" s="63"/>
      <c r="AZ263" s="63"/>
      <c r="BA263" s="63"/>
      <c r="BB263" s="63"/>
      <c r="BC263" s="63"/>
      <c r="BD263" s="63"/>
      <c r="BE263" s="63"/>
      <c r="BF263" s="63"/>
      <c r="BG263" s="63"/>
      <c r="BH263" s="63"/>
      <c r="BI263" s="63"/>
    </row>
    <row r="264" spans="2:75" ht="15" thickTop="1" x14ac:dyDescent="0.35"/>
    <row r="266" spans="2:75" ht="71.25" customHeight="1" collapsed="1" x14ac:dyDescent="0.35">
      <c r="C266" s="53"/>
      <c r="D266" s="53"/>
      <c r="F266" s="50" t="e">
        <f ca="1">N270</f>
        <v>#N/A</v>
      </c>
      <c r="G266" s="50" t="str">
        <f ca="1">INDEX(W271:W295,MATCH(P271,V271:V295,0))</f>
        <v>Offererad produktnr. 11Advania Sverige AB</v>
      </c>
      <c r="H266" s="50" t="str">
        <f ca="1">INDEX(W270:W294,MATCH(P272,V270:V294,0))</f>
        <v>Offererad produktnr. 11Atea Sverige AB</v>
      </c>
      <c r="I266" s="50" t="str">
        <f ca="1">INDEX(W270:W294,MATCH(P273,V270:V294,0))</f>
        <v>Offererad produktnr. 11Qlosr Göteborg AB</v>
      </c>
      <c r="AI266" s="12" t="s">
        <v>124</v>
      </c>
      <c r="AJ266" s="12" t="s">
        <v>124</v>
      </c>
      <c r="AK266" s="12" t="s">
        <v>124</v>
      </c>
      <c r="AL266" s="12" t="s">
        <v>124</v>
      </c>
      <c r="AM266" s="12" t="s">
        <v>124</v>
      </c>
      <c r="AN266" s="12" t="s">
        <v>124</v>
      </c>
      <c r="AO266" s="12" t="s">
        <v>124</v>
      </c>
      <c r="AP266" s="12" t="s">
        <v>124</v>
      </c>
      <c r="AQ266" s="12" t="s">
        <v>124</v>
      </c>
      <c r="AR266" s="12" t="s">
        <v>124</v>
      </c>
      <c r="AS266" s="12" t="s">
        <v>124</v>
      </c>
      <c r="AT266" s="12" t="s">
        <v>124</v>
      </c>
      <c r="AU266" s="12" t="s">
        <v>124</v>
      </c>
      <c r="AV266" s="12" t="s">
        <v>124</v>
      </c>
      <c r="AW266" s="12" t="s">
        <v>124</v>
      </c>
      <c r="AX266" s="12" t="s">
        <v>124</v>
      </c>
      <c r="AY266" s="12" t="s">
        <v>124</v>
      </c>
      <c r="AZ266" s="12" t="s">
        <v>124</v>
      </c>
      <c r="BA266" s="12" t="s">
        <v>124</v>
      </c>
      <c r="BB266" s="12" t="s">
        <v>124</v>
      </c>
      <c r="BC266" s="12" t="s">
        <v>124</v>
      </c>
      <c r="BD266" s="12" t="s">
        <v>124</v>
      </c>
      <c r="BE266" s="12" t="s">
        <v>124</v>
      </c>
      <c r="BF266" s="12" t="s">
        <v>124</v>
      </c>
      <c r="BG266" s="12" t="s">
        <v>124</v>
      </c>
      <c r="BH266" s="12" t="s">
        <v>124</v>
      </c>
      <c r="BI266" s="12" t="s">
        <v>124</v>
      </c>
      <c r="BJ266" s="12"/>
      <c r="BK266" s="12"/>
      <c r="BL266" s="12"/>
      <c r="BM266" s="12"/>
      <c r="BN266" s="12"/>
      <c r="BO266" s="12"/>
      <c r="BP266" s="12"/>
      <c r="BQ266" s="12"/>
      <c r="BR266" s="12"/>
      <c r="BS266" s="12"/>
      <c r="BT266" s="12"/>
      <c r="BU266" s="12"/>
      <c r="BV266" s="12"/>
      <c r="BW266" s="12"/>
    </row>
    <row r="267" spans="2:75" ht="26.25" customHeight="1" thickBot="1" x14ac:dyDescent="0.4">
      <c r="C267" s="53"/>
      <c r="D267" s="53"/>
      <c r="F267" s="140" t="s">
        <v>446</v>
      </c>
      <c r="G267" s="205" t="s">
        <v>447</v>
      </c>
      <c r="H267" s="205"/>
      <c r="I267" s="205"/>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row>
    <row r="268" spans="2:75" ht="22.5" customHeight="1" thickBot="1" x14ac:dyDescent="0.4">
      <c r="B268" t="str">
        <f ca="1" xml:space="preserve"> "Produkt "  &amp; B269</f>
        <v>Produkt 9</v>
      </c>
      <c r="C268" s="206" t="str">
        <f>IF(F269="Ingen produkt motsvarar","Felmeddelande",IF(COUNTIF($P$1:$P$6,TRUE)&gt;0,"","Felmeddelande"))</f>
        <v/>
      </c>
      <c r="D268" s="207"/>
      <c r="F268" s="218" t="s">
        <v>271</v>
      </c>
      <c r="G268" s="218"/>
      <c r="H268" s="218"/>
      <c r="I268" s="219"/>
      <c r="O268">
        <v>1</v>
      </c>
      <c r="AI268" s="13" t="str">
        <f t="shared" ref="AI268:AW268" si="200">AI270</f>
        <v>Skärmstorlek (tum)</v>
      </c>
      <c r="AJ268" s="13" t="str">
        <f t="shared" si="200"/>
        <v>Upplösning</v>
      </c>
      <c r="AK268" s="13" t="str">
        <f t="shared" si="200"/>
        <v>Portar USB</v>
      </c>
      <c r="AL268" s="13" t="str">
        <f t="shared" si="200"/>
        <v>Portar HDMI</v>
      </c>
      <c r="AM268" s="13" t="str">
        <f t="shared" si="200"/>
        <v>Portar Display</v>
      </c>
      <c r="AN268" s="13" t="str">
        <f t="shared" si="200"/>
        <v>Antal färger</v>
      </c>
      <c r="AO268" s="13" t="str">
        <f t="shared" si="200"/>
        <v>Ljusstyrka</v>
      </c>
      <c r="AP268" s="13" t="str">
        <f t="shared" si="200"/>
        <v>Energiprestanda</v>
      </c>
      <c r="AQ268" s="13" t="str">
        <f t="shared" si="200"/>
        <v>Låsskydd</v>
      </c>
      <c r="AR268" s="13" t="str">
        <f t="shared" si="200"/>
        <v>Kommunikation Bluetooth</v>
      </c>
      <c r="AS268" s="13" t="str">
        <f t="shared" si="200"/>
        <v>Batteritid (tim)</v>
      </c>
      <c r="AT268" s="13" t="str">
        <f t="shared" si="200"/>
        <v>Energiprestanda</v>
      </c>
      <c r="AU268" s="13" t="str">
        <f t="shared" si="200"/>
        <v>Låsskydd</v>
      </c>
      <c r="AV268" s="13" t="str">
        <f t="shared" si="200"/>
        <v>Operativsystem</v>
      </c>
      <c r="AW268" s="13" t="str">
        <f t="shared" si="200"/>
        <v>Modellbenämning</v>
      </c>
      <c r="AX268" t="s">
        <v>224</v>
      </c>
      <c r="AY268" s="56" t="s">
        <v>53</v>
      </c>
      <c r="AZ268" s="57" t="s">
        <v>228</v>
      </c>
      <c r="BA268" s="57" t="s">
        <v>229</v>
      </c>
      <c r="BB268" s="57" t="s">
        <v>230</v>
      </c>
      <c r="BC268" s="56" t="s">
        <v>340</v>
      </c>
      <c r="BD268" s="57" t="s">
        <v>345</v>
      </c>
      <c r="BE268" s="57"/>
      <c r="BF268" s="57"/>
      <c r="BG268" s="57"/>
      <c r="BH268" s="57" t="s">
        <v>6</v>
      </c>
      <c r="BI268" s="4" t="s">
        <v>51</v>
      </c>
      <c r="BJ268" s="13"/>
      <c r="BK268" s="13"/>
      <c r="BL268" s="13"/>
      <c r="BM268" s="13"/>
      <c r="BN268" s="13"/>
      <c r="BO268" s="13"/>
      <c r="BP268" s="13"/>
      <c r="BQ268" s="13"/>
      <c r="BR268" s="13"/>
      <c r="BS268" s="13"/>
      <c r="BT268" s="13"/>
      <c r="BU268" s="13"/>
      <c r="BV268" s="13"/>
      <c r="BW268" s="13"/>
    </row>
    <row r="269" spans="2:75" ht="22.5" customHeight="1" x14ac:dyDescent="0.35">
      <c r="B269">
        <f ca="1">COUNTIF($F$7:F272,"Produkt I varukorg*")</f>
        <v>9</v>
      </c>
      <c r="F269" s="51" t="str">
        <f>IF(D293&lt;1,"Inget antal angivet",IFERROR(INDEX($V$271:$V$282,MATCH(F266,$W$271:$W$282,0)),"Ingen produkt motsvarar"))</f>
        <v>Inget antal angivet</v>
      </c>
      <c r="G269" s="52">
        <f ca="1">IFERROR(P271,"Ingen produkt motsvarar")</f>
        <v>1981</v>
      </c>
      <c r="H269" s="52">
        <f ca="1">IFERROR(P272,"")</f>
        <v>2034</v>
      </c>
      <c r="I269" s="52">
        <f ca="1">IFERROR(P273,"")</f>
        <v>2076</v>
      </c>
      <c r="W269" t="str">
        <f>IF(COUNTIF(X269:AF269,FALSE)&gt;0,AG269,"")</f>
        <v/>
      </c>
      <c r="X269" t="b">
        <f>IF($D$272="",TRUE,IF(AI269=$D$272,TRUE,FALSE))</f>
        <v>1</v>
      </c>
      <c r="Y269" t="b">
        <f>IF(D271="",TRUE,IF(AJ269=$D$273,TRUE,FALSE))</f>
        <v>1</v>
      </c>
      <c r="Z269" t="b">
        <f>IF(D272="",TRUE,IF(AK269=D272,TRUE,FALSE))</f>
        <v>1</v>
      </c>
      <c r="AA269" t="b">
        <f>IF(D273="",TRUE,IF(AL269=D273,TRUE,FALSE))</f>
        <v>1</v>
      </c>
      <c r="AB269" t="b">
        <f>IF(D277="",TRUE,IF(AM269=D277,TRUE,FALSE))</f>
        <v>1</v>
      </c>
      <c r="AC269" t="b">
        <f>IF(D278="",TRUE,IF(AN269=D278,TRUE,FALSE))</f>
        <v>1</v>
      </c>
      <c r="AE269" t="b">
        <f>IF(D276="",TRUE,IF(AO269=D276,TRUE,FALSE))</f>
        <v>1</v>
      </c>
      <c r="AF269" t="b">
        <f>IFERROR(IF($D279="",TRUE,IF(MID(AT269,LEN(AT269)-2,1)*1&gt;=MID($D279,LEN($D279)-2,1)*1,TRUE,FALSE)),FALSE)</f>
        <v>1</v>
      </c>
      <c r="AG269" t="s">
        <v>126</v>
      </c>
      <c r="AI269" s="58" t="str">
        <f t="shared" ref="AI269:BI269" ca="1" si="201">IFERROR(INDEX(INDIRECT(AI$266&amp;"!$A$10:CC100000"),MATCH($AG269,INDIRECT(AI$266&amp;"!BH$10:BH100000"),0),MATCH(AI$268,INDIRECT(AI$266&amp;"!a10:CC10"),0)),"False")</f>
        <v>False</v>
      </c>
      <c r="AJ269" s="58" t="str">
        <f t="shared" ca="1" si="201"/>
        <v>False</v>
      </c>
      <c r="AK269" s="58" t="str">
        <f t="shared" ca="1" si="201"/>
        <v>False</v>
      </c>
      <c r="AL269" s="58" t="str">
        <f t="shared" ca="1" si="201"/>
        <v>False</v>
      </c>
      <c r="AM269" s="58" t="str">
        <f t="shared" ca="1" si="201"/>
        <v>False</v>
      </c>
      <c r="AN269" s="58" t="str">
        <f t="shared" ca="1" si="201"/>
        <v>False</v>
      </c>
      <c r="AO269" s="58" t="str">
        <f t="shared" ca="1" si="201"/>
        <v>False</v>
      </c>
      <c r="AP269" s="58" t="str">
        <f t="shared" ca="1" si="201"/>
        <v>False</v>
      </c>
      <c r="AQ269" s="58" t="str">
        <f t="shared" ca="1" si="201"/>
        <v>False</v>
      </c>
      <c r="AR269" s="58" t="str">
        <f t="shared" ca="1" si="201"/>
        <v>False</v>
      </c>
      <c r="AS269" s="58" t="str">
        <f t="shared" ca="1" si="201"/>
        <v>False</v>
      </c>
      <c r="AT269" s="58" t="str">
        <f t="shared" ca="1" si="201"/>
        <v>False</v>
      </c>
      <c r="AU269" s="58" t="str">
        <f t="shared" ca="1" si="201"/>
        <v>False</v>
      </c>
      <c r="AV269" s="58" t="str">
        <f t="shared" ca="1" si="201"/>
        <v>False</v>
      </c>
      <c r="AW269" s="58" t="str">
        <f t="shared" ca="1" si="201"/>
        <v>False</v>
      </c>
      <c r="AX269" s="58" t="str">
        <f t="shared" ca="1" si="201"/>
        <v>False</v>
      </c>
      <c r="AY269" s="58" t="str">
        <f t="shared" ca="1" si="201"/>
        <v>False</v>
      </c>
      <c r="AZ269" s="58" t="str">
        <f t="shared" ca="1" si="201"/>
        <v>False</v>
      </c>
      <c r="BA269" s="58" t="str">
        <f t="shared" ca="1" si="201"/>
        <v>False</v>
      </c>
      <c r="BB269" s="58" t="str">
        <f t="shared" ca="1" si="201"/>
        <v>False</v>
      </c>
      <c r="BC269" s="58" t="str">
        <f t="shared" ca="1" si="201"/>
        <v>False</v>
      </c>
      <c r="BD269" s="58" t="str">
        <f t="shared" ca="1" si="201"/>
        <v>False</v>
      </c>
      <c r="BE269" s="58" t="str">
        <f t="shared" ca="1" si="201"/>
        <v>False</v>
      </c>
      <c r="BF269" s="58" t="str">
        <f t="shared" ca="1" si="201"/>
        <v>False</v>
      </c>
      <c r="BG269" s="58" t="str">
        <f t="shared" ca="1" si="201"/>
        <v>False</v>
      </c>
      <c r="BH269" s="58" t="str">
        <f t="shared" ca="1" si="201"/>
        <v>False</v>
      </c>
      <c r="BI269" s="58" t="str">
        <f t="shared" ca="1" si="201"/>
        <v>False</v>
      </c>
      <c r="BJ269" s="58"/>
      <c r="BK269" s="58"/>
      <c r="BL269" s="58"/>
      <c r="BM269" s="58"/>
      <c r="BN269" s="58"/>
      <c r="BO269" s="58"/>
      <c r="BP269" s="58"/>
      <c r="BQ269" s="58"/>
      <c r="BR269" s="58"/>
      <c r="BS269" s="58"/>
      <c r="BT269" s="58"/>
      <c r="BU269" s="58"/>
      <c r="BV269" s="58"/>
      <c r="BW269" s="58"/>
    </row>
    <row r="270" spans="2:75" ht="22.5" customHeight="1" x14ac:dyDescent="0.35">
      <c r="C270" s="210" t="str">
        <f ca="1" xml:space="preserve"> "Bildskärm "  &amp; RIGHT("00" &amp; B269,2)</f>
        <v>Bildskärm 09</v>
      </c>
      <c r="D270" s="211"/>
      <c r="F270" s="103" t="str">
        <f>IF(F$269="Inget antal angivet","",IFERROR(INDEX($AI$270:$BI$295,MATCH(F$266,$AG$270:$AG$295,0),MATCH("Modellbenämning",$AI$270:$BI$270,0)),""))</f>
        <v/>
      </c>
      <c r="G270" s="103" t="str">
        <f ca="1">IFERROR(INDEX($AI$270:$BI$295,MATCH(G$266,$AG$270:$AG$295,0),MATCH("Modellbenämning",$AI$270:$BI$270,0)),"")</f>
        <v>HP E24i G4 - E-Series - LED-skärm</v>
      </c>
      <c r="H270" s="103" t="str">
        <f ca="1">IFERROR(INDEX($AI$270:$BI$295,MATCH(H$266,$AG$270:$AG$295,0),MATCH("Modellbenämning",$AI$270:$BI$270,0)),"")</f>
        <v>F24T450FQR</v>
      </c>
      <c r="I270" s="103" t="str">
        <f ca="1">IFERROR(INDEX($AI$270:$BI$295,MATCH(I$266,$AG$270:$AG$295,0),MATCH("Modellbenämning",$AI$270:$BI$270,0)),"")</f>
        <v>P2422h</v>
      </c>
      <c r="J270" s="93"/>
      <c r="K270" s="103"/>
      <c r="L270" s="103"/>
      <c r="M270" s="103"/>
      <c r="N270" s="103" t="e">
        <f ca="1">INDEX($N$271:$N$276,MATCH(Överblick!$L$2,$M$271:$M$276,0))</f>
        <v>#N/A</v>
      </c>
      <c r="O270" s="103"/>
      <c r="P270" s="103"/>
      <c r="Q270" s="103"/>
      <c r="R270" s="103">
        <v>1</v>
      </c>
      <c r="S270" s="103">
        <v>2</v>
      </c>
      <c r="T270" s="103">
        <v>3</v>
      </c>
      <c r="U270" s="103">
        <v>5</v>
      </c>
      <c r="V270" s="103"/>
      <c r="W270" s="103" t="s">
        <v>122</v>
      </c>
      <c r="X270" s="103" t="s">
        <v>7</v>
      </c>
      <c r="Y270" s="103" t="s">
        <v>2</v>
      </c>
      <c r="Z270" s="103" t="s">
        <v>67</v>
      </c>
      <c r="AA270" s="103" t="s">
        <v>68</v>
      </c>
      <c r="AB270" s="103" t="s">
        <v>73</v>
      </c>
      <c r="AC270" s="103" t="s">
        <v>13</v>
      </c>
      <c r="AD270" s="103"/>
      <c r="AE270" s="103" t="s">
        <v>14</v>
      </c>
      <c r="AF270" s="103" t="s">
        <v>38</v>
      </c>
      <c r="AG270" s="103" t="s">
        <v>222</v>
      </c>
      <c r="AH270" s="103">
        <v>1</v>
      </c>
      <c r="AI270" s="103" t="s">
        <v>7</v>
      </c>
      <c r="AJ270" s="103" t="s">
        <v>2</v>
      </c>
      <c r="AK270" s="103" t="s">
        <v>67</v>
      </c>
      <c r="AL270" s="103" t="s">
        <v>68</v>
      </c>
      <c r="AM270" s="103" t="s">
        <v>73</v>
      </c>
      <c r="AN270" s="103" t="s">
        <v>13</v>
      </c>
      <c r="AO270" s="103" t="s">
        <v>14</v>
      </c>
      <c r="AP270" s="103" t="s">
        <v>38</v>
      </c>
      <c r="AQ270" s="103" t="s">
        <v>37</v>
      </c>
      <c r="AR270" s="103" t="s">
        <v>75</v>
      </c>
      <c r="AS270" s="103" t="s">
        <v>120</v>
      </c>
      <c r="AT270" s="103" t="s">
        <v>38</v>
      </c>
      <c r="AU270" s="103" t="s">
        <v>37</v>
      </c>
      <c r="AV270" s="103" t="s">
        <v>3</v>
      </c>
      <c r="AW270" s="103" t="s">
        <v>52</v>
      </c>
      <c r="AX270" s="103" t="s">
        <v>25</v>
      </c>
      <c r="AY270" s="103" t="s">
        <v>53</v>
      </c>
      <c r="AZ270" s="103" t="s">
        <v>228</v>
      </c>
      <c r="BA270" s="103" t="s">
        <v>229</v>
      </c>
      <c r="BB270" s="103" t="s">
        <v>230</v>
      </c>
      <c r="BC270" s="103" t="s">
        <v>340</v>
      </c>
      <c r="BD270" s="103" t="s">
        <v>345</v>
      </c>
      <c r="BE270" s="103"/>
      <c r="BF270" s="103"/>
      <c r="BG270" s="103"/>
      <c r="BH270" s="103" t="s">
        <v>6</v>
      </c>
      <c r="BI270" s="103" t="s">
        <v>51</v>
      </c>
      <c r="BJ270" s="103" t="s">
        <v>7</v>
      </c>
      <c r="BK270" s="103" t="s">
        <v>2</v>
      </c>
      <c r="BL270" s="103" t="s">
        <v>67</v>
      </c>
      <c r="BM270" s="103" t="s">
        <v>68</v>
      </c>
      <c r="BN270" s="103" t="s">
        <v>73</v>
      </c>
      <c r="BO270" s="103" t="s">
        <v>13</v>
      </c>
      <c r="BP270" s="103" t="s">
        <v>14</v>
      </c>
      <c r="BQ270" s="103" t="s">
        <v>38</v>
      </c>
      <c r="BR270" s="103" t="s">
        <v>37</v>
      </c>
      <c r="BS270" s="103" t="s">
        <v>120</v>
      </c>
      <c r="BT270" s="103" t="s">
        <v>38</v>
      </c>
      <c r="BU270" s="103" t="s">
        <v>37</v>
      </c>
      <c r="BV270" s="103" t="s">
        <v>3</v>
      </c>
    </row>
    <row r="271" spans="2:75" ht="22.5" customHeight="1" outlineLevel="1" x14ac:dyDescent="0.35">
      <c r="C271" s="210" t="s">
        <v>261</v>
      </c>
      <c r="D271" s="211"/>
      <c r="F271" s="76" t="str">
        <f>IF(F$269="Inget antal angivet","",IFERROR(INDEX($AI$270:$BI$295,MATCH(F$266,$AG$270:$AG$295,0),MATCH("Varumärke",$AI$270:$BI$270,0)),""))</f>
        <v/>
      </c>
      <c r="G271" s="77" t="str">
        <f ca="1">IFERROR(INDEX($AI$270:$BI$295,MATCH(G$266,$AG$270:$AG$295,0),MATCH("Varumärke",$AI$270:$BI$270,0)),"")</f>
        <v>HP</v>
      </c>
      <c r="H271" s="77" t="str">
        <f ca="1">IFERROR(INDEX($AI$270:$BI$295,MATCH(H$266,$AG$270:$AG$295,0),MATCH("Varumärke",$AI$270:$BI$270,0)),"")</f>
        <v>Samsung</v>
      </c>
      <c r="I271" s="119" t="str">
        <f ca="1">IFERROR(INDEX($AI$270:$BI$295,MATCH(I$266,$AG$270:$AG$295,0),MATCH("Varumärke",$AI$270:$BI$270,0)),"")</f>
        <v>Dell</v>
      </c>
      <c r="K271" s="196">
        <f t="shared" ref="K271:K276" ca="1" si="202">O271*$D$293</f>
        <v>0</v>
      </c>
      <c r="L271" s="185" t="b">
        <f t="shared" ref="L271:L276" si="203">IF($D$293=0,TRUE,IF(K271=0,FALSE,TRUE))</f>
        <v>1</v>
      </c>
      <c r="M271" s="185" t="s">
        <v>162</v>
      </c>
      <c r="N271" s="185" t="str">
        <f t="shared" ref="N271:N276" ca="1" si="204">IFERROR(INDEX($W$271:$W$282,MATCH(O271,$V$271:$V$281,0)),"")</f>
        <v>Offererad produktnr. 11Advania Sverige AB</v>
      </c>
      <c r="O271" s="185" cm="1">
        <f t="array" aca="1" ref="O271" ca="1">MIN(IF(($BH$271:$BH$282=M271)*($AH$271:$AH$282=$O$268),$V$271:$V$282))</f>
        <v>1981</v>
      </c>
      <c r="P271" s="197">
        <f ca="1">IFERROR(SMALL($V$271:$V$295,1),"")</f>
        <v>1981</v>
      </c>
      <c r="Q271" s="185">
        <f t="shared" ref="Q271:Q280" si="205">SUM(R271:U271)</f>
        <v>0</v>
      </c>
      <c r="R271" s="185">
        <f t="shared" ref="R271:R280" si="206">IF($D$283="",0,AY271)</f>
        <v>0</v>
      </c>
      <c r="S271" s="185">
        <f t="shared" ref="S271:S280" si="207">IF($D$287="",0,AZ271)</f>
        <v>0</v>
      </c>
      <c r="T271" s="185">
        <f t="shared" ref="T271:T280" si="208">IF($D$288="",0,BA271)</f>
        <v>0</v>
      </c>
      <c r="U271" s="185">
        <f t="shared" ref="U271:U280" si="209">IF($D$289="",0,BD271)</f>
        <v>0</v>
      </c>
      <c r="V271" s="196">
        <f t="shared" ref="V271:V280" ca="1" si="210">IF(W271="","",SUM(AX271,R271:U271))</f>
        <v>1981</v>
      </c>
      <c r="W271" s="185" t="str">
        <f t="shared" ref="W271:W280" si="211">IF(COUNTIF(X271:AF271,FALSE)&gt;0,"",AG271)</f>
        <v>Offererad produktnr. 11Advania Sverige AB</v>
      </c>
      <c r="X271" s="185" t="b">
        <f>IF($D$272="",TRUE,IF(COUNTIF(Processor!$I$2:$I$9,$D$272)&gt;0,AND(AI271&gt;INDEX(Processor!$J$2:$J$9,MATCH($D$272,Processor!$I$2:$I$9,0)),AI271&lt;INDEX(Processor!$K$2:$K$9,MATCH($D$272,Processor!$I$2:$I$9,0))),IF(AI271=$D$272,TRUE,FALSE)))</f>
        <v>1</v>
      </c>
      <c r="Y271" s="185" t="b">
        <f t="shared" ref="Y271:Y280" si="212">IFERROR(IF($D$273="",TRUE,IF(AND(IF(LEFT(RIGHT($D$273,4),4)*1&lt;=1*LEFT(AJ271,4),TRUE,FALSE),IF(RIGHT(AJ271,LEN(AJ271)-FIND("x",AJ271))*1&gt;=1*RIGHT(RIGHT($D$273,4),4),TRUE,FALSE)),TRUE,FALSE)),0)</f>
        <v>1</v>
      </c>
      <c r="Z271" s="185" t="b">
        <f t="shared" ref="Z271:Z280" si="213">IF($D$274="",TRUE,IF(AK271&gt;=$D$274,TRUE,FALSE))</f>
        <v>1</v>
      </c>
      <c r="AA271" s="185" t="b">
        <f t="shared" ref="AA271:AA280" si="214">IF($D$275="",TRUE,IF(AL271&gt;=$D$275,TRUE,FALSE))</f>
        <v>1</v>
      </c>
      <c r="AB271" s="185" t="b">
        <f t="shared" ref="AB271:AB280" si="215">IF($D$276="",TRUE,IF(AM271&gt;=$D$276,TRUE,FALSE))</f>
        <v>1</v>
      </c>
      <c r="AC271" s="185" t="b">
        <f t="shared" ref="AC271:AC280" si="216">IF($D$277="",TRUE,IF(AN271&gt;=$D$277,TRUE,FALSE))</f>
        <v>1</v>
      </c>
      <c r="AD271" s="185"/>
      <c r="AE271" s="185" t="b">
        <f t="shared" ref="AE271:AE280" si="217">IF($D$278="",TRUE,IF(AO271&gt;=$D$278,TRUE,FALSE))</f>
        <v>1</v>
      </c>
      <c r="AF271" s="185" t="b">
        <f>IFERROR(IF($D279="",TRUE,IF(MID(AT271,LEN(AT271)-2,1)*1&gt;=MID($D279,LEN($D279)-2,1)*1,TRUE,FALSE)),FALSE)</f>
        <v>1</v>
      </c>
      <c r="AG271" s="185" t="s">
        <v>208</v>
      </c>
      <c r="AH271" s="201">
        <v>1</v>
      </c>
      <c r="AI271" s="185">
        <f t="shared" ref="AI271:AR280" ca="1" si="218">IFERROR(INDEX(INDIRECT(AI$266&amp;"!$A$10:CC100000"),MATCH($AG271,INDIRECT(AI$266&amp;"!BH$10:BH100000"),0),MATCH(AI$268,INDIRECT(AI$266&amp;"!a10:CC10"),0)),"False")</f>
        <v>24</v>
      </c>
      <c r="AJ271" s="185" t="str">
        <f t="shared" ca="1" si="218"/>
        <v>1920x1080</v>
      </c>
      <c r="AK271" s="185">
        <f t="shared" ca="1" si="218"/>
        <v>4</v>
      </c>
      <c r="AL271" s="185">
        <f t="shared" ca="1" si="218"/>
        <v>0</v>
      </c>
      <c r="AM271" s="185">
        <f t="shared" ca="1" si="218"/>
        <v>1</v>
      </c>
      <c r="AN271" s="185">
        <f t="shared" ca="1" si="218"/>
        <v>16700000</v>
      </c>
      <c r="AO271" s="185">
        <f t="shared" ca="1" si="218"/>
        <v>250</v>
      </c>
      <c r="AP271" s="185" t="str">
        <f t="shared" ca="1" si="218"/>
        <v>Version 8.0</v>
      </c>
      <c r="AQ271" s="185" t="str">
        <f t="shared" ca="1" si="218"/>
        <v>Ja</v>
      </c>
      <c r="AR271" s="185">
        <f t="shared" ca="1" si="218"/>
        <v>0</v>
      </c>
      <c r="AS271" s="185">
        <f t="shared" ref="AS271:BB280" ca="1" si="219">IFERROR(INDEX(INDIRECT(AS$266&amp;"!$A$10:CC100000"),MATCH($AG271,INDIRECT(AS$266&amp;"!BH$10:BH100000"),0),MATCH(AS$268,INDIRECT(AS$266&amp;"!a10:CC10"),0)),"False")</f>
        <v>0</v>
      </c>
      <c r="AT271" s="185" t="str">
        <f t="shared" ca="1" si="219"/>
        <v>Version 8.0</v>
      </c>
      <c r="AU271" s="185" t="str">
        <f t="shared" ca="1" si="219"/>
        <v>Ja</v>
      </c>
      <c r="AV271" s="185">
        <f t="shared" ca="1" si="219"/>
        <v>0</v>
      </c>
      <c r="AW271" s="185" t="str">
        <f t="shared" ca="1" si="219"/>
        <v>HP E24i G4 - E-Series - LED-skärm</v>
      </c>
      <c r="AX271" s="185">
        <f t="shared" ca="1" si="219"/>
        <v>1981</v>
      </c>
      <c r="AY271" s="192">
        <f t="shared" ca="1" si="219"/>
        <v>639</v>
      </c>
      <c r="AZ271" s="192">
        <f t="shared" ca="1" si="219"/>
        <v>101</v>
      </c>
      <c r="BA271" s="192">
        <f t="shared" ca="1" si="219"/>
        <v>50</v>
      </c>
      <c r="BB271" s="192">
        <f t="shared" ca="1" si="219"/>
        <v>50</v>
      </c>
      <c r="BC271" s="192" t="str">
        <f t="shared" ref="BC271:BI280" ca="1" si="220">IFERROR(INDEX(INDIRECT(BC$266&amp;"!$A$10:CC100000"),MATCH($AG271,INDIRECT(BC$266&amp;"!BH$10:BH100000"),0),MATCH(BC$268,INDIRECT(BC$266&amp;"!a10:CC10"),0)),"False")</f>
        <v>eSTUFF</v>
      </c>
      <c r="BD271" s="192" t="str">
        <f t="shared" ca="1" si="220"/>
        <v>GLBB24519325 -  Filter för personlig integritet - 2-vägs - 24" - svart</v>
      </c>
      <c r="BE271" s="192" t="str">
        <f t="shared" ca="1" si="220"/>
        <v>False</v>
      </c>
      <c r="BF271" s="192" t="str">
        <f t="shared" ca="1" si="220"/>
        <v>False</v>
      </c>
      <c r="BG271" s="192" t="str">
        <f t="shared" ca="1" si="220"/>
        <v>False</v>
      </c>
      <c r="BH271" s="192" t="str">
        <f t="shared" ca="1" si="220"/>
        <v>Advania Sverige AB</v>
      </c>
      <c r="BI271" s="192" t="str">
        <f t="shared" ca="1" si="220"/>
        <v>HP</v>
      </c>
      <c r="BJ271" s="199">
        <v>23.8</v>
      </c>
      <c r="BK271" s="185" t="s">
        <v>71</v>
      </c>
      <c r="BL271" s="185">
        <v>0</v>
      </c>
      <c r="BM271" s="185">
        <v>1</v>
      </c>
      <c r="BN271" s="185">
        <v>1</v>
      </c>
      <c r="BO271" s="185">
        <v>16700000</v>
      </c>
      <c r="BP271" s="185">
        <v>250</v>
      </c>
      <c r="BQ271" s="185" t="s">
        <v>352</v>
      </c>
      <c r="BR271" s="185" t="s">
        <v>69</v>
      </c>
      <c r="BS271" s="185"/>
      <c r="BT271" s="185"/>
      <c r="BU271" s="185" t="s">
        <v>352</v>
      </c>
      <c r="BV271" s="185" t="s">
        <v>69</v>
      </c>
      <c r="BW271">
        <v>0</v>
      </c>
    </row>
    <row r="272" spans="2:75" ht="22.5" customHeight="1" outlineLevel="1" x14ac:dyDescent="0.35">
      <c r="C272" s="61" t="s">
        <v>7</v>
      </c>
      <c r="D272" s="64"/>
      <c r="F272" s="78" t="str">
        <f t="shared" ref="F272:F280" si="221">IF(F$269="Inget antal angivet","",IFERROR(INDEX($AI$270:$BI$295,MATCH(F$266,$AG$270:$AG$295,0),MATCH($C272,$AI$270:$BI$270,0)),""))</f>
        <v/>
      </c>
      <c r="G272" s="79">
        <f t="shared" ref="G272:I280" ca="1" si="222">IFERROR(INDEX($AI$270:$BI$295,MATCH(G$266,$AG$270:$AG$295,0),MATCH($C272,$AI$270:$BI$270,0)),"")</f>
        <v>24</v>
      </c>
      <c r="H272" s="79">
        <f t="shared" ca="1" si="222"/>
        <v>23.8</v>
      </c>
      <c r="I272" s="120">
        <f t="shared" ca="1" si="222"/>
        <v>23.8</v>
      </c>
      <c r="J272" s="62"/>
      <c r="K272" s="196">
        <f t="shared" ca="1" si="202"/>
        <v>0</v>
      </c>
      <c r="L272" s="185" t="b">
        <f t="shared" si="203"/>
        <v>1</v>
      </c>
      <c r="M272" s="185" t="s">
        <v>150</v>
      </c>
      <c r="N272" s="185" t="str">
        <f t="shared" ca="1" si="204"/>
        <v>Offererad produktnr. 11Atea Sverige AB</v>
      </c>
      <c r="O272" s="185" cm="1">
        <f t="array" aca="1" ref="O272" ca="1">MIN(IF(($BH$271:$BH$282=M272)*($AH$271:$AH$282=$O$268),$V$271:$V$282))</f>
        <v>2034</v>
      </c>
      <c r="P272" s="197">
        <f ca="1">IFERROR(SMALL($V$271:$V$295,2),"")</f>
        <v>2034</v>
      </c>
      <c r="Q272" s="185">
        <f t="shared" si="205"/>
        <v>0</v>
      </c>
      <c r="R272" s="185">
        <f t="shared" si="206"/>
        <v>0</v>
      </c>
      <c r="S272" s="185">
        <f t="shared" si="207"/>
        <v>0</v>
      </c>
      <c r="T272" s="185">
        <f t="shared" si="208"/>
        <v>0</v>
      </c>
      <c r="U272" s="185">
        <f t="shared" si="209"/>
        <v>0</v>
      </c>
      <c r="V272" s="196">
        <f t="shared" ca="1" si="210"/>
        <v>3060</v>
      </c>
      <c r="W272" s="185" t="str">
        <f t="shared" si="211"/>
        <v>Offererad produktnr. 12Advania Sverige AB</v>
      </c>
      <c r="X272" s="185" t="b">
        <f>IF($D$272="",TRUE,IF(COUNTIF(Processor!$I$2:$I$9,$D$272)&gt;0,AND(AI272&gt;INDEX(Processor!$J$2:$J$9,MATCH($D$272,Processor!$I$2:$I$9,0)),AI272&lt;INDEX(Processor!$K$2:$K$9,MATCH($D$272,Processor!$I$2:$I$9,0))),IF(AI272=$D$272,TRUE,FALSE)))</f>
        <v>1</v>
      </c>
      <c r="Y272" s="185" t="b">
        <f t="shared" si="212"/>
        <v>1</v>
      </c>
      <c r="Z272" s="185" t="b">
        <f t="shared" si="213"/>
        <v>1</v>
      </c>
      <c r="AA272" s="185" t="b">
        <f t="shared" si="214"/>
        <v>1</v>
      </c>
      <c r="AB272" s="185" t="b">
        <f t="shared" si="215"/>
        <v>1</v>
      </c>
      <c r="AC272" s="185" t="b">
        <f t="shared" si="216"/>
        <v>1</v>
      </c>
      <c r="AD272" s="185"/>
      <c r="AE272" s="185" t="b">
        <f t="shared" si="217"/>
        <v>1</v>
      </c>
      <c r="AF272" s="185" t="b">
        <f>IFERROR(IF($D279="",TRUE,IF(MID(AT272,LEN(AT272)-2,1)*1&gt;=MID($D279,LEN($D279)-2,1)*1,TRUE,FALSE)),FALSE)</f>
        <v>1</v>
      </c>
      <c r="AG272" s="185" t="s">
        <v>209</v>
      </c>
      <c r="AH272" s="201">
        <v>1</v>
      </c>
      <c r="AI272" s="185">
        <f t="shared" ca="1" si="218"/>
        <v>27</v>
      </c>
      <c r="AJ272" s="185" t="str">
        <f t="shared" ca="1" si="218"/>
        <v>2560x1440</v>
      </c>
      <c r="AK272" s="185">
        <f t="shared" ca="1" si="218"/>
        <v>4</v>
      </c>
      <c r="AL272" s="185">
        <f t="shared" ca="1" si="218"/>
        <v>0</v>
      </c>
      <c r="AM272" s="185">
        <f t="shared" ca="1" si="218"/>
        <v>1</v>
      </c>
      <c r="AN272" s="185">
        <f t="shared" ca="1" si="218"/>
        <v>16700000</v>
      </c>
      <c r="AO272" s="185">
        <f t="shared" ca="1" si="218"/>
        <v>350</v>
      </c>
      <c r="AP272" s="185" t="str">
        <f t="shared" ca="1" si="218"/>
        <v>Version 8.0</v>
      </c>
      <c r="AQ272" s="185" t="str">
        <f t="shared" ca="1" si="218"/>
        <v>Ja</v>
      </c>
      <c r="AR272" s="185">
        <f t="shared" ca="1" si="218"/>
        <v>0</v>
      </c>
      <c r="AS272" s="185">
        <f t="shared" ca="1" si="219"/>
        <v>0</v>
      </c>
      <c r="AT272" s="185" t="str">
        <f t="shared" ca="1" si="219"/>
        <v>Version 8.0</v>
      </c>
      <c r="AU272" s="185" t="str">
        <f t="shared" ca="1" si="219"/>
        <v>Ja</v>
      </c>
      <c r="AV272" s="185">
        <f t="shared" ca="1" si="219"/>
        <v>0</v>
      </c>
      <c r="AW272" s="185" t="str">
        <f t="shared" ca="1" si="219"/>
        <v>HP E27q G5 - E-Series</v>
      </c>
      <c r="AX272" s="185">
        <f t="shared" ca="1" si="219"/>
        <v>3060</v>
      </c>
      <c r="AY272" s="192">
        <f t="shared" ca="1" si="219"/>
        <v>815</v>
      </c>
      <c r="AZ272" s="192">
        <f t="shared" ca="1" si="219"/>
        <v>101</v>
      </c>
      <c r="BA272" s="192">
        <f t="shared" ca="1" si="219"/>
        <v>50</v>
      </c>
      <c r="BB272" s="192">
        <f t="shared" ca="1" si="219"/>
        <v>50</v>
      </c>
      <c r="BC272" s="192" t="str">
        <f t="shared" ca="1" si="220"/>
        <v>eSTUFF</v>
      </c>
      <c r="BD272" s="192" t="str">
        <f t="shared" ca="1" si="220"/>
        <v>GLBB27598337 - Filter för personlig integritet - 2-vägs - 27" - svart</v>
      </c>
      <c r="BE272" s="192" t="str">
        <f t="shared" ca="1" si="220"/>
        <v>False</v>
      </c>
      <c r="BF272" s="192" t="str">
        <f t="shared" ca="1" si="220"/>
        <v>False</v>
      </c>
      <c r="BG272" s="192" t="str">
        <f t="shared" ca="1" si="220"/>
        <v>False</v>
      </c>
      <c r="BH272" s="192" t="str">
        <f t="shared" ca="1" si="220"/>
        <v>Advania Sverige AB</v>
      </c>
      <c r="BI272" s="192" t="str">
        <f t="shared" ca="1" si="220"/>
        <v>HP</v>
      </c>
      <c r="BJ272" s="199">
        <v>24</v>
      </c>
      <c r="BK272" s="185" t="s">
        <v>92</v>
      </c>
      <c r="BL272" s="185">
        <v>2</v>
      </c>
      <c r="BM272" s="185">
        <v>2</v>
      </c>
      <c r="BN272" s="185"/>
      <c r="BO272" s="185">
        <v>1070000000</v>
      </c>
      <c r="BP272" s="185">
        <v>300</v>
      </c>
      <c r="BQ272" s="185"/>
      <c r="BR272" s="185"/>
      <c r="BS272" s="185"/>
      <c r="BT272" s="185"/>
      <c r="BU272" s="185"/>
      <c r="BV272" s="185"/>
      <c r="BW272">
        <v>0</v>
      </c>
    </row>
    <row r="273" spans="2:74" ht="22.5" customHeight="1" outlineLevel="1" x14ac:dyDescent="0.35">
      <c r="C273" s="61" t="s">
        <v>2</v>
      </c>
      <c r="D273" s="64"/>
      <c r="F273" s="78" t="str">
        <f t="shared" si="221"/>
        <v/>
      </c>
      <c r="G273" s="79" t="str">
        <f t="shared" ca="1" si="222"/>
        <v>1920x1080</v>
      </c>
      <c r="H273" s="79" t="str">
        <f t="shared" ca="1" si="222"/>
        <v>1920x1080</v>
      </c>
      <c r="I273" s="120" t="str">
        <f t="shared" ca="1" si="222"/>
        <v>1920x1080</v>
      </c>
      <c r="J273" s="62"/>
      <c r="K273" s="196">
        <f t="shared" ca="1" si="202"/>
        <v>0</v>
      </c>
      <c r="L273" s="185" t="b">
        <f t="shared" si="203"/>
        <v>1</v>
      </c>
      <c r="M273" s="185" t="s">
        <v>128</v>
      </c>
      <c r="N273" s="185" t="str">
        <f t="shared" ca="1" si="204"/>
        <v>Offererad produktnr. 11Dustin Sverige AB</v>
      </c>
      <c r="O273" s="185" cm="1">
        <f t="array" aca="1" ref="O273" ca="1">MIN(IF(($BH$271:$BH$282=M273)*($AH$271:$AH$282=$O$268),$V$271:$V$282))</f>
        <v>2190</v>
      </c>
      <c r="P273" s="197">
        <f ca="1">IFERROR(SMALL($V$271:$V$295,3),"")</f>
        <v>2076</v>
      </c>
      <c r="Q273" s="185">
        <f t="shared" si="205"/>
        <v>0</v>
      </c>
      <c r="R273" s="185">
        <f t="shared" si="206"/>
        <v>0</v>
      </c>
      <c r="S273" s="185">
        <f t="shared" si="207"/>
        <v>0</v>
      </c>
      <c r="T273" s="185">
        <f t="shared" si="208"/>
        <v>0</v>
      </c>
      <c r="U273" s="185">
        <f t="shared" si="209"/>
        <v>0</v>
      </c>
      <c r="V273" s="196">
        <f t="shared" ca="1" si="210"/>
        <v>2034</v>
      </c>
      <c r="W273" s="185" t="str">
        <f t="shared" si="211"/>
        <v>Offererad produktnr. 11Atea Sverige AB</v>
      </c>
      <c r="X273" s="185" t="b">
        <f>IF($D$272="",TRUE,IF(COUNTIF(Processor!$I$2:$I$9,$D$272)&gt;0,AND(AI273&gt;INDEX(Processor!$J$2:$J$9,MATCH($D$272,Processor!$I$2:$I$9,0)),AI273&lt;INDEX(Processor!$K$2:$K$9,MATCH($D$272,Processor!$I$2:$I$9,0))),IF(AI273=$D$272,TRUE,FALSE)))</f>
        <v>1</v>
      </c>
      <c r="Y273" s="185" t="b">
        <f t="shared" si="212"/>
        <v>1</v>
      </c>
      <c r="Z273" s="185" t="b">
        <f t="shared" si="213"/>
        <v>1</v>
      </c>
      <c r="AA273" s="185" t="b">
        <f t="shared" si="214"/>
        <v>1</v>
      </c>
      <c r="AB273" s="185" t="b">
        <f t="shared" si="215"/>
        <v>1</v>
      </c>
      <c r="AC273" s="185" t="b">
        <f t="shared" si="216"/>
        <v>1</v>
      </c>
      <c r="AD273" s="185"/>
      <c r="AE273" s="185" t="b">
        <f t="shared" si="217"/>
        <v>1</v>
      </c>
      <c r="AF273" s="185" t="b">
        <f>IFERROR(IF($D279="",TRUE,IF(MID(AT273,LEN(AT273)-2,1)*1&gt;=MID($D279,LEN($D279)-2,1)*1,TRUE,FALSE)),FALSE)</f>
        <v>1</v>
      </c>
      <c r="AG273" s="185" t="s">
        <v>196</v>
      </c>
      <c r="AH273" s="201">
        <v>1</v>
      </c>
      <c r="AI273" s="185">
        <f t="shared" ca="1" si="218"/>
        <v>23.8</v>
      </c>
      <c r="AJ273" s="185" t="str">
        <f t="shared" ca="1" si="218"/>
        <v>1920x1080</v>
      </c>
      <c r="AK273" s="185">
        <f t="shared" ca="1" si="218"/>
        <v>2</v>
      </c>
      <c r="AL273" s="185">
        <f t="shared" ca="1" si="218"/>
        <v>0</v>
      </c>
      <c r="AM273" s="185">
        <f t="shared" ca="1" si="218"/>
        <v>1</v>
      </c>
      <c r="AN273" s="185">
        <f t="shared" ca="1" si="218"/>
        <v>16700000</v>
      </c>
      <c r="AO273" s="185">
        <f t="shared" ca="1" si="218"/>
        <v>250</v>
      </c>
      <c r="AP273" s="185" t="str">
        <f t="shared" ca="1" si="218"/>
        <v>Version 8.0</v>
      </c>
      <c r="AQ273" s="185" t="str">
        <f t="shared" ca="1" si="218"/>
        <v>Ja</v>
      </c>
      <c r="AR273" s="185">
        <f t="shared" ca="1" si="218"/>
        <v>0</v>
      </c>
      <c r="AS273" s="185">
        <f t="shared" ca="1" si="219"/>
        <v>0</v>
      </c>
      <c r="AT273" s="185" t="str">
        <f t="shared" ca="1" si="219"/>
        <v>Version 8.0</v>
      </c>
      <c r="AU273" s="185" t="str">
        <f t="shared" ca="1" si="219"/>
        <v>Ja</v>
      </c>
      <c r="AV273" s="185">
        <f t="shared" ca="1" si="219"/>
        <v>0</v>
      </c>
      <c r="AW273" s="185" t="str">
        <f t="shared" ca="1" si="219"/>
        <v>F24T450FQR</v>
      </c>
      <c r="AX273" s="185">
        <f t="shared" ca="1" si="219"/>
        <v>2034</v>
      </c>
      <c r="AY273" s="192">
        <f t="shared" ca="1" si="219"/>
        <v>778</v>
      </c>
      <c r="AZ273" s="192">
        <f t="shared" ca="1" si="219"/>
        <v>94</v>
      </c>
      <c r="BA273" s="192">
        <f t="shared" ca="1" si="219"/>
        <v>85</v>
      </c>
      <c r="BB273" s="192">
        <f t="shared" ca="1" si="219"/>
        <v>100</v>
      </c>
      <c r="BC273" s="192" t="str">
        <f t="shared" ca="1" si="220"/>
        <v>Targus</v>
      </c>
      <c r="BD273" s="192" t="str">
        <f t="shared" ca="1" si="220"/>
        <v>Targus Privacy Screen - filter för personlig integritet - 23,8 tum bred</v>
      </c>
      <c r="BE273" s="192" t="str">
        <f t="shared" ca="1" si="220"/>
        <v>False</v>
      </c>
      <c r="BF273" s="192" t="str">
        <f t="shared" ca="1" si="220"/>
        <v>False</v>
      </c>
      <c r="BG273" s="192" t="str">
        <f t="shared" ca="1" si="220"/>
        <v>False</v>
      </c>
      <c r="BH273" s="192" t="str">
        <f t="shared" ca="1" si="220"/>
        <v>Atea Sverige AB</v>
      </c>
      <c r="BI273" s="192" t="str">
        <f t="shared" ca="1" si="220"/>
        <v>Samsung</v>
      </c>
      <c r="BJ273" s="199">
        <v>27</v>
      </c>
      <c r="BK273" s="185"/>
      <c r="BL273" s="185">
        <v>4</v>
      </c>
      <c r="BM273" s="185"/>
      <c r="BN273" s="185"/>
      <c r="BO273" s="185"/>
      <c r="BP273" s="185">
        <v>350</v>
      </c>
      <c r="BQ273" s="185"/>
      <c r="BR273" s="185"/>
      <c r="BS273" s="185"/>
      <c r="BT273" s="185"/>
      <c r="BU273" s="185"/>
      <c r="BV273" s="185"/>
    </row>
    <row r="274" spans="2:74" ht="22.5" customHeight="1" outlineLevel="1" x14ac:dyDescent="0.35">
      <c r="B274" t="s">
        <v>272</v>
      </c>
      <c r="C274" s="61" t="s">
        <v>67</v>
      </c>
      <c r="D274" s="64"/>
      <c r="F274" s="78" t="str">
        <f t="shared" si="221"/>
        <v/>
      </c>
      <c r="G274" s="79">
        <f t="shared" ca="1" si="222"/>
        <v>4</v>
      </c>
      <c r="H274" s="79">
        <f t="shared" ca="1" si="222"/>
        <v>2</v>
      </c>
      <c r="I274" s="120">
        <f t="shared" ca="1" si="222"/>
        <v>5</v>
      </c>
      <c r="J274" s="62"/>
      <c r="K274" s="196">
        <f t="shared" ca="1" si="202"/>
        <v>0</v>
      </c>
      <c r="L274" s="185" t="b">
        <f t="shared" si="203"/>
        <v>1</v>
      </c>
      <c r="M274" s="185" t="s">
        <v>169</v>
      </c>
      <c r="N274" s="185" t="str">
        <f t="shared" ca="1" si="204"/>
        <v>Offererad produktnr. 11Foxway Education AB</v>
      </c>
      <c r="O274" s="185" cm="1">
        <f t="array" aca="1" ref="O274" ca="1">MIN(IF(($BH$271:$BH$282=M274)*($AH$271:$AH$282=$O$268),$V$271:$V$282))</f>
        <v>2361</v>
      </c>
      <c r="P274" s="197"/>
      <c r="Q274" s="185">
        <f t="shared" si="205"/>
        <v>0</v>
      </c>
      <c r="R274" s="185">
        <f t="shared" si="206"/>
        <v>0</v>
      </c>
      <c r="S274" s="185">
        <f t="shared" si="207"/>
        <v>0</v>
      </c>
      <c r="T274" s="185">
        <f t="shared" si="208"/>
        <v>0</v>
      </c>
      <c r="U274" s="185">
        <f t="shared" si="209"/>
        <v>0</v>
      </c>
      <c r="V274" s="196">
        <f t="shared" ca="1" si="210"/>
        <v>3234</v>
      </c>
      <c r="W274" s="185" t="str">
        <f t="shared" si="211"/>
        <v>Offererad produktnr. 12Atea Sverige AB</v>
      </c>
      <c r="X274" s="185" t="b">
        <f>IF($D$272="",TRUE,IF(COUNTIF(Processor!$I$2:$I$9,$D$272)&gt;0,AND(AI274&gt;INDEX(Processor!$J$2:$J$9,MATCH($D$272,Processor!$I$2:$I$9,0)),AI274&lt;INDEX(Processor!$K$2:$K$9,MATCH($D$272,Processor!$I$2:$I$9,0))),IF(AI274=$D$272,TRUE,FALSE)))</f>
        <v>1</v>
      </c>
      <c r="Y274" s="185" t="b">
        <f t="shared" si="212"/>
        <v>1</v>
      </c>
      <c r="Z274" s="185" t="b">
        <f t="shared" si="213"/>
        <v>1</v>
      </c>
      <c r="AA274" s="185" t="b">
        <f t="shared" si="214"/>
        <v>1</v>
      </c>
      <c r="AB274" s="185" t="b">
        <f t="shared" si="215"/>
        <v>1</v>
      </c>
      <c r="AC274" s="185" t="b">
        <f t="shared" si="216"/>
        <v>1</v>
      </c>
      <c r="AD274" s="185"/>
      <c r="AE274" s="185" t="b">
        <f t="shared" si="217"/>
        <v>1</v>
      </c>
      <c r="AF274" s="185" t="b">
        <f>IFERROR(IF($D279="",TRUE,IF(MID(AT274,LEN(AT274)-2,1)*1&gt;=MID($D279,LEN($D279)-2,1)*1,TRUE,FALSE)),FALSE)</f>
        <v>1</v>
      </c>
      <c r="AG274" s="185" t="s">
        <v>197</v>
      </c>
      <c r="AH274" s="201">
        <v>1</v>
      </c>
      <c r="AI274" s="185">
        <f t="shared" ca="1" si="218"/>
        <v>27</v>
      </c>
      <c r="AJ274" s="185" t="str">
        <f t="shared" ca="1" si="218"/>
        <v>2560x1440</v>
      </c>
      <c r="AK274" s="185">
        <f t="shared" ca="1" si="218"/>
        <v>4</v>
      </c>
      <c r="AL274" s="185">
        <f t="shared" ca="1" si="218"/>
        <v>0</v>
      </c>
      <c r="AM274" s="185">
        <f t="shared" ca="1" si="218"/>
        <v>1</v>
      </c>
      <c r="AN274" s="185">
        <f t="shared" ca="1" si="218"/>
        <v>1070000000</v>
      </c>
      <c r="AO274" s="185">
        <f t="shared" ca="1" si="218"/>
        <v>300</v>
      </c>
      <c r="AP274" s="185" t="str">
        <f t="shared" ca="1" si="218"/>
        <v>Version 8.0</v>
      </c>
      <c r="AQ274" s="185" t="str">
        <f t="shared" ca="1" si="218"/>
        <v>Ja</v>
      </c>
      <c r="AR274" s="185">
        <f t="shared" ca="1" si="218"/>
        <v>0</v>
      </c>
      <c r="AS274" s="185">
        <f t="shared" ca="1" si="219"/>
        <v>0</v>
      </c>
      <c r="AT274" s="185" t="str">
        <f t="shared" ca="1" si="219"/>
        <v>Version 8.0</v>
      </c>
      <c r="AU274" s="185" t="str">
        <f t="shared" ca="1" si="219"/>
        <v>Ja</v>
      </c>
      <c r="AV274" s="185">
        <f t="shared" ca="1" si="219"/>
        <v>0</v>
      </c>
      <c r="AW274" s="185" t="str">
        <f t="shared" ca="1" si="219"/>
        <v>S27A600NAU</v>
      </c>
      <c r="AX274" s="185">
        <f t="shared" ca="1" si="219"/>
        <v>3234</v>
      </c>
      <c r="AY274" s="192">
        <f t="shared" ca="1" si="219"/>
        <v>1020</v>
      </c>
      <c r="AZ274" s="192">
        <f t="shared" ca="1" si="219"/>
        <v>164</v>
      </c>
      <c r="BA274" s="192">
        <f t="shared" ca="1" si="219"/>
        <v>85</v>
      </c>
      <c r="BB274" s="192">
        <f t="shared" ca="1" si="219"/>
        <v>100</v>
      </c>
      <c r="BC274" s="192" t="str">
        <f t="shared" ca="1" si="220"/>
        <v>Targus</v>
      </c>
      <c r="BD274" s="192" t="str">
        <f t="shared" ca="1" si="220"/>
        <v>Targus Privacy Screen 27" Widescreen (16:9) - filter för personlig integritet - 27 tum bred</v>
      </c>
      <c r="BE274" s="192" t="str">
        <f t="shared" ca="1" si="220"/>
        <v>False</v>
      </c>
      <c r="BF274" s="192" t="str">
        <f t="shared" ca="1" si="220"/>
        <v>False</v>
      </c>
      <c r="BG274" s="192" t="str">
        <f t="shared" ca="1" si="220"/>
        <v>False</v>
      </c>
      <c r="BH274" s="192" t="str">
        <f t="shared" ca="1" si="220"/>
        <v>Atea Sverige AB</v>
      </c>
      <c r="BI274" s="192" t="str">
        <f t="shared" ca="1" si="220"/>
        <v>Samsung</v>
      </c>
      <c r="BJ274" s="199"/>
      <c r="BK274" s="185"/>
      <c r="BL274" s="185">
        <v>5</v>
      </c>
      <c r="BM274" s="185"/>
      <c r="BN274" s="185"/>
      <c r="BO274" s="185"/>
      <c r="BP274" s="185"/>
      <c r="BQ274" s="185"/>
      <c r="BR274" s="185"/>
      <c r="BS274" s="185"/>
      <c r="BT274" s="185"/>
      <c r="BU274" s="185"/>
      <c r="BV274" s="185"/>
    </row>
    <row r="275" spans="2:74" ht="22.5" customHeight="1" outlineLevel="1" x14ac:dyDescent="0.35">
      <c r="C275" s="61" t="s">
        <v>68</v>
      </c>
      <c r="D275" s="64"/>
      <c r="F275" s="78" t="str">
        <f t="shared" si="221"/>
        <v/>
      </c>
      <c r="G275" s="79">
        <f t="shared" ca="1" si="222"/>
        <v>0</v>
      </c>
      <c r="H275" s="79">
        <f t="shared" ca="1" si="222"/>
        <v>0</v>
      </c>
      <c r="I275" s="120">
        <f t="shared" ca="1" si="222"/>
        <v>0</v>
      </c>
      <c r="J275" s="62"/>
      <c r="K275" s="196">
        <f t="shared" ca="1" si="202"/>
        <v>0</v>
      </c>
      <c r="L275" s="185" t="b">
        <f t="shared" si="203"/>
        <v>1</v>
      </c>
      <c r="M275" s="185" t="s">
        <v>167</v>
      </c>
      <c r="N275" s="185" t="str">
        <f t="shared" ca="1" si="204"/>
        <v/>
      </c>
      <c r="O275" s="185" cm="1">
        <f t="array" aca="1" ref="O275" ca="1">MIN(IF(($BH$271:$BH$282=M275)*($AH$271:$AH$282=$O$268),$V$271:$V$282))</f>
        <v>0</v>
      </c>
      <c r="P275" s="197"/>
      <c r="Q275" s="185">
        <f t="shared" si="205"/>
        <v>0</v>
      </c>
      <c r="R275" s="185">
        <f t="shared" si="206"/>
        <v>0</v>
      </c>
      <c r="S275" s="185">
        <f t="shared" si="207"/>
        <v>0</v>
      </c>
      <c r="T275" s="185">
        <f t="shared" si="208"/>
        <v>0</v>
      </c>
      <c r="U275" s="185">
        <f t="shared" si="209"/>
        <v>0</v>
      </c>
      <c r="V275" s="196">
        <f t="shared" ca="1" si="210"/>
        <v>2190</v>
      </c>
      <c r="W275" s="185" t="str">
        <f t="shared" si="211"/>
        <v>Offererad produktnr. 11Dustin Sverige AB</v>
      </c>
      <c r="X275" s="185" t="b">
        <f>IF($D$272="",TRUE,IF(COUNTIF(Processor!$I$2:$I$9,$D$272)&gt;0,AND(AI275&gt;INDEX(Processor!$J$2:$J$9,MATCH($D$272,Processor!$I$2:$I$9,0)),AI275&lt;INDEX(Processor!$K$2:$K$9,MATCH($D$272,Processor!$I$2:$I$9,0))),IF(AI275=$D$272,TRUE,FALSE)))</f>
        <v>1</v>
      </c>
      <c r="Y275" s="185" t="b">
        <f t="shared" si="212"/>
        <v>1</v>
      </c>
      <c r="Z275" s="185" t="b">
        <f t="shared" si="213"/>
        <v>1</v>
      </c>
      <c r="AA275" s="185" t="b">
        <f t="shared" si="214"/>
        <v>1</v>
      </c>
      <c r="AB275" s="185" t="b">
        <f t="shared" si="215"/>
        <v>1</v>
      </c>
      <c r="AC275" s="185" t="b">
        <f t="shared" si="216"/>
        <v>1</v>
      </c>
      <c r="AD275" s="185"/>
      <c r="AE275" s="185" t="b">
        <f t="shared" si="217"/>
        <v>1</v>
      </c>
      <c r="AF275" s="185" t="b">
        <f>IFERROR(IF($D279="",TRUE,IF(MID(AT275,LEN(AT275)-2,1)*1&gt;=MID($D279,LEN($D279)-2,1)*1,TRUE,FALSE)),FALSE)</f>
        <v>1</v>
      </c>
      <c r="AG275" s="185" t="s">
        <v>184</v>
      </c>
      <c r="AH275" s="201">
        <v>1</v>
      </c>
      <c r="AI275" s="185">
        <f t="shared" ca="1" si="218"/>
        <v>23.8</v>
      </c>
      <c r="AJ275" s="185" t="str">
        <f t="shared" ca="1" si="218"/>
        <v>1920x1080</v>
      </c>
      <c r="AK275" s="185">
        <f t="shared" ca="1" si="218"/>
        <v>0</v>
      </c>
      <c r="AL275" s="185">
        <f t="shared" ca="1" si="218"/>
        <v>0</v>
      </c>
      <c r="AM275" s="185">
        <f t="shared" ca="1" si="218"/>
        <v>1</v>
      </c>
      <c r="AN275" s="185">
        <f t="shared" ca="1" si="218"/>
        <v>16700000</v>
      </c>
      <c r="AO275" s="185">
        <f t="shared" ca="1" si="218"/>
        <v>250</v>
      </c>
      <c r="AP275" s="185" t="str">
        <f t="shared" ca="1" si="218"/>
        <v>Version 8.0</v>
      </c>
      <c r="AQ275" s="185" t="str">
        <f t="shared" ca="1" si="218"/>
        <v>Ja</v>
      </c>
      <c r="AR275" s="185">
        <f t="shared" ca="1" si="218"/>
        <v>0</v>
      </c>
      <c r="AS275" s="185">
        <f t="shared" ca="1" si="219"/>
        <v>0</v>
      </c>
      <c r="AT275" s="185" t="str">
        <f t="shared" ca="1" si="219"/>
        <v>Version 8.0</v>
      </c>
      <c r="AU275" s="185" t="str">
        <f t="shared" ca="1" si="219"/>
        <v>Ja</v>
      </c>
      <c r="AV275" s="185">
        <f t="shared" ca="1" si="219"/>
        <v>0</v>
      </c>
      <c r="AW275" s="185" t="str">
        <f t="shared" ca="1" si="219"/>
        <v>HP P24h G5</v>
      </c>
      <c r="AX275" s="185">
        <f t="shared" ca="1" si="219"/>
        <v>2190</v>
      </c>
      <c r="AY275" s="192">
        <f t="shared" ca="1" si="219"/>
        <v>620</v>
      </c>
      <c r="AZ275" s="192">
        <f t="shared" ca="1" si="219"/>
        <v>28</v>
      </c>
      <c r="BA275" s="192">
        <f t="shared" ca="1" si="219"/>
        <v>20</v>
      </c>
      <c r="BB275" s="192">
        <f t="shared" ca="1" si="219"/>
        <v>20</v>
      </c>
      <c r="BC275" s="192" t="str">
        <f t="shared" ca="1" si="220"/>
        <v>Cirafon</v>
      </c>
      <c r="BD275" s="192" t="str">
        <f t="shared" ca="1" si="220"/>
        <v>DPF23.8-9</v>
      </c>
      <c r="BE275" s="192" t="str">
        <f t="shared" ca="1" si="220"/>
        <v>False</v>
      </c>
      <c r="BF275" s="192" t="str">
        <f t="shared" ca="1" si="220"/>
        <v>False</v>
      </c>
      <c r="BG275" s="192" t="str">
        <f t="shared" ca="1" si="220"/>
        <v>False</v>
      </c>
      <c r="BH275" s="192" t="str">
        <f t="shared" ca="1" si="220"/>
        <v>Dustin Sverige AB</v>
      </c>
      <c r="BI275" s="192" t="str">
        <f t="shared" ca="1" si="220"/>
        <v>HP</v>
      </c>
    </row>
    <row r="276" spans="2:74" ht="22.5" customHeight="1" outlineLevel="1" x14ac:dyDescent="0.35">
      <c r="C276" s="61" t="s">
        <v>73</v>
      </c>
      <c r="D276" s="64"/>
      <c r="F276" s="78" t="str">
        <f t="shared" si="221"/>
        <v/>
      </c>
      <c r="G276" s="79">
        <f t="shared" ca="1" si="222"/>
        <v>1</v>
      </c>
      <c r="H276" s="79">
        <f t="shared" ca="1" si="222"/>
        <v>1</v>
      </c>
      <c r="I276" s="120">
        <f t="shared" ca="1" si="222"/>
        <v>1</v>
      </c>
      <c r="J276" s="62"/>
      <c r="K276" s="196">
        <f t="shared" ca="1" si="202"/>
        <v>0</v>
      </c>
      <c r="L276" s="185" t="b">
        <f t="shared" si="203"/>
        <v>1</v>
      </c>
      <c r="M276" s="185" t="s">
        <v>546</v>
      </c>
      <c r="N276" s="185" t="str">
        <f t="shared" ca="1" si="204"/>
        <v>Offererad produktnr. 11Qlosr Göteborg AB</v>
      </c>
      <c r="O276" s="185" cm="1">
        <f t="array" aca="1" ref="O276" ca="1">MIN(IF(($BH$271:$BH$282=M276)*($AH$271:$AH$282=$O$268),$V$271:$V$282))</f>
        <v>2076</v>
      </c>
      <c r="P276" s="197"/>
      <c r="Q276" s="185">
        <f t="shared" si="205"/>
        <v>0</v>
      </c>
      <c r="R276" s="185">
        <f t="shared" si="206"/>
        <v>0</v>
      </c>
      <c r="S276" s="185">
        <f t="shared" si="207"/>
        <v>0</v>
      </c>
      <c r="T276" s="185">
        <f t="shared" si="208"/>
        <v>0</v>
      </c>
      <c r="U276" s="185">
        <f t="shared" si="209"/>
        <v>0</v>
      </c>
      <c r="V276" s="196">
        <f t="shared" ca="1" si="210"/>
        <v>3010</v>
      </c>
      <c r="W276" s="185" t="str">
        <f t="shared" si="211"/>
        <v>Offererad produktnr. 12Dustin Sverige AB</v>
      </c>
      <c r="X276" s="185" t="b">
        <f>IF($D$272="",TRUE,IF(COUNTIF(Processor!$I$2:$I$9,$D$272)&gt;0,AND(AI276&gt;INDEX(Processor!$J$2:$J$9,MATCH($D$272,Processor!$I$2:$I$9,0)),AI276&lt;INDEX(Processor!$K$2:$K$9,MATCH($D$272,Processor!$I$2:$I$9,0))),IF(AI276=$D$272,TRUE,FALSE)))</f>
        <v>1</v>
      </c>
      <c r="Y276" s="185" t="b">
        <f t="shared" si="212"/>
        <v>1</v>
      </c>
      <c r="Z276" s="185" t="b">
        <f t="shared" si="213"/>
        <v>1</v>
      </c>
      <c r="AA276" s="185" t="b">
        <f t="shared" si="214"/>
        <v>1</v>
      </c>
      <c r="AB276" s="185" t="b">
        <f t="shared" si="215"/>
        <v>1</v>
      </c>
      <c r="AC276" s="185" t="b">
        <f t="shared" si="216"/>
        <v>1</v>
      </c>
      <c r="AD276" s="185"/>
      <c r="AE276" s="185" t="b">
        <f t="shared" si="217"/>
        <v>1</v>
      </c>
      <c r="AF276" s="185" t="b">
        <f>IFERROR(IF($D279="",TRUE,IF(MID(AT276,LEN(AT276)-2,1)*1&gt;=MID($D279,LEN($D279)-2,1)*1,TRUE,FALSE)),FALSE)</f>
        <v>1</v>
      </c>
      <c r="AG276" s="185" t="s">
        <v>185</v>
      </c>
      <c r="AH276" s="201">
        <v>1</v>
      </c>
      <c r="AI276" s="185">
        <f t="shared" ca="1" si="218"/>
        <v>27</v>
      </c>
      <c r="AJ276" s="185" t="str">
        <f t="shared" ca="1" si="218"/>
        <v>2560x1440</v>
      </c>
      <c r="AK276" s="185">
        <f t="shared" ca="1" si="218"/>
        <v>4</v>
      </c>
      <c r="AL276" s="185">
        <f t="shared" ca="1" si="218"/>
        <v>0</v>
      </c>
      <c r="AM276" s="185">
        <f t="shared" ca="1" si="218"/>
        <v>1</v>
      </c>
      <c r="AN276" s="185">
        <f t="shared" ca="1" si="218"/>
        <v>16700000</v>
      </c>
      <c r="AO276" s="185">
        <f t="shared" ca="1" si="218"/>
        <v>350</v>
      </c>
      <c r="AP276" s="185" t="str">
        <f t="shared" ca="1" si="218"/>
        <v>Version 8.0</v>
      </c>
      <c r="AQ276" s="185" t="str">
        <f t="shared" ca="1" si="218"/>
        <v>Ja</v>
      </c>
      <c r="AR276" s="185">
        <f t="shared" ca="1" si="218"/>
        <v>0</v>
      </c>
      <c r="AS276" s="185">
        <f t="shared" ca="1" si="219"/>
        <v>0</v>
      </c>
      <c r="AT276" s="185" t="str">
        <f t="shared" ca="1" si="219"/>
        <v>Version 8.0</v>
      </c>
      <c r="AU276" s="185" t="str">
        <f t="shared" ca="1" si="219"/>
        <v>Ja</v>
      </c>
      <c r="AV276" s="185">
        <f t="shared" ca="1" si="219"/>
        <v>0</v>
      </c>
      <c r="AW276" s="185" t="str">
        <f t="shared" ca="1" si="219"/>
        <v>HP E27Q G5 PVC Free </v>
      </c>
      <c r="AX276" s="185">
        <f t="shared" ca="1" si="219"/>
        <v>3010</v>
      </c>
      <c r="AY276" s="192">
        <f t="shared" ca="1" si="219"/>
        <v>700</v>
      </c>
      <c r="AZ276" s="192">
        <f t="shared" ca="1" si="219"/>
        <v>28</v>
      </c>
      <c r="BA276" s="192">
        <f t="shared" ca="1" si="219"/>
        <v>20</v>
      </c>
      <c r="BB276" s="192">
        <f t="shared" ca="1" si="219"/>
        <v>20</v>
      </c>
      <c r="BC276" s="192" t="str">
        <f t="shared" ca="1" si="220"/>
        <v>Cirafon</v>
      </c>
      <c r="BD276" s="192" t="str">
        <f t="shared" ca="1" si="220"/>
        <v>DPF27-9</v>
      </c>
      <c r="BE276" s="192" t="str">
        <f t="shared" ca="1" si="220"/>
        <v>False</v>
      </c>
      <c r="BF276" s="192" t="str">
        <f t="shared" ca="1" si="220"/>
        <v>False</v>
      </c>
      <c r="BG276" s="192" t="str">
        <f t="shared" ca="1" si="220"/>
        <v>False</v>
      </c>
      <c r="BH276" s="192" t="str">
        <f t="shared" ca="1" si="220"/>
        <v>Dustin Sverige AB</v>
      </c>
      <c r="BI276" s="192" t="str">
        <f t="shared" ca="1" si="220"/>
        <v>HP</v>
      </c>
    </row>
    <row r="277" spans="2:74" ht="22.5" customHeight="1" outlineLevel="1" x14ac:dyDescent="0.35">
      <c r="C277" s="61" t="s">
        <v>13</v>
      </c>
      <c r="D277" s="135"/>
      <c r="F277" s="176" t="str">
        <f t="shared" si="221"/>
        <v/>
      </c>
      <c r="G277" s="136">
        <f t="shared" ca="1" si="222"/>
        <v>16700000</v>
      </c>
      <c r="H277" s="136">
        <f t="shared" ca="1" si="222"/>
        <v>16700000</v>
      </c>
      <c r="I277" s="137">
        <f t="shared" ca="1" si="222"/>
        <v>16700000</v>
      </c>
      <c r="J277" s="62"/>
      <c r="Q277" s="185">
        <f t="shared" si="205"/>
        <v>0</v>
      </c>
      <c r="R277" s="185">
        <f t="shared" si="206"/>
        <v>0</v>
      </c>
      <c r="S277" s="185">
        <f t="shared" si="207"/>
        <v>0</v>
      </c>
      <c r="T277" s="185">
        <f t="shared" si="208"/>
        <v>0</v>
      </c>
      <c r="U277" s="185">
        <f t="shared" si="209"/>
        <v>0</v>
      </c>
      <c r="V277" s="196">
        <f t="shared" ca="1" si="210"/>
        <v>2361</v>
      </c>
      <c r="W277" s="185" t="str">
        <f t="shared" si="211"/>
        <v>Offererad produktnr. 11Foxway Education AB</v>
      </c>
      <c r="X277" s="185" t="b">
        <f>IF($D$272="",TRUE,IF(COUNTIF(Processor!$I$2:$I$9,$D$272)&gt;0,AND(AI277&gt;INDEX(Processor!$J$2:$J$9,MATCH($D$272,Processor!$I$2:$I$9,0)),AI277&lt;INDEX(Processor!$K$2:$K$9,MATCH($D$272,Processor!$I$2:$I$9,0))),IF(AI277=$D$272,TRUE,FALSE)))</f>
        <v>1</v>
      </c>
      <c r="Y277" s="185" t="b">
        <f t="shared" si="212"/>
        <v>1</v>
      </c>
      <c r="Z277" s="185" t="b">
        <f t="shared" si="213"/>
        <v>1</v>
      </c>
      <c r="AA277" s="185" t="b">
        <f t="shared" si="214"/>
        <v>1</v>
      </c>
      <c r="AB277" s="185" t="b">
        <f t="shared" si="215"/>
        <v>1</v>
      </c>
      <c r="AC277" s="185" t="b">
        <f t="shared" si="216"/>
        <v>1</v>
      </c>
      <c r="AD277" s="185"/>
      <c r="AE277" s="185" t="b">
        <f t="shared" si="217"/>
        <v>1</v>
      </c>
      <c r="AF277" s="185" t="b">
        <f>IFERROR(IF($D279="",TRUE,IF(MID(AT277,LEN(AT277)-2,1)*1&gt;=MID($D279,LEN($D279)-2,1)*1,TRUE,FALSE)),FALSE)</f>
        <v>1</v>
      </c>
      <c r="AG277" s="185" t="s">
        <v>220</v>
      </c>
      <c r="AH277" s="201">
        <v>1</v>
      </c>
      <c r="AI277" s="185">
        <f t="shared" ca="1" si="218"/>
        <v>23.8</v>
      </c>
      <c r="AJ277" s="185" t="str">
        <f t="shared" ca="1" si="218"/>
        <v>1920x1080</v>
      </c>
      <c r="AK277" s="185">
        <f t="shared" ca="1" si="218"/>
        <v>0</v>
      </c>
      <c r="AL277" s="185">
        <f t="shared" ca="1" si="218"/>
        <v>0</v>
      </c>
      <c r="AM277" s="185">
        <f t="shared" ca="1" si="218"/>
        <v>1</v>
      </c>
      <c r="AN277" s="185">
        <f t="shared" ca="1" si="218"/>
        <v>16700000</v>
      </c>
      <c r="AO277" s="185">
        <f t="shared" ca="1" si="218"/>
        <v>250</v>
      </c>
      <c r="AP277" s="185" t="str">
        <f t="shared" ca="1" si="218"/>
        <v>Version 8.0</v>
      </c>
      <c r="AQ277" s="185" t="str">
        <f t="shared" ca="1" si="218"/>
        <v>Ja</v>
      </c>
      <c r="AR277" s="185">
        <f t="shared" ca="1" si="218"/>
        <v>0</v>
      </c>
      <c r="AS277" s="185">
        <f t="shared" ca="1" si="219"/>
        <v>0</v>
      </c>
      <c r="AT277" s="185" t="str">
        <f t="shared" ca="1" si="219"/>
        <v>Version 8.0</v>
      </c>
      <c r="AU277" s="185" t="str">
        <f t="shared" ca="1" si="219"/>
        <v>Ja</v>
      </c>
      <c r="AV277" s="185">
        <f t="shared" ca="1" si="219"/>
        <v>0</v>
      </c>
      <c r="AW277" s="185" t="str">
        <f t="shared" ca="1" si="219"/>
        <v>E24-29</v>
      </c>
      <c r="AX277" s="185">
        <f t="shared" ca="1" si="219"/>
        <v>2361</v>
      </c>
      <c r="AY277" s="192">
        <f t="shared" ca="1" si="219"/>
        <v>516</v>
      </c>
      <c r="AZ277" s="192">
        <f t="shared" ca="1" si="219"/>
        <v>90</v>
      </c>
      <c r="BA277" s="192">
        <f t="shared" ca="1" si="219"/>
        <v>60</v>
      </c>
      <c r="BB277" s="192">
        <f t="shared" ca="1" si="219"/>
        <v>50</v>
      </c>
      <c r="BC277" s="192" t="str">
        <f t="shared" ca="1" si="220"/>
        <v>Targus</v>
      </c>
      <c r="BD277" s="192" t="str">
        <f t="shared" ca="1" si="220"/>
        <v>Targus Privacy Screen 23.8"</v>
      </c>
      <c r="BE277" s="192" t="str">
        <f t="shared" ca="1" si="220"/>
        <v>False</v>
      </c>
      <c r="BF277" s="192" t="str">
        <f t="shared" ca="1" si="220"/>
        <v>False</v>
      </c>
      <c r="BG277" s="192" t="str">
        <f t="shared" ca="1" si="220"/>
        <v>False</v>
      </c>
      <c r="BH277" s="192" t="str">
        <f t="shared" ca="1" si="220"/>
        <v>Foxway Education AB</v>
      </c>
      <c r="BI277" s="192" t="str">
        <f t="shared" ca="1" si="220"/>
        <v>Lenovo</v>
      </c>
    </row>
    <row r="278" spans="2:74" ht="22.5" customHeight="1" outlineLevel="1" x14ac:dyDescent="0.35">
      <c r="C278" s="61" t="s">
        <v>14</v>
      </c>
      <c r="D278" s="64"/>
      <c r="F278" s="78" t="str">
        <f t="shared" si="221"/>
        <v/>
      </c>
      <c r="G278" s="79">
        <f t="shared" ca="1" si="222"/>
        <v>250</v>
      </c>
      <c r="H278" s="79">
        <f t="shared" ca="1" si="222"/>
        <v>250</v>
      </c>
      <c r="I278" s="120">
        <f t="shared" ca="1" si="222"/>
        <v>250</v>
      </c>
      <c r="J278" s="62"/>
      <c r="Q278" s="185">
        <f t="shared" si="205"/>
        <v>0</v>
      </c>
      <c r="R278" s="185">
        <f t="shared" si="206"/>
        <v>0</v>
      </c>
      <c r="S278" s="185">
        <f t="shared" si="207"/>
        <v>0</v>
      </c>
      <c r="T278" s="185">
        <f t="shared" si="208"/>
        <v>0</v>
      </c>
      <c r="U278" s="185">
        <f t="shared" si="209"/>
        <v>0</v>
      </c>
      <c r="V278" s="196">
        <f t="shared" ca="1" si="210"/>
        <v>3002</v>
      </c>
      <c r="W278" s="185" t="str">
        <f t="shared" si="211"/>
        <v>Offererad produktnr. 12Foxway Education AB</v>
      </c>
      <c r="X278" s="185" t="b">
        <f>IF($D$272="",TRUE,IF(COUNTIF(Processor!$I$2:$I$9,$D$272)&gt;0,AND(AI278&gt;INDEX(Processor!$J$2:$J$9,MATCH($D$272,Processor!$I$2:$I$9,0)),AI278&lt;INDEX(Processor!$K$2:$K$9,MATCH($D$272,Processor!$I$2:$I$9,0))),IF(AI278=$D$272,TRUE,FALSE)))</f>
        <v>1</v>
      </c>
      <c r="Y278" s="185" t="b">
        <f t="shared" si="212"/>
        <v>1</v>
      </c>
      <c r="Z278" s="185" t="b">
        <f t="shared" si="213"/>
        <v>1</v>
      </c>
      <c r="AA278" s="185" t="b">
        <f t="shared" si="214"/>
        <v>1</v>
      </c>
      <c r="AB278" s="185" t="b">
        <f t="shared" si="215"/>
        <v>1</v>
      </c>
      <c r="AC278" s="185" t="b">
        <f t="shared" si="216"/>
        <v>1</v>
      </c>
      <c r="AD278" s="185"/>
      <c r="AE278" s="185" t="b">
        <f t="shared" si="217"/>
        <v>1</v>
      </c>
      <c r="AF278" s="185" t="b">
        <f>IFERROR(IF($D279="",TRUE,IF(MID(AT278,LEN(AT278)-2,1)*1&gt;=MID($D279,LEN($D279)-2,1)*1,TRUE,FALSE)),FALSE)</f>
        <v>1</v>
      </c>
      <c r="AG278" s="185" t="s">
        <v>221</v>
      </c>
      <c r="AH278" s="201">
        <v>1</v>
      </c>
      <c r="AI278" s="185">
        <f t="shared" ca="1" si="218"/>
        <v>27</v>
      </c>
      <c r="AJ278" s="185" t="str">
        <f t="shared" ca="1" si="218"/>
        <v>2560x1440</v>
      </c>
      <c r="AK278" s="185">
        <f t="shared" ca="1" si="218"/>
        <v>0</v>
      </c>
      <c r="AL278" s="185">
        <f t="shared" ca="1" si="218"/>
        <v>0</v>
      </c>
      <c r="AM278" s="185">
        <f t="shared" ca="1" si="218"/>
        <v>1</v>
      </c>
      <c r="AN278" s="185">
        <f t="shared" ca="1" si="218"/>
        <v>16700000</v>
      </c>
      <c r="AO278" s="185">
        <f t="shared" ca="1" si="218"/>
        <v>350</v>
      </c>
      <c r="AP278" s="185" t="str">
        <f t="shared" ca="1" si="218"/>
        <v>Version 8.0</v>
      </c>
      <c r="AQ278" s="185" t="str">
        <f t="shared" ca="1" si="218"/>
        <v>Ja</v>
      </c>
      <c r="AR278" s="185">
        <f t="shared" ca="1" si="218"/>
        <v>0</v>
      </c>
      <c r="AS278" s="185">
        <f t="shared" ca="1" si="219"/>
        <v>0</v>
      </c>
      <c r="AT278" s="185" t="str">
        <f t="shared" ca="1" si="219"/>
        <v>Version 8.0</v>
      </c>
      <c r="AU278" s="185" t="str">
        <f t="shared" ca="1" si="219"/>
        <v>Ja</v>
      </c>
      <c r="AV278" s="185">
        <f t="shared" ca="1" si="219"/>
        <v>0</v>
      </c>
      <c r="AW278" s="185" t="str">
        <f t="shared" ca="1" si="219"/>
        <v>E27q-20</v>
      </c>
      <c r="AX278" s="185">
        <f t="shared" ca="1" si="219"/>
        <v>3002</v>
      </c>
      <c r="AY278" s="192">
        <f t="shared" ca="1" si="219"/>
        <v>672</v>
      </c>
      <c r="AZ278" s="192">
        <f t="shared" ca="1" si="219"/>
        <v>90</v>
      </c>
      <c r="BA278" s="192">
        <f t="shared" ca="1" si="219"/>
        <v>60</v>
      </c>
      <c r="BB278" s="192">
        <f t="shared" ca="1" si="219"/>
        <v>50</v>
      </c>
      <c r="BC278" s="192" t="str">
        <f t="shared" ca="1" si="220"/>
        <v>Targus</v>
      </c>
      <c r="BD278" s="192" t="str">
        <f t="shared" ca="1" si="220"/>
        <v>Targus Privacy Screen 27"</v>
      </c>
      <c r="BE278" s="192" t="str">
        <f t="shared" ca="1" si="220"/>
        <v>False</v>
      </c>
      <c r="BF278" s="192" t="str">
        <f t="shared" ca="1" si="220"/>
        <v>False</v>
      </c>
      <c r="BG278" s="192" t="str">
        <f t="shared" ca="1" si="220"/>
        <v>False</v>
      </c>
      <c r="BH278" s="192" t="str">
        <f t="shared" ca="1" si="220"/>
        <v>Foxway Education AB</v>
      </c>
      <c r="BI278" s="192" t="str">
        <f t="shared" ca="1" si="220"/>
        <v>Lenovo</v>
      </c>
    </row>
    <row r="279" spans="2:74" ht="22.5" customHeight="1" outlineLevel="1" x14ac:dyDescent="0.35">
      <c r="C279" s="61" t="s">
        <v>38</v>
      </c>
      <c r="D279" s="64"/>
      <c r="F279" s="78" t="str">
        <f t="shared" si="221"/>
        <v/>
      </c>
      <c r="G279" s="79" t="str">
        <f t="shared" ca="1" si="222"/>
        <v>Version 8.0</v>
      </c>
      <c r="H279" s="79" t="str">
        <f t="shared" ca="1" si="222"/>
        <v>Version 8.0</v>
      </c>
      <c r="I279" s="120" t="str">
        <f t="shared" ca="1" si="222"/>
        <v>Version 8.0</v>
      </c>
      <c r="J279" s="62"/>
      <c r="Q279" s="185">
        <f t="shared" si="205"/>
        <v>0</v>
      </c>
      <c r="R279" s="185">
        <f t="shared" si="206"/>
        <v>0</v>
      </c>
      <c r="S279" s="185">
        <f t="shared" si="207"/>
        <v>0</v>
      </c>
      <c r="T279" s="185">
        <f t="shared" si="208"/>
        <v>0</v>
      </c>
      <c r="U279" s="185">
        <f t="shared" si="209"/>
        <v>0</v>
      </c>
      <c r="V279" s="196">
        <f t="shared" ca="1" si="210"/>
        <v>2076</v>
      </c>
      <c r="W279" s="185" t="str">
        <f t="shared" si="211"/>
        <v>Offererad produktnr. 11Qlosr Göteborg AB</v>
      </c>
      <c r="X279" s="185" t="b">
        <f>IF($D$272="",TRUE,IF(COUNTIF(Processor!$I$2:$I$9,$D$272)&gt;0,AND(AI279&gt;INDEX(Processor!$J$2:$J$9,MATCH($D$272,Processor!$I$2:$I$9,0)),AI279&lt;INDEX(Processor!$K$2:$K$9,MATCH($D$272,Processor!$I$2:$I$9,0))),IF(AI279=$D$272,TRUE,FALSE)))</f>
        <v>1</v>
      </c>
      <c r="Y279" s="185" t="b">
        <f t="shared" si="212"/>
        <v>1</v>
      </c>
      <c r="Z279" s="185" t="b">
        <f t="shared" si="213"/>
        <v>1</v>
      </c>
      <c r="AA279" s="185" t="b">
        <f t="shared" si="214"/>
        <v>1</v>
      </c>
      <c r="AB279" s="185" t="b">
        <f t="shared" si="215"/>
        <v>1</v>
      </c>
      <c r="AC279" s="185" t="b">
        <f t="shared" si="216"/>
        <v>1</v>
      </c>
      <c r="AD279" s="185"/>
      <c r="AE279" s="185" t="b">
        <f t="shared" si="217"/>
        <v>1</v>
      </c>
      <c r="AF279" s="185" t="b">
        <f>IFERROR(IF($D279="",TRUE,IF(MID(AT279,LEN(AT279)-2,1)*1&gt;=MID($D279,LEN($D279)-2,1)*1,TRUE,FALSE)),FALSE)</f>
        <v>1</v>
      </c>
      <c r="AG279" s="185" t="s">
        <v>562</v>
      </c>
      <c r="AH279" s="201">
        <v>1</v>
      </c>
      <c r="AI279" s="185">
        <f t="shared" ca="1" si="218"/>
        <v>23.8</v>
      </c>
      <c r="AJ279" s="185" t="str">
        <f t="shared" ca="1" si="218"/>
        <v>1920x1080</v>
      </c>
      <c r="AK279" s="185">
        <f t="shared" ca="1" si="218"/>
        <v>5</v>
      </c>
      <c r="AL279" s="185">
        <f t="shared" ca="1" si="218"/>
        <v>0</v>
      </c>
      <c r="AM279" s="185">
        <f t="shared" ca="1" si="218"/>
        <v>1</v>
      </c>
      <c r="AN279" s="185">
        <f t="shared" ca="1" si="218"/>
        <v>16700000</v>
      </c>
      <c r="AO279" s="185">
        <f t="shared" ca="1" si="218"/>
        <v>250</v>
      </c>
      <c r="AP279" s="185" t="str">
        <f t="shared" ca="1" si="218"/>
        <v>Version 8.0</v>
      </c>
      <c r="AQ279" s="185" t="str">
        <f t="shared" ca="1" si="218"/>
        <v>Ja</v>
      </c>
      <c r="AR279" s="185">
        <f t="shared" ca="1" si="218"/>
        <v>0</v>
      </c>
      <c r="AS279" s="185">
        <f t="shared" ca="1" si="219"/>
        <v>0</v>
      </c>
      <c r="AT279" s="185" t="str">
        <f t="shared" ca="1" si="219"/>
        <v>Version 8.0</v>
      </c>
      <c r="AU279" s="185" t="str">
        <f t="shared" ca="1" si="219"/>
        <v>Ja</v>
      </c>
      <c r="AV279" s="185">
        <f t="shared" ca="1" si="219"/>
        <v>0</v>
      </c>
      <c r="AW279" s="185" t="str">
        <f t="shared" ca="1" si="219"/>
        <v>P2422h</v>
      </c>
      <c r="AX279" s="185">
        <f t="shared" ca="1" si="219"/>
        <v>2076</v>
      </c>
      <c r="AY279" s="192">
        <f t="shared" ca="1" si="219"/>
        <v>540</v>
      </c>
      <c r="AZ279" s="192">
        <f t="shared" ca="1" si="219"/>
        <v>89</v>
      </c>
      <c r="BA279" s="192">
        <f t="shared" ca="1" si="219"/>
        <v>25</v>
      </c>
      <c r="BB279" s="192">
        <f t="shared" ca="1" si="219"/>
        <v>25</v>
      </c>
      <c r="BC279" s="192" t="str">
        <f t="shared" ca="1" si="220"/>
        <v>Kapsolo</v>
      </c>
      <c r="BD279" s="192" t="str">
        <f t="shared" ca="1" si="220"/>
        <v>GBXKAP10786</v>
      </c>
      <c r="BE279" s="192" t="str">
        <f t="shared" ca="1" si="220"/>
        <v>False</v>
      </c>
      <c r="BF279" s="192" t="str">
        <f t="shared" ca="1" si="220"/>
        <v>False</v>
      </c>
      <c r="BG279" s="192" t="str">
        <f t="shared" ca="1" si="220"/>
        <v>False</v>
      </c>
      <c r="BH279" s="192" t="str">
        <f t="shared" ca="1" si="220"/>
        <v>Qlosr Göteborg AB</v>
      </c>
      <c r="BI279" s="192" t="str">
        <f t="shared" ca="1" si="220"/>
        <v>Dell</v>
      </c>
    </row>
    <row r="280" spans="2:74" ht="22.5" customHeight="1" outlineLevel="1" x14ac:dyDescent="0.35">
      <c r="C280" s="61" t="s">
        <v>37</v>
      </c>
      <c r="D280" s="64"/>
      <c r="F280" s="78" t="str">
        <f t="shared" si="221"/>
        <v/>
      </c>
      <c r="G280" s="79" t="str">
        <f t="shared" ca="1" si="222"/>
        <v>Ja</v>
      </c>
      <c r="H280" s="79" t="str">
        <f t="shared" ca="1" si="222"/>
        <v>Ja</v>
      </c>
      <c r="I280" s="120" t="str">
        <f t="shared" ca="1" si="222"/>
        <v>Ja</v>
      </c>
      <c r="J280" s="62"/>
      <c r="Q280" s="185">
        <f t="shared" si="205"/>
        <v>0</v>
      </c>
      <c r="R280" s="185">
        <f t="shared" si="206"/>
        <v>0</v>
      </c>
      <c r="S280" s="185">
        <f t="shared" si="207"/>
        <v>0</v>
      </c>
      <c r="T280" s="185">
        <f t="shared" si="208"/>
        <v>0</v>
      </c>
      <c r="U280" s="185">
        <f t="shared" si="209"/>
        <v>0</v>
      </c>
      <c r="V280" s="196">
        <f t="shared" ca="1" si="210"/>
        <v>2430</v>
      </c>
      <c r="W280" s="185" t="str">
        <f t="shared" si="211"/>
        <v>Offererad produktnr. 12Qlosr Göteborg AB</v>
      </c>
      <c r="X280" s="185" t="b">
        <f>IF($D$272="",TRUE,IF(COUNTIF(Processor!$I$2:$I$9,$D$272)&gt;0,AND(AI280&gt;INDEX(Processor!$J$2:$J$9,MATCH($D$272,Processor!$I$2:$I$9,0)),AI280&lt;INDEX(Processor!$K$2:$K$9,MATCH($D$272,Processor!$I$2:$I$9,0))),IF(AI280=$D$272,TRUE,FALSE)))</f>
        <v>1</v>
      </c>
      <c r="Y280" s="185" t="b">
        <f t="shared" si="212"/>
        <v>1</v>
      </c>
      <c r="Z280" s="185" t="b">
        <f t="shared" si="213"/>
        <v>1</v>
      </c>
      <c r="AA280" s="185" t="b">
        <f t="shared" si="214"/>
        <v>1</v>
      </c>
      <c r="AB280" s="185" t="b">
        <f t="shared" si="215"/>
        <v>1</v>
      </c>
      <c r="AC280" s="185" t="b">
        <f t="shared" si="216"/>
        <v>1</v>
      </c>
      <c r="AD280" s="185"/>
      <c r="AE280" s="185" t="b">
        <f t="shared" si="217"/>
        <v>1</v>
      </c>
      <c r="AF280" s="185" t="b">
        <f>IFERROR(IF($D279="",TRUE,IF(MID(AT280,LEN(AT280)-2,1)*1&gt;=MID($D279,LEN($D279)-2,1)*1,TRUE,FALSE)),FALSE)</f>
        <v>1</v>
      </c>
      <c r="AG280" s="185" t="s">
        <v>563</v>
      </c>
      <c r="AH280" s="201">
        <v>1</v>
      </c>
      <c r="AI280" s="185">
        <f t="shared" ca="1" si="218"/>
        <v>27</v>
      </c>
      <c r="AJ280" s="185" t="str">
        <f t="shared" ca="1" si="218"/>
        <v>2560x1440</v>
      </c>
      <c r="AK280" s="185">
        <f t="shared" ca="1" si="218"/>
        <v>0</v>
      </c>
      <c r="AL280" s="185">
        <f t="shared" ca="1" si="218"/>
        <v>0</v>
      </c>
      <c r="AM280" s="185">
        <f t="shared" ca="1" si="218"/>
        <v>1</v>
      </c>
      <c r="AN280" s="185">
        <f t="shared" ca="1" si="218"/>
        <v>16700000</v>
      </c>
      <c r="AO280" s="185">
        <f t="shared" ca="1" si="218"/>
        <v>350</v>
      </c>
      <c r="AP280" s="185" t="str">
        <f t="shared" ca="1" si="218"/>
        <v>Version 8.0</v>
      </c>
      <c r="AQ280" s="185" t="str">
        <f t="shared" ca="1" si="218"/>
        <v>Ja</v>
      </c>
      <c r="AR280" s="185">
        <f t="shared" ca="1" si="218"/>
        <v>0</v>
      </c>
      <c r="AS280" s="185">
        <f t="shared" ca="1" si="219"/>
        <v>0</v>
      </c>
      <c r="AT280" s="185" t="str">
        <f t="shared" ca="1" si="219"/>
        <v>Version 8.0</v>
      </c>
      <c r="AU280" s="185" t="str">
        <f t="shared" ca="1" si="219"/>
        <v>Ja</v>
      </c>
      <c r="AV280" s="185">
        <f t="shared" ca="1" si="219"/>
        <v>0</v>
      </c>
      <c r="AW280" s="185" t="str">
        <f t="shared" ca="1" si="219"/>
        <v>E27q-20</v>
      </c>
      <c r="AX280" s="185">
        <f t="shared" ca="1" si="219"/>
        <v>2430</v>
      </c>
      <c r="AY280" s="192">
        <f t="shared" ca="1" si="219"/>
        <v>669</v>
      </c>
      <c r="AZ280" s="192">
        <f t="shared" ca="1" si="219"/>
        <v>89</v>
      </c>
      <c r="BA280" s="192">
        <f t="shared" ca="1" si="219"/>
        <v>25</v>
      </c>
      <c r="BB280" s="192">
        <f t="shared" ca="1" si="219"/>
        <v>25</v>
      </c>
      <c r="BC280" s="192" t="str">
        <f t="shared" ca="1" si="220"/>
        <v>Kapsolo</v>
      </c>
      <c r="BD280" s="192" t="str">
        <f t="shared" ca="1" si="220"/>
        <v>GBXKAP11019</v>
      </c>
      <c r="BE280" s="192" t="str">
        <f t="shared" ca="1" si="220"/>
        <v>False</v>
      </c>
      <c r="BF280" s="192" t="str">
        <f t="shared" ca="1" si="220"/>
        <v>False</v>
      </c>
      <c r="BG280" s="192" t="str">
        <f t="shared" ca="1" si="220"/>
        <v>False</v>
      </c>
      <c r="BH280" s="192" t="str">
        <f t="shared" ca="1" si="220"/>
        <v>Qlosr Göteborg AB</v>
      </c>
      <c r="BI280" s="192" t="str">
        <f t="shared" ca="1" si="220"/>
        <v>Lenovo</v>
      </c>
    </row>
    <row r="281" spans="2:74" ht="22.5" customHeight="1" outlineLevel="1" x14ac:dyDescent="0.35">
      <c r="C281" s="66"/>
      <c r="D281" s="67"/>
      <c r="G281" s="62"/>
      <c r="H281" s="62"/>
      <c r="I281" s="62"/>
      <c r="J281" s="94"/>
      <c r="AH281" s="50"/>
      <c r="AY281" s="63"/>
      <c r="AZ281" s="63"/>
      <c r="BA281" s="63"/>
      <c r="BB281" s="63"/>
      <c r="BC281" s="63"/>
      <c r="BD281" s="63"/>
      <c r="BE281" s="63"/>
      <c r="BF281" s="63"/>
      <c r="BG281" s="63"/>
      <c r="BH281" s="63"/>
      <c r="BI281" s="63"/>
    </row>
    <row r="282" spans="2:74" ht="22.5" customHeight="1" outlineLevel="1" x14ac:dyDescent="0.35">
      <c r="C282" s="212" t="s">
        <v>366</v>
      </c>
      <c r="D282" s="213"/>
      <c r="E282" s="213"/>
      <c r="F282" s="213"/>
      <c r="G282" s="213"/>
      <c r="H282" s="213"/>
      <c r="I282" s="214"/>
      <c r="J282" s="62"/>
      <c r="AH282" s="50"/>
      <c r="AY282" s="63"/>
      <c r="AZ282" s="63"/>
      <c r="BA282" s="63"/>
      <c r="BB282" s="63"/>
      <c r="BC282" s="63"/>
      <c r="BD282" s="63"/>
      <c r="BE282" s="63"/>
      <c r="BF282" s="63"/>
      <c r="BG282" s="63"/>
      <c r="BH282" s="63"/>
      <c r="BI282" s="63"/>
    </row>
    <row r="283" spans="2:74" ht="22.5" customHeight="1" outlineLevel="1" x14ac:dyDescent="0.35">
      <c r="B283" s="69" t="s">
        <v>53</v>
      </c>
      <c r="C283" s="115" t="s">
        <v>77</v>
      </c>
      <c r="D283" s="70"/>
      <c r="F283" s="161" t="str">
        <f>IF(F$269="Inget antal angivet","",IFERROR(INDEX($AI$270:$BI$295,MATCH(F$266,$AG$270:$AG$295,0),MATCH($B283,$AI$270:$BI$270,0)),""))</f>
        <v/>
      </c>
      <c r="G283" s="162">
        <f ca="1">IFERROR(INDEX($AI$270:$BI$295,MATCH(G$266,$AG$270:$AG$295,0),MATCH($B283,$AI$270:$BI$270,0)),"")</f>
        <v>639</v>
      </c>
      <c r="H283" s="162">
        <f ca="1">IFERROR(INDEX($AI$270:$BI$295,MATCH(H$266,$AG$270:$AG$295,0),MATCH($B283,$AI$270:$BI$270,0)),"")</f>
        <v>778</v>
      </c>
      <c r="I283" s="162">
        <f ca="1">IFERROR(INDEX($AI$270:$BI$295,MATCH(I$266,$AG$270:$AG$295,0),MATCH($B283,$AI$270:$BI$270,0)),"")</f>
        <v>540</v>
      </c>
      <c r="J283" s="62"/>
      <c r="AY283" s="63"/>
      <c r="AZ283" s="63"/>
      <c r="BA283" s="63"/>
      <c r="BB283" s="63"/>
      <c r="BC283" s="63"/>
      <c r="BD283" s="63"/>
      <c r="BE283" s="63"/>
      <c r="BF283" s="63"/>
      <c r="BG283" s="63"/>
      <c r="BH283" s="63"/>
      <c r="BI283" s="63"/>
    </row>
    <row r="284" spans="2:74" ht="22.5" customHeight="1" outlineLevel="1" x14ac:dyDescent="0.35">
      <c r="B284" s="69" t="s">
        <v>340</v>
      </c>
      <c r="C284" s="96" t="s">
        <v>51</v>
      </c>
      <c r="D284" s="131" t="str">
        <f>IF("Ska Ingå"=D283,"Ska Ingå","")</f>
        <v/>
      </c>
      <c r="F284" s="84" t="str">
        <f>IF(F$269="Inget antal angivet","",IFERROR(INDEX($AI$270:$BI$295,MATCH(F$266,$AG$270:$AG$295,0),MATCH($B284,$AI$270:$BI$270,0)),""))</f>
        <v/>
      </c>
      <c r="G284" s="85" t="str">
        <f ca="1">IFERROR(INDEX($AI$270:$BI$295,MATCH(G$266,$AG$270:$AG$295,0),MATCH($B284,$AI$270:$BI$270,0)),"")</f>
        <v>eSTUFF</v>
      </c>
      <c r="H284" s="85" t="str">
        <f ca="1">IFERROR(INDEX($AI$270:$BI$295,MATCH(H$266,$AG$270:$AG$295,0),MATCH($B284,$AI$270:$BI$270,0)),"")</f>
        <v>Targus</v>
      </c>
      <c r="I284" s="85" t="str">
        <f ca="1">IFERROR(INDEX($AI$270:$BI$295,MATCH(I$266,$AG$270:$AG$295,0),MATCH($C284,$AI$270:$BI$270,0)),"")</f>
        <v>Dell</v>
      </c>
      <c r="J284" s="62"/>
      <c r="AY284" s="63"/>
      <c r="AZ284" s="63"/>
      <c r="BA284" s="63"/>
      <c r="BB284" s="63"/>
      <c r="BC284" s="63"/>
      <c r="BD284" s="63"/>
      <c r="BE284" s="63"/>
      <c r="BF284" s="63"/>
      <c r="BG284" s="63"/>
      <c r="BH284" s="63"/>
      <c r="BI284" s="63"/>
    </row>
    <row r="285" spans="2:74" ht="64.5" customHeight="1" outlineLevel="1" x14ac:dyDescent="0.35">
      <c r="B285" s="71" t="s">
        <v>345</v>
      </c>
      <c r="C285" s="116" t="s">
        <v>52</v>
      </c>
      <c r="D285" s="132" t="str">
        <f>IF("Ska Ingå"=D283,"Ska Ingå","")</f>
        <v/>
      </c>
      <c r="F285" s="117" t="str">
        <f>IF(F$269="Inget antal angivet","",IFERROR(INDEX($AI$270:$BI$295,MATCH(F$266,$AG$270:$AG$295,0),MATCH($B285,$AI$270:$BI$270,0)),""))</f>
        <v/>
      </c>
      <c r="G285" s="118" t="str">
        <f ca="1">IFERROR(INDEX($AI$270:$BI$295,MATCH(G$266,$AG$270:$AG$295,0),MATCH($B285,$AI$270:$BI$270,0)),"")</f>
        <v>GLBB24519325 -  Filter för personlig integritet - 2-vägs - 24" - svart</v>
      </c>
      <c r="H285" s="118" t="str">
        <f ca="1">IFERROR(INDEX($AI$270:$BI$295,MATCH(H$266,$AG$270:$AG$295,0),MATCH($B285,$AI$270:$BI$270,0)),"")</f>
        <v>Targus Privacy Screen - filter för personlig integritet - 23,8 tum bred</v>
      </c>
      <c r="I285" s="118" t="str">
        <f ca="1">IFERROR(INDEX($AI$270:$BI$295,MATCH(I$266,$AG$270:$AG$295,0),MATCH($C285,$AI$270:$BI$270,0)),"")</f>
        <v>P2422h</v>
      </c>
      <c r="J285" s="62"/>
      <c r="AY285" s="63"/>
      <c r="AZ285" s="63"/>
      <c r="BA285" s="63"/>
      <c r="BB285" s="63"/>
      <c r="BC285" s="63"/>
      <c r="BD285" s="63"/>
      <c r="BE285" s="63"/>
      <c r="BF285" s="63"/>
      <c r="BG285" s="63"/>
      <c r="BH285" s="63"/>
      <c r="BI285" s="63"/>
    </row>
    <row r="286" spans="2:74" ht="22.5" customHeight="1" outlineLevel="1" x14ac:dyDescent="0.35">
      <c r="B286" s="71"/>
      <c r="C286" s="212" t="s">
        <v>365</v>
      </c>
      <c r="D286" s="215"/>
      <c r="E286" s="213"/>
      <c r="F286" s="213"/>
      <c r="G286" s="213"/>
      <c r="H286" s="213"/>
      <c r="I286" s="214"/>
      <c r="J286" s="62"/>
      <c r="AY286" s="63"/>
      <c r="AZ286" s="63"/>
      <c r="BA286" s="63"/>
      <c r="BB286" s="63"/>
      <c r="BC286" s="63"/>
      <c r="BD286" s="63"/>
      <c r="BE286" s="63"/>
      <c r="BF286" s="63"/>
      <c r="BG286" s="63"/>
      <c r="BH286" s="63"/>
      <c r="BI286" s="63"/>
    </row>
    <row r="287" spans="2:74" ht="22.5" customHeight="1" outlineLevel="1" x14ac:dyDescent="0.35">
      <c r="B287" s="71" t="s">
        <v>228</v>
      </c>
      <c r="C287" s="115" t="s">
        <v>367</v>
      </c>
      <c r="D287" s="70"/>
      <c r="F287" s="161" t="str">
        <f>IF(F$269="Inget antal angivet","",IFERROR(INDEX($AI$270:$BI$295,MATCH(F$266,$AG$270:$AG$295,0),MATCH($B287,$AI$270:$BI$270,0)),""))</f>
        <v/>
      </c>
      <c r="G287" s="162">
        <f t="shared" ref="G287:I289" ca="1" si="223">IFERROR(INDEX($AI$270:$BI$295,MATCH(G$266,$AG$270:$AG$295,0),MATCH($B287,$AI$270:$BI$270,0)),"")</f>
        <v>101</v>
      </c>
      <c r="H287" s="162">
        <f t="shared" ca="1" si="223"/>
        <v>94</v>
      </c>
      <c r="I287" s="162">
        <f t="shared" ca="1" si="223"/>
        <v>89</v>
      </c>
      <c r="J287" s="62"/>
      <c r="AY287" s="63"/>
      <c r="AZ287" s="63"/>
      <c r="BA287" s="63"/>
      <c r="BB287" s="63"/>
      <c r="BC287" s="63"/>
      <c r="BD287" s="63"/>
      <c r="BE287" s="63"/>
      <c r="BF287" s="63"/>
      <c r="BG287" s="63"/>
      <c r="BH287" s="63"/>
      <c r="BI287" s="63"/>
    </row>
    <row r="288" spans="2:74" ht="22.5" customHeight="1" outlineLevel="1" x14ac:dyDescent="0.35">
      <c r="B288" s="71" t="s">
        <v>229</v>
      </c>
      <c r="C288" s="61" t="s">
        <v>368</v>
      </c>
      <c r="D288" s="70"/>
      <c r="F288" s="165" t="str">
        <f>IF(F$269="Inget antal angivet","",IFERROR(INDEX($AI$270:$BI$295,MATCH(F$266,$AG$270:$AG$295,0),MATCH($B288,$AI$270:$BI$270,0)),""))</f>
        <v/>
      </c>
      <c r="G288" s="166">
        <f t="shared" ca="1" si="223"/>
        <v>50</v>
      </c>
      <c r="H288" s="166">
        <f t="shared" ca="1" si="223"/>
        <v>85</v>
      </c>
      <c r="I288" s="166">
        <f t="shared" ca="1" si="223"/>
        <v>25</v>
      </c>
      <c r="J288" s="73"/>
      <c r="AY288" s="63"/>
      <c r="AZ288" s="63"/>
      <c r="BA288" s="63"/>
      <c r="BB288" s="63"/>
      <c r="BC288" s="63"/>
      <c r="BD288" s="63"/>
      <c r="BE288" s="63"/>
      <c r="BF288" s="63"/>
      <c r="BG288" s="63"/>
      <c r="BH288" s="63"/>
      <c r="BI288" s="63"/>
    </row>
    <row r="289" spans="2:75" ht="22.5" customHeight="1" outlineLevel="1" x14ac:dyDescent="0.35">
      <c r="B289" s="71" t="s">
        <v>230</v>
      </c>
      <c r="C289" s="96" t="s">
        <v>369</v>
      </c>
      <c r="D289" s="70"/>
      <c r="F289" s="163" t="str">
        <f>IF(F$269="Inget antal angivet","",IFERROR(INDEX($AI$270:$BI$295,MATCH(F$266,$AG$270:$AG$295,0),MATCH($B289,$AI$270:$BI$270,0)),""))</f>
        <v/>
      </c>
      <c r="G289" s="164">
        <f t="shared" ca="1" si="223"/>
        <v>50</v>
      </c>
      <c r="H289" s="164">
        <f t="shared" ca="1" si="223"/>
        <v>100</v>
      </c>
      <c r="I289" s="164">
        <f t="shared" ca="1" si="223"/>
        <v>25</v>
      </c>
      <c r="J289" s="54"/>
      <c r="AY289" s="63"/>
      <c r="AZ289" s="63"/>
      <c r="BA289" s="63"/>
      <c r="BB289" s="63"/>
      <c r="BC289" s="63"/>
      <c r="BD289" s="63"/>
      <c r="BE289" s="63"/>
      <c r="BF289" s="63"/>
      <c r="BG289" s="63"/>
      <c r="BH289" s="63"/>
      <c r="BI289" s="63"/>
    </row>
    <row r="290" spans="2:75" ht="22.5" customHeight="1" outlineLevel="1" x14ac:dyDescent="0.35">
      <c r="J290" s="73"/>
      <c r="AY290" s="63"/>
      <c r="AZ290" s="63"/>
      <c r="BA290" s="63"/>
      <c r="BB290" s="63"/>
      <c r="BC290" s="63"/>
      <c r="BD290" s="63"/>
      <c r="BE290" s="63"/>
      <c r="BF290" s="63"/>
      <c r="BG290" s="63"/>
      <c r="BH290" s="63"/>
      <c r="BI290" s="63"/>
    </row>
    <row r="291" spans="2:75" ht="22.5" customHeight="1" x14ac:dyDescent="0.35">
      <c r="J291" s="54"/>
      <c r="AY291" s="63"/>
      <c r="AZ291" s="63"/>
      <c r="BA291" s="63"/>
      <c r="BB291" s="63"/>
      <c r="BC291" s="63"/>
      <c r="BD291" s="63"/>
      <c r="BE291" s="63"/>
      <c r="BF291" s="63"/>
      <c r="BG291" s="63"/>
      <c r="BH291" s="63"/>
      <c r="BI291" s="63"/>
    </row>
    <row r="292" spans="2:75" ht="22.5" customHeight="1" x14ac:dyDescent="0.35">
      <c r="D292" s="72" t="s">
        <v>233</v>
      </c>
      <c r="F292" s="221" t="s">
        <v>252</v>
      </c>
      <c r="G292" s="221"/>
      <c r="H292" s="221"/>
      <c r="I292" s="222"/>
      <c r="J292" s="73"/>
      <c r="AY292" s="63"/>
      <c r="AZ292" s="63"/>
      <c r="BA292" s="63"/>
      <c r="BB292" s="63"/>
      <c r="BC292" s="63"/>
      <c r="BD292" s="63"/>
      <c r="BE292" s="63"/>
      <c r="BF292" s="63"/>
      <c r="BG292" s="63"/>
      <c r="BH292" s="63"/>
      <c r="BI292" s="63"/>
    </row>
    <row r="293" spans="2:75" ht="22.5" customHeight="1" x14ac:dyDescent="0.35">
      <c r="D293" s="74"/>
      <c r="F293" s="202" t="str">
        <f ca="1">IFERROR(INDEX($V$271:$V$282,MATCH(F266,$W$271:$W$282,0))*D293,"")</f>
        <v/>
      </c>
      <c r="G293" s="202">
        <f ca="1">IFERROR(P271 *D293,"")</f>
        <v>0</v>
      </c>
      <c r="H293" s="202">
        <f ca="1">IFERROR(P272 *D293,"")</f>
        <v>0</v>
      </c>
      <c r="I293" s="202">
        <f ca="1">IFERROR(P273 * D293,"")</f>
        <v>0</v>
      </c>
      <c r="J293" s="54"/>
      <c r="AY293" s="63"/>
      <c r="AZ293" s="63"/>
      <c r="BA293" s="63"/>
      <c r="BB293" s="63"/>
      <c r="BC293" s="63"/>
      <c r="BD293" s="63"/>
      <c r="BE293" s="63"/>
      <c r="BF293" s="63"/>
      <c r="BG293" s="63"/>
      <c r="BH293" s="63"/>
      <c r="BI293" s="63"/>
    </row>
    <row r="294" spans="2:75" x14ac:dyDescent="0.35">
      <c r="AY294" s="63"/>
      <c r="AZ294" s="63"/>
      <c r="BA294" s="63"/>
      <c r="BB294" s="63"/>
      <c r="BC294" s="63"/>
      <c r="BD294" s="63"/>
      <c r="BE294" s="63"/>
      <c r="BF294" s="63"/>
      <c r="BG294" s="63"/>
      <c r="BH294" s="63"/>
      <c r="BI294" s="63"/>
    </row>
    <row r="295" spans="2:75" ht="15" thickBot="1" x14ac:dyDescent="0.4">
      <c r="C295" s="174"/>
      <c r="D295" s="174"/>
      <c r="E295" s="174"/>
      <c r="F295" s="174"/>
      <c r="G295" s="174"/>
      <c r="H295" s="174"/>
      <c r="I295" s="174"/>
      <c r="AY295" s="63"/>
      <c r="AZ295" s="63"/>
      <c r="BA295" s="63"/>
      <c r="BB295" s="63"/>
      <c r="BC295" s="63"/>
      <c r="BD295" s="63"/>
      <c r="BE295" s="63"/>
      <c r="BF295" s="63"/>
      <c r="BG295" s="63"/>
      <c r="BH295" s="63"/>
      <c r="BI295" s="63"/>
    </row>
    <row r="296" spans="2:75" ht="15" thickTop="1" x14ac:dyDescent="0.35"/>
    <row r="297" spans="2:75" ht="71.25" customHeight="1" collapsed="1" x14ac:dyDescent="0.35">
      <c r="C297" s="53"/>
      <c r="D297" s="53"/>
      <c r="F297" s="50" t="e">
        <f ca="1">N301</f>
        <v>#N/A</v>
      </c>
      <c r="G297" s="50" t="str">
        <f ca="1">INDEX(W302:W326,MATCH(P302,V302:V326,0))</f>
        <v>Offererad produktnr. 11Advania Sverige AB</v>
      </c>
      <c r="H297" s="50" t="str">
        <f ca="1">INDEX(W301:W325,MATCH(P303,V301:V325,0))</f>
        <v>Offererad produktnr. 11Atea Sverige AB</v>
      </c>
      <c r="I297" s="50" t="str">
        <f ca="1">INDEX(W301:W325,MATCH(P304,V301:V325,0))</f>
        <v>Offererad produktnr. 11Qlosr Göteborg AB</v>
      </c>
      <c r="AI297" s="12" t="s">
        <v>124</v>
      </c>
      <c r="AJ297" s="12" t="s">
        <v>124</v>
      </c>
      <c r="AK297" s="12" t="s">
        <v>124</v>
      </c>
      <c r="AL297" s="12" t="s">
        <v>124</v>
      </c>
      <c r="AM297" s="12" t="s">
        <v>124</v>
      </c>
      <c r="AN297" s="12" t="s">
        <v>124</v>
      </c>
      <c r="AO297" s="12" t="s">
        <v>124</v>
      </c>
      <c r="AP297" s="12" t="s">
        <v>124</v>
      </c>
      <c r="AQ297" s="12" t="s">
        <v>124</v>
      </c>
      <c r="AR297" s="12" t="s">
        <v>124</v>
      </c>
      <c r="AS297" s="12" t="s">
        <v>124</v>
      </c>
      <c r="AT297" s="12" t="s">
        <v>124</v>
      </c>
      <c r="AU297" s="12" t="s">
        <v>124</v>
      </c>
      <c r="AV297" s="12" t="s">
        <v>124</v>
      </c>
      <c r="AW297" s="12" t="s">
        <v>124</v>
      </c>
      <c r="AX297" s="12" t="s">
        <v>124</v>
      </c>
      <c r="AY297" s="12" t="s">
        <v>124</v>
      </c>
      <c r="AZ297" s="12" t="s">
        <v>124</v>
      </c>
      <c r="BA297" s="12" t="s">
        <v>124</v>
      </c>
      <c r="BB297" s="12" t="s">
        <v>124</v>
      </c>
      <c r="BC297" s="12" t="s">
        <v>124</v>
      </c>
      <c r="BD297" s="12" t="s">
        <v>124</v>
      </c>
      <c r="BE297" s="12" t="s">
        <v>124</v>
      </c>
      <c r="BF297" s="12" t="s">
        <v>124</v>
      </c>
      <c r="BG297" s="12" t="s">
        <v>124</v>
      </c>
      <c r="BH297" s="12" t="s">
        <v>124</v>
      </c>
      <c r="BI297" s="12" t="s">
        <v>124</v>
      </c>
      <c r="BJ297" s="12"/>
      <c r="BK297" s="12"/>
      <c r="BL297" s="12"/>
      <c r="BM297" s="12"/>
      <c r="BN297" s="12"/>
      <c r="BO297" s="12"/>
      <c r="BP297" s="12"/>
      <c r="BQ297" s="12"/>
      <c r="BR297" s="12"/>
      <c r="BS297" s="12"/>
      <c r="BT297" s="12"/>
      <c r="BU297" s="12"/>
      <c r="BV297" s="12"/>
      <c r="BW297" s="12"/>
    </row>
    <row r="298" spans="2:75" ht="26.25" customHeight="1" thickBot="1" x14ac:dyDescent="0.4">
      <c r="C298" s="53"/>
      <c r="D298" s="53"/>
      <c r="F298" s="140" t="s">
        <v>446</v>
      </c>
      <c r="G298" s="205" t="s">
        <v>447</v>
      </c>
      <c r="H298" s="205"/>
      <c r="I298" s="205"/>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row>
    <row r="299" spans="2:75" ht="22.5" customHeight="1" thickBot="1" x14ac:dyDescent="0.4">
      <c r="B299" t="str">
        <f ca="1" xml:space="preserve"> "Produkt "  &amp; B300</f>
        <v>Produkt 10</v>
      </c>
      <c r="C299" s="206" t="str">
        <f>IF(F300="Ingen produkt motsvarar","Felmeddelande",IF(COUNTIF($P$1:$P$6,TRUE)&gt;0,"","Felmeddelande"))</f>
        <v/>
      </c>
      <c r="D299" s="207"/>
      <c r="F299" s="218" t="s">
        <v>271</v>
      </c>
      <c r="G299" s="218"/>
      <c r="H299" s="218"/>
      <c r="I299" s="219"/>
      <c r="O299">
        <v>1</v>
      </c>
      <c r="AI299" s="13" t="str">
        <f t="shared" ref="AI299:AW299" si="224">AI301</f>
        <v>Skärmstorlek (tum)</v>
      </c>
      <c r="AJ299" s="13" t="str">
        <f t="shared" si="224"/>
        <v>Upplösning</v>
      </c>
      <c r="AK299" s="13" t="str">
        <f t="shared" si="224"/>
        <v>Portar USB</v>
      </c>
      <c r="AL299" s="13" t="str">
        <f t="shared" si="224"/>
        <v>Portar HDMI</v>
      </c>
      <c r="AM299" s="13" t="str">
        <f t="shared" si="224"/>
        <v>Portar Display</v>
      </c>
      <c r="AN299" s="13" t="str">
        <f t="shared" si="224"/>
        <v>Antal färger</v>
      </c>
      <c r="AO299" s="13" t="str">
        <f t="shared" si="224"/>
        <v>Ljusstyrka</v>
      </c>
      <c r="AP299" s="13" t="str">
        <f t="shared" si="224"/>
        <v>Energiprestanda</v>
      </c>
      <c r="AQ299" s="13" t="str">
        <f t="shared" si="224"/>
        <v>Låsskydd</v>
      </c>
      <c r="AR299" s="13" t="str">
        <f t="shared" si="224"/>
        <v>Kommunikation Bluetooth</v>
      </c>
      <c r="AS299" s="13" t="str">
        <f t="shared" si="224"/>
        <v>Batteritid (tim)</v>
      </c>
      <c r="AT299" s="13" t="str">
        <f t="shared" si="224"/>
        <v>Energiprestanda</v>
      </c>
      <c r="AU299" s="13" t="str">
        <f t="shared" si="224"/>
        <v>Låsskydd</v>
      </c>
      <c r="AV299" s="13" t="str">
        <f t="shared" si="224"/>
        <v>Operativsystem</v>
      </c>
      <c r="AW299" s="13" t="str">
        <f t="shared" si="224"/>
        <v>Modellbenämning</v>
      </c>
      <c r="AX299" t="s">
        <v>224</v>
      </c>
      <c r="AY299" s="56" t="s">
        <v>53</v>
      </c>
      <c r="AZ299" s="57" t="s">
        <v>228</v>
      </c>
      <c r="BA299" s="57" t="s">
        <v>229</v>
      </c>
      <c r="BB299" s="57" t="s">
        <v>230</v>
      </c>
      <c r="BC299" s="56" t="s">
        <v>340</v>
      </c>
      <c r="BD299" s="57" t="s">
        <v>345</v>
      </c>
      <c r="BE299" s="57"/>
      <c r="BF299" s="57"/>
      <c r="BG299" s="57"/>
      <c r="BH299" s="57" t="s">
        <v>6</v>
      </c>
      <c r="BI299" s="4" t="s">
        <v>51</v>
      </c>
      <c r="BJ299" s="13"/>
      <c r="BK299" s="13"/>
      <c r="BL299" s="13"/>
      <c r="BM299" s="13"/>
      <c r="BN299" s="13"/>
      <c r="BO299" s="13"/>
      <c r="BP299" s="13"/>
      <c r="BQ299" s="13"/>
      <c r="BR299" s="13"/>
      <c r="BS299" s="13"/>
      <c r="BT299" s="13"/>
      <c r="BU299" s="13"/>
      <c r="BV299" s="13"/>
      <c r="BW299" s="13"/>
    </row>
    <row r="300" spans="2:75" ht="22.5" customHeight="1" x14ac:dyDescent="0.35">
      <c r="B300">
        <f ca="1">COUNTIF($F$7:F303,"Produkt I varukorg*")</f>
        <v>10</v>
      </c>
      <c r="F300" s="51" t="str">
        <f>IF(D324&lt;1,"Inget antal angivet",IFERROR(INDEX($V$302:$V$313,MATCH(F297,$W$302:$W$313,0)),"Ingen produkt motsvarar"))</f>
        <v>Inget antal angivet</v>
      </c>
      <c r="G300" s="52">
        <f ca="1">IFERROR(P302,"Ingen produkt motsvarar")</f>
        <v>1981</v>
      </c>
      <c r="H300" s="52">
        <f ca="1">IFERROR(P303,"")</f>
        <v>2034</v>
      </c>
      <c r="I300" s="52">
        <f ca="1">IFERROR(P304,"")</f>
        <v>2076</v>
      </c>
      <c r="W300" t="str">
        <f>IF(COUNTIF(X300:AF300,FALSE)&gt;0,AG300,"")</f>
        <v/>
      </c>
      <c r="X300" t="b">
        <f>IF($D$303="",TRUE,IF(AI300=$D$303,TRUE,FALSE))</f>
        <v>1</v>
      </c>
      <c r="Y300" t="b">
        <f>IF(D302="",TRUE,IF(AJ300=$D$304,TRUE,FALSE))</f>
        <v>1</v>
      </c>
      <c r="Z300" t="b">
        <f>IF(D303="",TRUE,IF(AK300=D303,TRUE,FALSE))</f>
        <v>1</v>
      </c>
      <c r="AA300" t="b">
        <f>IF(D304="",TRUE,IF(AL300=D304,TRUE,FALSE))</f>
        <v>1</v>
      </c>
      <c r="AB300" t="b">
        <f>IF(D308="",TRUE,IF(AM300=D308,TRUE,FALSE))</f>
        <v>1</v>
      </c>
      <c r="AC300" t="b">
        <f>IF(D309="",TRUE,IF(AN300=D309,TRUE,FALSE))</f>
        <v>1</v>
      </c>
      <c r="AE300" t="b">
        <f>IF(D307="",TRUE,IF(AO300=D307,TRUE,FALSE))</f>
        <v>1</v>
      </c>
      <c r="AF300" t="b">
        <f>IFERROR(IF($D310="",TRUE,IF(MID(AT300,LEN(AT300)-2,1)*1&gt;=MID($D310,LEN($D310)-2,1)*1,TRUE,FALSE)),FALSE)</f>
        <v>1</v>
      </c>
      <c r="AG300" t="s">
        <v>126</v>
      </c>
      <c r="AI300" s="58" t="str">
        <f t="shared" ref="AI300:BI300" ca="1" si="225">IFERROR(INDEX(INDIRECT(AI$297&amp;"!$A$10:CC100000"),MATCH($AG300,INDIRECT(AI$297&amp;"!BH$10:BH100000"),0),MATCH(AI$299,INDIRECT(AI$297&amp;"!a10:CC10"),0)),"False")</f>
        <v>False</v>
      </c>
      <c r="AJ300" s="58" t="str">
        <f t="shared" ca="1" si="225"/>
        <v>False</v>
      </c>
      <c r="AK300" s="58" t="str">
        <f t="shared" ca="1" si="225"/>
        <v>False</v>
      </c>
      <c r="AL300" s="58" t="str">
        <f t="shared" ca="1" si="225"/>
        <v>False</v>
      </c>
      <c r="AM300" s="58" t="str">
        <f t="shared" ca="1" si="225"/>
        <v>False</v>
      </c>
      <c r="AN300" s="58" t="str">
        <f t="shared" ca="1" si="225"/>
        <v>False</v>
      </c>
      <c r="AO300" s="58" t="str">
        <f t="shared" ca="1" si="225"/>
        <v>False</v>
      </c>
      <c r="AP300" s="58" t="str">
        <f t="shared" ca="1" si="225"/>
        <v>False</v>
      </c>
      <c r="AQ300" s="58" t="str">
        <f t="shared" ca="1" si="225"/>
        <v>False</v>
      </c>
      <c r="AR300" s="58" t="str">
        <f t="shared" ca="1" si="225"/>
        <v>False</v>
      </c>
      <c r="AS300" s="58" t="str">
        <f t="shared" ca="1" si="225"/>
        <v>False</v>
      </c>
      <c r="AT300" s="58" t="str">
        <f t="shared" ca="1" si="225"/>
        <v>False</v>
      </c>
      <c r="AU300" s="58" t="str">
        <f t="shared" ca="1" si="225"/>
        <v>False</v>
      </c>
      <c r="AV300" s="58" t="str">
        <f t="shared" ca="1" si="225"/>
        <v>False</v>
      </c>
      <c r="AW300" s="58" t="str">
        <f t="shared" ca="1" si="225"/>
        <v>False</v>
      </c>
      <c r="AX300" s="58" t="str">
        <f t="shared" ca="1" si="225"/>
        <v>False</v>
      </c>
      <c r="AY300" s="58" t="str">
        <f t="shared" ca="1" si="225"/>
        <v>False</v>
      </c>
      <c r="AZ300" s="58" t="str">
        <f t="shared" ca="1" si="225"/>
        <v>False</v>
      </c>
      <c r="BA300" s="58" t="str">
        <f t="shared" ca="1" si="225"/>
        <v>False</v>
      </c>
      <c r="BB300" s="58" t="str">
        <f t="shared" ca="1" si="225"/>
        <v>False</v>
      </c>
      <c r="BC300" s="58" t="str">
        <f t="shared" ca="1" si="225"/>
        <v>False</v>
      </c>
      <c r="BD300" s="58" t="str">
        <f t="shared" ca="1" si="225"/>
        <v>False</v>
      </c>
      <c r="BE300" s="58" t="str">
        <f t="shared" ca="1" si="225"/>
        <v>False</v>
      </c>
      <c r="BF300" s="58" t="str">
        <f t="shared" ca="1" si="225"/>
        <v>False</v>
      </c>
      <c r="BG300" s="58" t="str">
        <f t="shared" ca="1" si="225"/>
        <v>False</v>
      </c>
      <c r="BH300" s="58" t="str">
        <f t="shared" ca="1" si="225"/>
        <v>False</v>
      </c>
      <c r="BI300" s="58" t="str">
        <f t="shared" ca="1" si="225"/>
        <v>False</v>
      </c>
      <c r="BJ300" s="58"/>
      <c r="BK300" s="58"/>
      <c r="BL300" s="58"/>
      <c r="BM300" s="58"/>
      <c r="BN300" s="58"/>
      <c r="BO300" s="58"/>
      <c r="BP300" s="58"/>
      <c r="BQ300" s="58"/>
      <c r="BR300" s="58"/>
      <c r="BS300" s="58"/>
      <c r="BT300" s="58"/>
      <c r="BU300" s="58"/>
      <c r="BV300" s="58"/>
      <c r="BW300" s="58"/>
    </row>
    <row r="301" spans="2:75" ht="22.5" customHeight="1" x14ac:dyDescent="0.35">
      <c r="C301" s="210" t="str">
        <f ca="1" xml:space="preserve"> "Bildskärm "  &amp; RIGHT("00" &amp; B300,2)</f>
        <v>Bildskärm 10</v>
      </c>
      <c r="D301" s="211"/>
      <c r="F301" s="103" t="str">
        <f>IF(F$300="Inget antal angivet","",IFERROR(INDEX($AI$301:$BI$326,MATCH(F$297,$AG$301:$AG$326,0),MATCH("Modellbenämning",$AI$301:$BI$301,0)),""))</f>
        <v/>
      </c>
      <c r="G301" s="103" t="str">
        <f ca="1">IFERROR(INDEX($AI$301:$BI$326,MATCH(G$297,$AG$301:$AG$326,0),MATCH("Modellbenämning",$AI$301:$BI$301,0)),"")</f>
        <v>HP E24i G4 - E-Series - LED-skärm</v>
      </c>
      <c r="H301" s="103" t="str">
        <f ca="1">IFERROR(INDEX($AI$301:$BI$326,MATCH(H$297,$AG$301:$AG$326,0),MATCH("Modellbenämning",$AI$301:$BI$301,0)),"")</f>
        <v>F24T450FQR</v>
      </c>
      <c r="I301" s="103" t="str">
        <f ca="1">IFERROR(INDEX($AI$301:$BI$326,MATCH(I$297,$AG$301:$AG$326,0),MATCH("Modellbenämning",$AI$301:$BI$301,0)),"")</f>
        <v>P2422h</v>
      </c>
      <c r="J301" s="93"/>
      <c r="K301" s="103"/>
      <c r="L301" s="103"/>
      <c r="M301" s="103"/>
      <c r="N301" s="103" t="e">
        <f ca="1">INDEX($N$302:$N$307,MATCH(Överblick!$L$2,$M$302:$M$307,0))</f>
        <v>#N/A</v>
      </c>
      <c r="O301" s="103"/>
      <c r="P301" s="103"/>
      <c r="Q301" s="103"/>
      <c r="R301" s="103">
        <v>1</v>
      </c>
      <c r="S301" s="103">
        <v>2</v>
      </c>
      <c r="T301" s="103">
        <v>3</v>
      </c>
      <c r="U301" s="103">
        <v>5</v>
      </c>
      <c r="V301" s="103"/>
      <c r="W301" s="103" t="s">
        <v>122</v>
      </c>
      <c r="X301" s="103" t="s">
        <v>7</v>
      </c>
      <c r="Y301" s="103" t="s">
        <v>2</v>
      </c>
      <c r="Z301" s="103" t="s">
        <v>67</v>
      </c>
      <c r="AA301" s="103" t="s">
        <v>68</v>
      </c>
      <c r="AB301" s="103" t="s">
        <v>73</v>
      </c>
      <c r="AC301" s="103" t="s">
        <v>13</v>
      </c>
      <c r="AD301" s="103"/>
      <c r="AE301" s="103" t="s">
        <v>14</v>
      </c>
      <c r="AF301" s="103" t="s">
        <v>38</v>
      </c>
      <c r="AG301" s="103" t="s">
        <v>222</v>
      </c>
      <c r="AH301" s="103">
        <v>1</v>
      </c>
      <c r="AI301" s="103" t="s">
        <v>7</v>
      </c>
      <c r="AJ301" s="103" t="s">
        <v>2</v>
      </c>
      <c r="AK301" s="103" t="s">
        <v>67</v>
      </c>
      <c r="AL301" s="103" t="s">
        <v>68</v>
      </c>
      <c r="AM301" s="103" t="s">
        <v>73</v>
      </c>
      <c r="AN301" s="103" t="s">
        <v>13</v>
      </c>
      <c r="AO301" s="103" t="s">
        <v>14</v>
      </c>
      <c r="AP301" s="103" t="s">
        <v>38</v>
      </c>
      <c r="AQ301" s="103" t="s">
        <v>37</v>
      </c>
      <c r="AR301" s="103" t="s">
        <v>75</v>
      </c>
      <c r="AS301" s="103" t="s">
        <v>120</v>
      </c>
      <c r="AT301" s="103" t="s">
        <v>38</v>
      </c>
      <c r="AU301" s="103" t="s">
        <v>37</v>
      </c>
      <c r="AV301" s="103" t="s">
        <v>3</v>
      </c>
      <c r="AW301" s="103" t="s">
        <v>52</v>
      </c>
      <c r="AX301" s="103" t="s">
        <v>25</v>
      </c>
      <c r="AY301" s="103" t="s">
        <v>53</v>
      </c>
      <c r="AZ301" s="103" t="s">
        <v>228</v>
      </c>
      <c r="BA301" s="103" t="s">
        <v>229</v>
      </c>
      <c r="BB301" s="103" t="s">
        <v>230</v>
      </c>
      <c r="BC301" s="103" t="s">
        <v>340</v>
      </c>
      <c r="BD301" s="103" t="s">
        <v>345</v>
      </c>
      <c r="BE301" s="103"/>
      <c r="BF301" s="103"/>
      <c r="BG301" s="103"/>
      <c r="BH301" s="103" t="s">
        <v>6</v>
      </c>
      <c r="BI301" s="103" t="s">
        <v>51</v>
      </c>
      <c r="BJ301" s="103" t="s">
        <v>7</v>
      </c>
      <c r="BK301" s="103" t="s">
        <v>2</v>
      </c>
      <c r="BL301" s="103" t="s">
        <v>67</v>
      </c>
      <c r="BM301" s="103" t="s">
        <v>68</v>
      </c>
      <c r="BN301" s="103" t="s">
        <v>73</v>
      </c>
      <c r="BO301" s="103" t="s">
        <v>13</v>
      </c>
      <c r="BP301" s="103" t="s">
        <v>14</v>
      </c>
      <c r="BQ301" s="103" t="s">
        <v>38</v>
      </c>
      <c r="BR301" s="103" t="s">
        <v>37</v>
      </c>
      <c r="BS301" s="103" t="s">
        <v>120</v>
      </c>
      <c r="BT301" s="103" t="s">
        <v>38</v>
      </c>
      <c r="BU301" s="103" t="s">
        <v>37</v>
      </c>
      <c r="BV301" s="103" t="s">
        <v>3</v>
      </c>
    </row>
    <row r="302" spans="2:75" ht="22.5" customHeight="1" outlineLevel="1" x14ac:dyDescent="0.35">
      <c r="C302" s="210" t="s">
        <v>261</v>
      </c>
      <c r="D302" s="211"/>
      <c r="F302" s="76" t="str">
        <f>IF(F$300="Inget antal angivet","",IFERROR(INDEX($AI$301:$BI$326,MATCH(F$297,$AG$301:$AG$326,0),MATCH("Varumärke",$AI$301:$BI$301,0)),""))</f>
        <v/>
      </c>
      <c r="G302" s="77" t="str">
        <f ca="1">IFERROR(INDEX($AI$301:$BI$326,MATCH(G$297,$AG$301:$AG$326,0),MATCH("Varumärke",$AI$301:$BI$301,0)),"")</f>
        <v>HP</v>
      </c>
      <c r="H302" s="77" t="str">
        <f ca="1">IFERROR(INDEX($AI$301:$BI$326,MATCH(H$297,$AG$301:$AG$326,0),MATCH("Varumärke",$AI$301:$BI$301,0)),"")</f>
        <v>Samsung</v>
      </c>
      <c r="I302" s="119" t="str">
        <f ca="1">IFERROR(INDEX($AI$301:$BI$326,MATCH(I$297,$AG$301:$AG$326,0),MATCH("Varumärke",$AI$301:$BI$301,0)),"")</f>
        <v>Dell</v>
      </c>
      <c r="K302" s="196">
        <f t="shared" ref="K302:K307" ca="1" si="226">O302*$D$324</f>
        <v>0</v>
      </c>
      <c r="L302" s="185" t="b">
        <f t="shared" ref="L302:L307" si="227">IF($D$324=0,TRUE,IF(K302=0,FALSE,TRUE))</f>
        <v>1</v>
      </c>
      <c r="M302" s="185" t="s">
        <v>162</v>
      </c>
      <c r="N302" s="185" t="str">
        <f t="shared" ref="N302:N307" ca="1" si="228">IFERROR(INDEX($W$302:$W$313,MATCH(O302,$V$302:$V$312,0)),"")</f>
        <v>Offererad produktnr. 11Advania Sverige AB</v>
      </c>
      <c r="O302" s="185" cm="1">
        <f t="array" aca="1" ref="O302" ca="1">MIN(IF(($BH$302:$BH$313=M302)*($AH$302:$AH$313=$O$299),$V$302:$V$313))</f>
        <v>1981</v>
      </c>
      <c r="P302" s="197">
        <f ca="1">IFERROR(SMALL($V$302:$V$326,1),"")</f>
        <v>1981</v>
      </c>
      <c r="Q302" s="185">
        <f t="shared" ref="Q302:Q311" si="229">SUM(R302:U302)</f>
        <v>0</v>
      </c>
      <c r="R302" s="185">
        <f t="shared" ref="R302:R311" si="230">IF($D$314="",0,AY302)</f>
        <v>0</v>
      </c>
      <c r="S302" s="185">
        <f t="shared" ref="S302:S311" si="231">IF($D$318="",0,AZ302)</f>
        <v>0</v>
      </c>
      <c r="T302" s="185">
        <f t="shared" ref="T302:T311" si="232">IF($D$319="",0,BA302)</f>
        <v>0</v>
      </c>
      <c r="U302" s="185">
        <f t="shared" ref="U302:U311" si="233">IF($D$320="",0,BD302)</f>
        <v>0</v>
      </c>
      <c r="V302" s="196">
        <f t="shared" ref="V302:V311" ca="1" si="234">IF(W302="","",SUM(AX302,R302:U302))</f>
        <v>1981</v>
      </c>
      <c r="W302" s="185" t="str">
        <f t="shared" ref="W302:W311" si="235">IF(COUNTIF(X302:AF302,FALSE)&gt;0,"",AG302)</f>
        <v>Offererad produktnr. 11Advania Sverige AB</v>
      </c>
      <c r="X302" s="185" t="b">
        <f>IF($D$303="",TRUE,IF(COUNTIF(Processor!$I$2:$I$9,$D$303)&gt;0,AND(AI302&gt;INDEX(Processor!$J$2:$J$9,MATCH($D$303,Processor!$I$2:$I$9,0)),AI302&lt;INDEX(Processor!$K$2:$K$9,MATCH($D$303,Processor!$I$2:$I$9,0))),IF(AI302=$D$303,TRUE,FALSE)))</f>
        <v>1</v>
      </c>
      <c r="Y302" s="185" t="b">
        <f t="shared" ref="Y302:Y311" si="236">IFERROR(IF($D$304="",TRUE,IF(AND(IF(LEFT(RIGHT($D$304,4),4)*1&lt;=1*LEFT(AJ302,4),TRUE,FALSE),IF(RIGHT(AJ302,LEN(AJ302)-FIND("x",AJ302))*1&gt;=1*RIGHT(RIGHT($D$304,4),4),TRUE,FALSE)),TRUE,FALSE)),0)</f>
        <v>1</v>
      </c>
      <c r="Z302" s="185" t="b">
        <f t="shared" ref="Z302:Z311" si="237">IF($D$305="",TRUE,IF(AK302&gt;=$D$305,TRUE,FALSE))</f>
        <v>1</v>
      </c>
      <c r="AA302" s="185" t="b">
        <f t="shared" ref="AA302:AA311" si="238">IF($D$306="",TRUE,IF(AL302&gt;=$D$306,TRUE,FALSE))</f>
        <v>1</v>
      </c>
      <c r="AB302" s="185" t="b">
        <f t="shared" ref="AB302:AB311" si="239">IF($D$307="",TRUE,IF(AM302&gt;=$D$307,TRUE,FALSE))</f>
        <v>1</v>
      </c>
      <c r="AC302" s="185" t="b">
        <f t="shared" ref="AC302:AC311" si="240">IF($D$308="",TRUE,IF(AN302&gt;=$D$308,TRUE,FALSE))</f>
        <v>1</v>
      </c>
      <c r="AD302" s="185"/>
      <c r="AE302" s="185" t="b">
        <f t="shared" ref="AE302:AE311" si="241">IF($D$309="",TRUE,IF(AO302&gt;=$D$309,TRUE,FALSE))</f>
        <v>1</v>
      </c>
      <c r="AF302" s="185" t="b">
        <f>IFERROR(IF($D310="",TRUE,IF(MID(AT302,LEN(AT302)-2,1)*1&gt;=MID($D310,LEN($D310)-2,1)*1,TRUE,FALSE)),FALSE)</f>
        <v>1</v>
      </c>
      <c r="AG302" s="185" t="s">
        <v>208</v>
      </c>
      <c r="AH302" s="201">
        <v>1</v>
      </c>
      <c r="AI302" s="185">
        <f t="shared" ref="AI302:AR311" ca="1" si="242">IFERROR(INDEX(INDIRECT(AI$297&amp;"!$A$10:CC100000"),MATCH($AG302,INDIRECT(AI$297&amp;"!BH$10:BH100000"),0),MATCH(AI$299,INDIRECT(AI$297&amp;"!a10:CC10"),0)),"False")</f>
        <v>24</v>
      </c>
      <c r="AJ302" s="185" t="str">
        <f t="shared" ca="1" si="242"/>
        <v>1920x1080</v>
      </c>
      <c r="AK302" s="185">
        <f t="shared" ca="1" si="242"/>
        <v>4</v>
      </c>
      <c r="AL302" s="185">
        <f t="shared" ca="1" si="242"/>
        <v>0</v>
      </c>
      <c r="AM302" s="185">
        <f t="shared" ca="1" si="242"/>
        <v>1</v>
      </c>
      <c r="AN302" s="185">
        <f t="shared" ca="1" si="242"/>
        <v>16700000</v>
      </c>
      <c r="AO302" s="185">
        <f t="shared" ca="1" si="242"/>
        <v>250</v>
      </c>
      <c r="AP302" s="185" t="str">
        <f t="shared" ca="1" si="242"/>
        <v>Version 8.0</v>
      </c>
      <c r="AQ302" s="185" t="str">
        <f t="shared" ca="1" si="242"/>
        <v>Ja</v>
      </c>
      <c r="AR302" s="185">
        <f t="shared" ca="1" si="242"/>
        <v>0</v>
      </c>
      <c r="AS302" s="185">
        <f t="shared" ref="AS302:BB311" ca="1" si="243">IFERROR(INDEX(INDIRECT(AS$297&amp;"!$A$10:CC100000"),MATCH($AG302,INDIRECT(AS$297&amp;"!BH$10:BH100000"),0),MATCH(AS$299,INDIRECT(AS$297&amp;"!a10:CC10"),0)),"False")</f>
        <v>0</v>
      </c>
      <c r="AT302" s="185" t="str">
        <f t="shared" ca="1" si="243"/>
        <v>Version 8.0</v>
      </c>
      <c r="AU302" s="185" t="str">
        <f t="shared" ca="1" si="243"/>
        <v>Ja</v>
      </c>
      <c r="AV302" s="185">
        <f t="shared" ca="1" si="243"/>
        <v>0</v>
      </c>
      <c r="AW302" s="185" t="str">
        <f t="shared" ca="1" si="243"/>
        <v>HP E24i G4 - E-Series - LED-skärm</v>
      </c>
      <c r="AX302" s="185">
        <f t="shared" ca="1" si="243"/>
        <v>1981</v>
      </c>
      <c r="AY302" s="192">
        <f t="shared" ca="1" si="243"/>
        <v>639</v>
      </c>
      <c r="AZ302" s="192">
        <f t="shared" ca="1" si="243"/>
        <v>101</v>
      </c>
      <c r="BA302" s="192">
        <f t="shared" ca="1" si="243"/>
        <v>50</v>
      </c>
      <c r="BB302" s="192">
        <f t="shared" ca="1" si="243"/>
        <v>50</v>
      </c>
      <c r="BC302" s="192" t="str">
        <f t="shared" ref="BC302:BI311" ca="1" si="244">IFERROR(INDEX(INDIRECT(BC$297&amp;"!$A$10:CC100000"),MATCH($AG302,INDIRECT(BC$297&amp;"!BH$10:BH100000"),0),MATCH(BC$299,INDIRECT(BC$297&amp;"!a10:CC10"),0)),"False")</f>
        <v>eSTUFF</v>
      </c>
      <c r="BD302" s="192" t="str">
        <f t="shared" ca="1" si="244"/>
        <v>GLBB24519325 -  Filter för personlig integritet - 2-vägs - 24" - svart</v>
      </c>
      <c r="BE302" s="192" t="str">
        <f t="shared" ca="1" si="244"/>
        <v>False</v>
      </c>
      <c r="BF302" s="192" t="str">
        <f t="shared" ca="1" si="244"/>
        <v>False</v>
      </c>
      <c r="BG302" s="192" t="str">
        <f t="shared" ca="1" si="244"/>
        <v>False</v>
      </c>
      <c r="BH302" s="192" t="str">
        <f t="shared" ca="1" si="244"/>
        <v>Advania Sverige AB</v>
      </c>
      <c r="BI302" s="192" t="str">
        <f t="shared" ca="1" si="244"/>
        <v>HP</v>
      </c>
      <c r="BJ302" s="199">
        <v>23.8</v>
      </c>
      <c r="BK302" s="185" t="s">
        <v>71</v>
      </c>
      <c r="BL302" s="185">
        <v>0</v>
      </c>
      <c r="BM302" s="185">
        <v>1</v>
      </c>
      <c r="BN302" s="185">
        <v>1</v>
      </c>
      <c r="BO302" s="185">
        <v>16700000</v>
      </c>
      <c r="BP302" s="185">
        <v>250</v>
      </c>
      <c r="BQ302" s="185" t="s">
        <v>352</v>
      </c>
      <c r="BR302" s="185" t="s">
        <v>69</v>
      </c>
      <c r="BS302" s="185"/>
      <c r="BT302" s="185"/>
      <c r="BU302" s="185" t="s">
        <v>352</v>
      </c>
      <c r="BV302" s="185" t="s">
        <v>69</v>
      </c>
      <c r="BW302">
        <v>0</v>
      </c>
    </row>
    <row r="303" spans="2:75" ht="22.5" customHeight="1" outlineLevel="1" x14ac:dyDescent="0.35">
      <c r="C303" s="61" t="s">
        <v>7</v>
      </c>
      <c r="D303" s="64"/>
      <c r="F303" s="78" t="str">
        <f t="shared" ref="F303:F311" si="245">IF(F$300="Inget antal angivet","",IFERROR(INDEX($AI$301:$BI$326,MATCH(F$297,$AG$301:$AG$326,0),MATCH($C303,$AI$301:$BI$301,0)),""))</f>
        <v/>
      </c>
      <c r="G303" s="79">
        <f t="shared" ref="G303:I311" ca="1" si="246">IFERROR(INDEX($AI$301:$BI$326,MATCH(G$297,$AG$301:$AG$326,0),MATCH($C303,$AI$301:$BI$301,0)),"")</f>
        <v>24</v>
      </c>
      <c r="H303" s="79">
        <f t="shared" ca="1" si="246"/>
        <v>23.8</v>
      </c>
      <c r="I303" s="120">
        <f t="shared" ca="1" si="246"/>
        <v>23.8</v>
      </c>
      <c r="J303" s="62"/>
      <c r="K303" s="196">
        <f t="shared" ca="1" si="226"/>
        <v>0</v>
      </c>
      <c r="L303" s="185" t="b">
        <f t="shared" si="227"/>
        <v>1</v>
      </c>
      <c r="M303" s="185" t="s">
        <v>150</v>
      </c>
      <c r="N303" s="185" t="str">
        <f t="shared" ca="1" si="228"/>
        <v>Offererad produktnr. 11Atea Sverige AB</v>
      </c>
      <c r="O303" s="185" cm="1">
        <f t="array" aca="1" ref="O303" ca="1">MIN(IF(($BH$302:$BH$313=M303)*($AH$302:$AH$313=$O$299),$V$302:$V$313))</f>
        <v>2034</v>
      </c>
      <c r="P303" s="197">
        <f ca="1">IFERROR(SMALL($V$302:$V$326,2),"")</f>
        <v>2034</v>
      </c>
      <c r="Q303" s="185">
        <f t="shared" si="229"/>
        <v>0</v>
      </c>
      <c r="R303" s="185">
        <f t="shared" si="230"/>
        <v>0</v>
      </c>
      <c r="S303" s="185">
        <f t="shared" si="231"/>
        <v>0</v>
      </c>
      <c r="T303" s="185">
        <f t="shared" si="232"/>
        <v>0</v>
      </c>
      <c r="U303" s="185">
        <f t="shared" si="233"/>
        <v>0</v>
      </c>
      <c r="V303" s="196">
        <f t="shared" ca="1" si="234"/>
        <v>3060</v>
      </c>
      <c r="W303" s="185" t="str">
        <f t="shared" si="235"/>
        <v>Offererad produktnr. 12Advania Sverige AB</v>
      </c>
      <c r="X303" s="185" t="b">
        <f>IF($D$303="",TRUE,IF(COUNTIF(Processor!$I$2:$I$9,$D$303)&gt;0,AND(AI303&gt;INDEX(Processor!$J$2:$J$9,MATCH($D$303,Processor!$I$2:$I$9,0)),AI303&lt;INDEX(Processor!$K$2:$K$9,MATCH($D$303,Processor!$I$2:$I$9,0))),IF(AI303=$D$303,TRUE,FALSE)))</f>
        <v>1</v>
      </c>
      <c r="Y303" s="185" t="b">
        <f t="shared" si="236"/>
        <v>1</v>
      </c>
      <c r="Z303" s="185" t="b">
        <f t="shared" si="237"/>
        <v>1</v>
      </c>
      <c r="AA303" s="185" t="b">
        <f t="shared" si="238"/>
        <v>1</v>
      </c>
      <c r="AB303" s="185" t="b">
        <f t="shared" si="239"/>
        <v>1</v>
      </c>
      <c r="AC303" s="185" t="b">
        <f t="shared" si="240"/>
        <v>1</v>
      </c>
      <c r="AD303" s="185"/>
      <c r="AE303" s="185" t="b">
        <f t="shared" si="241"/>
        <v>1</v>
      </c>
      <c r="AF303" s="185" t="b">
        <f>IFERROR(IF($D310="",TRUE,IF(MID(AT303,LEN(AT303)-2,1)*1&gt;=MID($D310,LEN($D310)-2,1)*1,TRUE,FALSE)),FALSE)</f>
        <v>1</v>
      </c>
      <c r="AG303" s="185" t="s">
        <v>209</v>
      </c>
      <c r="AH303" s="201">
        <v>1</v>
      </c>
      <c r="AI303" s="185">
        <f t="shared" ca="1" si="242"/>
        <v>27</v>
      </c>
      <c r="AJ303" s="185" t="str">
        <f t="shared" ca="1" si="242"/>
        <v>2560x1440</v>
      </c>
      <c r="AK303" s="185">
        <f t="shared" ca="1" si="242"/>
        <v>4</v>
      </c>
      <c r="AL303" s="185">
        <f t="shared" ca="1" si="242"/>
        <v>0</v>
      </c>
      <c r="AM303" s="185">
        <f t="shared" ca="1" si="242"/>
        <v>1</v>
      </c>
      <c r="AN303" s="185">
        <f t="shared" ca="1" si="242"/>
        <v>16700000</v>
      </c>
      <c r="AO303" s="185">
        <f t="shared" ca="1" si="242"/>
        <v>350</v>
      </c>
      <c r="AP303" s="185" t="str">
        <f t="shared" ca="1" si="242"/>
        <v>Version 8.0</v>
      </c>
      <c r="AQ303" s="185" t="str">
        <f t="shared" ca="1" si="242"/>
        <v>Ja</v>
      </c>
      <c r="AR303" s="185">
        <f t="shared" ca="1" si="242"/>
        <v>0</v>
      </c>
      <c r="AS303" s="185">
        <f t="shared" ca="1" si="243"/>
        <v>0</v>
      </c>
      <c r="AT303" s="185" t="str">
        <f t="shared" ca="1" si="243"/>
        <v>Version 8.0</v>
      </c>
      <c r="AU303" s="185" t="str">
        <f t="shared" ca="1" si="243"/>
        <v>Ja</v>
      </c>
      <c r="AV303" s="185">
        <f t="shared" ca="1" si="243"/>
        <v>0</v>
      </c>
      <c r="AW303" s="185" t="str">
        <f t="shared" ca="1" si="243"/>
        <v>HP E27q G5 - E-Series</v>
      </c>
      <c r="AX303" s="185">
        <f t="shared" ca="1" si="243"/>
        <v>3060</v>
      </c>
      <c r="AY303" s="192">
        <f t="shared" ca="1" si="243"/>
        <v>815</v>
      </c>
      <c r="AZ303" s="192">
        <f t="shared" ca="1" si="243"/>
        <v>101</v>
      </c>
      <c r="BA303" s="192">
        <f t="shared" ca="1" si="243"/>
        <v>50</v>
      </c>
      <c r="BB303" s="192">
        <f t="shared" ca="1" si="243"/>
        <v>50</v>
      </c>
      <c r="BC303" s="192" t="str">
        <f t="shared" ca="1" si="244"/>
        <v>eSTUFF</v>
      </c>
      <c r="BD303" s="192" t="str">
        <f t="shared" ca="1" si="244"/>
        <v>GLBB27598337 - Filter för personlig integritet - 2-vägs - 27" - svart</v>
      </c>
      <c r="BE303" s="192" t="str">
        <f t="shared" ca="1" si="244"/>
        <v>False</v>
      </c>
      <c r="BF303" s="192" t="str">
        <f t="shared" ca="1" si="244"/>
        <v>False</v>
      </c>
      <c r="BG303" s="192" t="str">
        <f t="shared" ca="1" si="244"/>
        <v>False</v>
      </c>
      <c r="BH303" s="192" t="str">
        <f t="shared" ca="1" si="244"/>
        <v>Advania Sverige AB</v>
      </c>
      <c r="BI303" s="192" t="str">
        <f t="shared" ca="1" si="244"/>
        <v>HP</v>
      </c>
      <c r="BJ303" s="199">
        <v>24</v>
      </c>
      <c r="BK303" s="185" t="s">
        <v>92</v>
      </c>
      <c r="BL303" s="185">
        <v>2</v>
      </c>
      <c r="BM303" s="185">
        <v>2</v>
      </c>
      <c r="BN303" s="185"/>
      <c r="BO303" s="185">
        <v>1070000000</v>
      </c>
      <c r="BP303" s="185">
        <v>300</v>
      </c>
      <c r="BQ303" s="185"/>
      <c r="BR303" s="185"/>
      <c r="BS303" s="185"/>
      <c r="BT303" s="185"/>
      <c r="BU303" s="185"/>
      <c r="BV303" s="185"/>
      <c r="BW303">
        <v>0</v>
      </c>
    </row>
    <row r="304" spans="2:75" ht="22.5" customHeight="1" outlineLevel="1" x14ac:dyDescent="0.35">
      <c r="C304" s="61" t="s">
        <v>2</v>
      </c>
      <c r="D304" s="64"/>
      <c r="F304" s="78" t="str">
        <f t="shared" si="245"/>
        <v/>
      </c>
      <c r="G304" s="79" t="str">
        <f t="shared" ca="1" si="246"/>
        <v>1920x1080</v>
      </c>
      <c r="H304" s="79" t="str">
        <f t="shared" ca="1" si="246"/>
        <v>1920x1080</v>
      </c>
      <c r="I304" s="120" t="str">
        <f t="shared" ca="1" si="246"/>
        <v>1920x1080</v>
      </c>
      <c r="J304" s="62"/>
      <c r="K304" s="196">
        <f t="shared" ca="1" si="226"/>
        <v>0</v>
      </c>
      <c r="L304" s="185" t="b">
        <f t="shared" si="227"/>
        <v>1</v>
      </c>
      <c r="M304" s="185" t="s">
        <v>128</v>
      </c>
      <c r="N304" s="185" t="str">
        <f t="shared" ca="1" si="228"/>
        <v>Offererad produktnr. 11Dustin Sverige AB</v>
      </c>
      <c r="O304" s="185" cm="1">
        <f t="array" aca="1" ref="O304" ca="1">MIN(IF(($BH$302:$BH$313=M304)*($AH$302:$AH$313=$O$299),$V$302:$V$313))</f>
        <v>2190</v>
      </c>
      <c r="P304" s="197">
        <f ca="1">IFERROR(SMALL($V$302:$V$326,3),"")</f>
        <v>2076</v>
      </c>
      <c r="Q304" s="185">
        <f t="shared" si="229"/>
        <v>0</v>
      </c>
      <c r="R304" s="185">
        <f t="shared" si="230"/>
        <v>0</v>
      </c>
      <c r="S304" s="185">
        <f t="shared" si="231"/>
        <v>0</v>
      </c>
      <c r="T304" s="185">
        <f t="shared" si="232"/>
        <v>0</v>
      </c>
      <c r="U304" s="185">
        <f t="shared" si="233"/>
        <v>0</v>
      </c>
      <c r="V304" s="196">
        <f t="shared" ca="1" si="234"/>
        <v>2034</v>
      </c>
      <c r="W304" s="185" t="str">
        <f t="shared" si="235"/>
        <v>Offererad produktnr. 11Atea Sverige AB</v>
      </c>
      <c r="X304" s="185" t="b">
        <f>IF($D$303="",TRUE,IF(COUNTIF(Processor!$I$2:$I$9,$D$303)&gt;0,AND(AI304&gt;INDEX(Processor!$J$2:$J$9,MATCH($D$303,Processor!$I$2:$I$9,0)),AI304&lt;INDEX(Processor!$K$2:$K$9,MATCH($D$303,Processor!$I$2:$I$9,0))),IF(AI304=$D$303,TRUE,FALSE)))</f>
        <v>1</v>
      </c>
      <c r="Y304" s="185" t="b">
        <f t="shared" si="236"/>
        <v>1</v>
      </c>
      <c r="Z304" s="185" t="b">
        <f t="shared" si="237"/>
        <v>1</v>
      </c>
      <c r="AA304" s="185" t="b">
        <f t="shared" si="238"/>
        <v>1</v>
      </c>
      <c r="AB304" s="185" t="b">
        <f t="shared" si="239"/>
        <v>1</v>
      </c>
      <c r="AC304" s="185" t="b">
        <f t="shared" si="240"/>
        <v>1</v>
      </c>
      <c r="AD304" s="185"/>
      <c r="AE304" s="185" t="b">
        <f t="shared" si="241"/>
        <v>1</v>
      </c>
      <c r="AF304" s="185" t="b">
        <f>IFERROR(IF($D310="",TRUE,IF(MID(AT304,LEN(AT304)-2,1)*1&gt;=MID($D310,LEN($D310)-2,1)*1,TRUE,FALSE)),FALSE)</f>
        <v>1</v>
      </c>
      <c r="AG304" s="185" t="s">
        <v>196</v>
      </c>
      <c r="AH304" s="201">
        <v>1</v>
      </c>
      <c r="AI304" s="185">
        <f t="shared" ca="1" si="242"/>
        <v>23.8</v>
      </c>
      <c r="AJ304" s="185" t="str">
        <f t="shared" ca="1" si="242"/>
        <v>1920x1080</v>
      </c>
      <c r="AK304" s="185">
        <f t="shared" ca="1" si="242"/>
        <v>2</v>
      </c>
      <c r="AL304" s="185">
        <f t="shared" ca="1" si="242"/>
        <v>0</v>
      </c>
      <c r="AM304" s="185">
        <f t="shared" ca="1" si="242"/>
        <v>1</v>
      </c>
      <c r="AN304" s="185">
        <f t="shared" ca="1" si="242"/>
        <v>16700000</v>
      </c>
      <c r="AO304" s="185">
        <f t="shared" ca="1" si="242"/>
        <v>250</v>
      </c>
      <c r="AP304" s="185" t="str">
        <f t="shared" ca="1" si="242"/>
        <v>Version 8.0</v>
      </c>
      <c r="AQ304" s="185" t="str">
        <f t="shared" ca="1" si="242"/>
        <v>Ja</v>
      </c>
      <c r="AR304" s="185">
        <f t="shared" ca="1" si="242"/>
        <v>0</v>
      </c>
      <c r="AS304" s="185">
        <f t="shared" ca="1" si="243"/>
        <v>0</v>
      </c>
      <c r="AT304" s="185" t="str">
        <f t="shared" ca="1" si="243"/>
        <v>Version 8.0</v>
      </c>
      <c r="AU304" s="185" t="str">
        <f t="shared" ca="1" si="243"/>
        <v>Ja</v>
      </c>
      <c r="AV304" s="185">
        <f t="shared" ca="1" si="243"/>
        <v>0</v>
      </c>
      <c r="AW304" s="185" t="str">
        <f t="shared" ca="1" si="243"/>
        <v>F24T450FQR</v>
      </c>
      <c r="AX304" s="185">
        <f t="shared" ca="1" si="243"/>
        <v>2034</v>
      </c>
      <c r="AY304" s="192">
        <f t="shared" ca="1" si="243"/>
        <v>778</v>
      </c>
      <c r="AZ304" s="192">
        <f t="shared" ca="1" si="243"/>
        <v>94</v>
      </c>
      <c r="BA304" s="192">
        <f t="shared" ca="1" si="243"/>
        <v>85</v>
      </c>
      <c r="BB304" s="192">
        <f t="shared" ca="1" si="243"/>
        <v>100</v>
      </c>
      <c r="BC304" s="192" t="str">
        <f t="shared" ca="1" si="244"/>
        <v>Targus</v>
      </c>
      <c r="BD304" s="192" t="str">
        <f t="shared" ca="1" si="244"/>
        <v>Targus Privacy Screen - filter för personlig integritet - 23,8 tum bred</v>
      </c>
      <c r="BE304" s="192" t="str">
        <f t="shared" ca="1" si="244"/>
        <v>False</v>
      </c>
      <c r="BF304" s="192" t="str">
        <f t="shared" ca="1" si="244"/>
        <v>False</v>
      </c>
      <c r="BG304" s="192" t="str">
        <f t="shared" ca="1" si="244"/>
        <v>False</v>
      </c>
      <c r="BH304" s="192" t="str">
        <f t="shared" ca="1" si="244"/>
        <v>Atea Sverige AB</v>
      </c>
      <c r="BI304" s="192" t="str">
        <f t="shared" ca="1" si="244"/>
        <v>Samsung</v>
      </c>
      <c r="BJ304" s="199">
        <v>27</v>
      </c>
      <c r="BK304" s="185"/>
      <c r="BL304" s="185">
        <v>4</v>
      </c>
      <c r="BM304" s="185"/>
      <c r="BN304" s="185"/>
      <c r="BO304" s="185"/>
      <c r="BP304" s="185">
        <v>350</v>
      </c>
      <c r="BQ304" s="185"/>
      <c r="BR304" s="185"/>
      <c r="BS304" s="185"/>
      <c r="BT304" s="185"/>
      <c r="BU304" s="185"/>
      <c r="BV304" s="185"/>
    </row>
    <row r="305" spans="2:74" ht="22.5" customHeight="1" outlineLevel="1" x14ac:dyDescent="0.35">
      <c r="B305" t="s">
        <v>272</v>
      </c>
      <c r="C305" s="61" t="s">
        <v>67</v>
      </c>
      <c r="D305" s="64"/>
      <c r="F305" s="78" t="str">
        <f t="shared" si="245"/>
        <v/>
      </c>
      <c r="G305" s="79">
        <f t="shared" ca="1" si="246"/>
        <v>4</v>
      </c>
      <c r="H305" s="79">
        <f t="shared" ca="1" si="246"/>
        <v>2</v>
      </c>
      <c r="I305" s="120">
        <f t="shared" ca="1" si="246"/>
        <v>5</v>
      </c>
      <c r="J305" s="62"/>
      <c r="K305" s="196">
        <f t="shared" ca="1" si="226"/>
        <v>0</v>
      </c>
      <c r="L305" s="185" t="b">
        <f t="shared" si="227"/>
        <v>1</v>
      </c>
      <c r="M305" s="185" t="s">
        <v>169</v>
      </c>
      <c r="N305" s="185" t="str">
        <f t="shared" ca="1" si="228"/>
        <v>Offererad produktnr. 11Foxway Education AB</v>
      </c>
      <c r="O305" s="185" cm="1">
        <f t="array" aca="1" ref="O305" ca="1">MIN(IF(($BH$302:$BH$313=M305)*($AH$302:$AH$313=$O$299),$V$302:$V$313))</f>
        <v>2361</v>
      </c>
      <c r="P305" s="197"/>
      <c r="Q305" s="185">
        <f t="shared" si="229"/>
        <v>0</v>
      </c>
      <c r="R305" s="185">
        <f t="shared" si="230"/>
        <v>0</v>
      </c>
      <c r="S305" s="185">
        <f t="shared" si="231"/>
        <v>0</v>
      </c>
      <c r="T305" s="185">
        <f t="shared" si="232"/>
        <v>0</v>
      </c>
      <c r="U305" s="185">
        <f t="shared" si="233"/>
        <v>0</v>
      </c>
      <c r="V305" s="196">
        <f t="shared" ca="1" si="234"/>
        <v>3234</v>
      </c>
      <c r="W305" s="185" t="str">
        <f t="shared" si="235"/>
        <v>Offererad produktnr. 12Atea Sverige AB</v>
      </c>
      <c r="X305" s="185" t="b">
        <f>IF($D$303="",TRUE,IF(COUNTIF(Processor!$I$2:$I$9,$D$303)&gt;0,AND(AI305&gt;INDEX(Processor!$J$2:$J$9,MATCH($D$303,Processor!$I$2:$I$9,0)),AI305&lt;INDEX(Processor!$K$2:$K$9,MATCH($D$303,Processor!$I$2:$I$9,0))),IF(AI305=$D$303,TRUE,FALSE)))</f>
        <v>1</v>
      </c>
      <c r="Y305" s="185" t="b">
        <f t="shared" si="236"/>
        <v>1</v>
      </c>
      <c r="Z305" s="185" t="b">
        <f t="shared" si="237"/>
        <v>1</v>
      </c>
      <c r="AA305" s="185" t="b">
        <f t="shared" si="238"/>
        <v>1</v>
      </c>
      <c r="AB305" s="185" t="b">
        <f t="shared" si="239"/>
        <v>1</v>
      </c>
      <c r="AC305" s="185" t="b">
        <f t="shared" si="240"/>
        <v>1</v>
      </c>
      <c r="AD305" s="185"/>
      <c r="AE305" s="185" t="b">
        <f t="shared" si="241"/>
        <v>1</v>
      </c>
      <c r="AF305" s="185" t="b">
        <f>IFERROR(IF($D310="",TRUE,IF(MID(AT305,LEN(AT305)-2,1)*1&gt;=MID($D310,LEN($D310)-2,1)*1,TRUE,FALSE)),FALSE)</f>
        <v>1</v>
      </c>
      <c r="AG305" s="185" t="s">
        <v>197</v>
      </c>
      <c r="AH305" s="201">
        <v>1</v>
      </c>
      <c r="AI305" s="185">
        <f t="shared" ca="1" si="242"/>
        <v>27</v>
      </c>
      <c r="AJ305" s="185" t="str">
        <f t="shared" ca="1" si="242"/>
        <v>2560x1440</v>
      </c>
      <c r="AK305" s="185">
        <f t="shared" ca="1" si="242"/>
        <v>4</v>
      </c>
      <c r="AL305" s="185">
        <f t="shared" ca="1" si="242"/>
        <v>0</v>
      </c>
      <c r="AM305" s="185">
        <f t="shared" ca="1" si="242"/>
        <v>1</v>
      </c>
      <c r="AN305" s="185">
        <f t="shared" ca="1" si="242"/>
        <v>1070000000</v>
      </c>
      <c r="AO305" s="185">
        <f t="shared" ca="1" si="242"/>
        <v>300</v>
      </c>
      <c r="AP305" s="185" t="str">
        <f t="shared" ca="1" si="242"/>
        <v>Version 8.0</v>
      </c>
      <c r="AQ305" s="185" t="str">
        <f t="shared" ca="1" si="242"/>
        <v>Ja</v>
      </c>
      <c r="AR305" s="185">
        <f t="shared" ca="1" si="242"/>
        <v>0</v>
      </c>
      <c r="AS305" s="185">
        <f t="shared" ca="1" si="243"/>
        <v>0</v>
      </c>
      <c r="AT305" s="185" t="str">
        <f t="shared" ca="1" si="243"/>
        <v>Version 8.0</v>
      </c>
      <c r="AU305" s="185" t="str">
        <f t="shared" ca="1" si="243"/>
        <v>Ja</v>
      </c>
      <c r="AV305" s="185">
        <f t="shared" ca="1" si="243"/>
        <v>0</v>
      </c>
      <c r="AW305" s="185" t="str">
        <f t="shared" ca="1" si="243"/>
        <v>S27A600NAU</v>
      </c>
      <c r="AX305" s="185">
        <f t="shared" ca="1" si="243"/>
        <v>3234</v>
      </c>
      <c r="AY305" s="192">
        <f t="shared" ca="1" si="243"/>
        <v>1020</v>
      </c>
      <c r="AZ305" s="192">
        <f t="shared" ca="1" si="243"/>
        <v>164</v>
      </c>
      <c r="BA305" s="192">
        <f t="shared" ca="1" si="243"/>
        <v>85</v>
      </c>
      <c r="BB305" s="192">
        <f t="shared" ca="1" si="243"/>
        <v>100</v>
      </c>
      <c r="BC305" s="192" t="str">
        <f t="shared" ca="1" si="244"/>
        <v>Targus</v>
      </c>
      <c r="BD305" s="192" t="str">
        <f t="shared" ca="1" si="244"/>
        <v>Targus Privacy Screen 27" Widescreen (16:9) - filter för personlig integritet - 27 tum bred</v>
      </c>
      <c r="BE305" s="192" t="str">
        <f t="shared" ca="1" si="244"/>
        <v>False</v>
      </c>
      <c r="BF305" s="192" t="str">
        <f t="shared" ca="1" si="244"/>
        <v>False</v>
      </c>
      <c r="BG305" s="192" t="str">
        <f t="shared" ca="1" si="244"/>
        <v>False</v>
      </c>
      <c r="BH305" s="192" t="str">
        <f t="shared" ca="1" si="244"/>
        <v>Atea Sverige AB</v>
      </c>
      <c r="BI305" s="192" t="str">
        <f t="shared" ca="1" si="244"/>
        <v>Samsung</v>
      </c>
      <c r="BJ305" s="199"/>
      <c r="BK305" s="185"/>
      <c r="BL305" s="185">
        <v>5</v>
      </c>
      <c r="BM305" s="185"/>
      <c r="BN305" s="185"/>
      <c r="BO305" s="185"/>
      <c r="BP305" s="185"/>
      <c r="BQ305" s="185"/>
      <c r="BR305" s="185"/>
      <c r="BS305" s="185"/>
      <c r="BT305" s="185"/>
      <c r="BU305" s="185"/>
      <c r="BV305" s="185"/>
    </row>
    <row r="306" spans="2:74" ht="22.5" customHeight="1" outlineLevel="1" x14ac:dyDescent="0.35">
      <c r="C306" s="61" t="s">
        <v>68</v>
      </c>
      <c r="D306" s="64"/>
      <c r="F306" s="78" t="str">
        <f t="shared" si="245"/>
        <v/>
      </c>
      <c r="G306" s="79">
        <f t="shared" ca="1" si="246"/>
        <v>0</v>
      </c>
      <c r="H306" s="79">
        <f t="shared" ca="1" si="246"/>
        <v>0</v>
      </c>
      <c r="I306" s="120">
        <f t="shared" ca="1" si="246"/>
        <v>0</v>
      </c>
      <c r="J306" s="62"/>
      <c r="K306" s="196">
        <f t="shared" ca="1" si="226"/>
        <v>0</v>
      </c>
      <c r="L306" s="185" t="b">
        <f t="shared" si="227"/>
        <v>1</v>
      </c>
      <c r="M306" s="185" t="s">
        <v>167</v>
      </c>
      <c r="N306" s="185" t="str">
        <f t="shared" ca="1" si="228"/>
        <v/>
      </c>
      <c r="O306" s="185" cm="1">
        <f t="array" aca="1" ref="O306" ca="1">MIN(IF(($BH$302:$BH$313=M306)*($AH$302:$AH$313=$O$299),$V$302:$V$313))</f>
        <v>0</v>
      </c>
      <c r="P306" s="197"/>
      <c r="Q306" s="185">
        <f t="shared" si="229"/>
        <v>0</v>
      </c>
      <c r="R306" s="185">
        <f t="shared" si="230"/>
        <v>0</v>
      </c>
      <c r="S306" s="185">
        <f t="shared" si="231"/>
        <v>0</v>
      </c>
      <c r="T306" s="185">
        <f t="shared" si="232"/>
        <v>0</v>
      </c>
      <c r="U306" s="185">
        <f t="shared" si="233"/>
        <v>0</v>
      </c>
      <c r="V306" s="196">
        <f t="shared" ca="1" si="234"/>
        <v>2190</v>
      </c>
      <c r="W306" s="185" t="str">
        <f t="shared" si="235"/>
        <v>Offererad produktnr. 11Dustin Sverige AB</v>
      </c>
      <c r="X306" s="185" t="b">
        <f>IF($D$303="",TRUE,IF(COUNTIF(Processor!$I$2:$I$9,$D$303)&gt;0,AND(AI306&gt;INDEX(Processor!$J$2:$J$9,MATCH($D$303,Processor!$I$2:$I$9,0)),AI306&lt;INDEX(Processor!$K$2:$K$9,MATCH($D$303,Processor!$I$2:$I$9,0))),IF(AI306=$D$303,TRUE,FALSE)))</f>
        <v>1</v>
      </c>
      <c r="Y306" s="185" t="b">
        <f t="shared" si="236"/>
        <v>1</v>
      </c>
      <c r="Z306" s="185" t="b">
        <f t="shared" si="237"/>
        <v>1</v>
      </c>
      <c r="AA306" s="185" t="b">
        <f t="shared" si="238"/>
        <v>1</v>
      </c>
      <c r="AB306" s="185" t="b">
        <f t="shared" si="239"/>
        <v>1</v>
      </c>
      <c r="AC306" s="185" t="b">
        <f t="shared" si="240"/>
        <v>1</v>
      </c>
      <c r="AD306" s="185"/>
      <c r="AE306" s="185" t="b">
        <f t="shared" si="241"/>
        <v>1</v>
      </c>
      <c r="AF306" s="185" t="b">
        <f>IFERROR(IF($D310="",TRUE,IF(MID(AT306,LEN(AT306)-2,1)*1&gt;=MID($D310,LEN($D310)-2,1)*1,TRUE,FALSE)),FALSE)</f>
        <v>1</v>
      </c>
      <c r="AG306" s="185" t="s">
        <v>184</v>
      </c>
      <c r="AH306" s="201">
        <v>1</v>
      </c>
      <c r="AI306" s="185">
        <f t="shared" ca="1" si="242"/>
        <v>23.8</v>
      </c>
      <c r="AJ306" s="185" t="str">
        <f t="shared" ca="1" si="242"/>
        <v>1920x1080</v>
      </c>
      <c r="AK306" s="185">
        <f t="shared" ca="1" si="242"/>
        <v>0</v>
      </c>
      <c r="AL306" s="185">
        <f t="shared" ca="1" si="242"/>
        <v>0</v>
      </c>
      <c r="AM306" s="185">
        <f t="shared" ca="1" si="242"/>
        <v>1</v>
      </c>
      <c r="AN306" s="185">
        <f t="shared" ca="1" si="242"/>
        <v>16700000</v>
      </c>
      <c r="AO306" s="185">
        <f t="shared" ca="1" si="242"/>
        <v>250</v>
      </c>
      <c r="AP306" s="185" t="str">
        <f t="shared" ca="1" si="242"/>
        <v>Version 8.0</v>
      </c>
      <c r="AQ306" s="185" t="str">
        <f t="shared" ca="1" si="242"/>
        <v>Ja</v>
      </c>
      <c r="AR306" s="185">
        <f t="shared" ca="1" si="242"/>
        <v>0</v>
      </c>
      <c r="AS306" s="185">
        <f t="shared" ca="1" si="243"/>
        <v>0</v>
      </c>
      <c r="AT306" s="185" t="str">
        <f t="shared" ca="1" si="243"/>
        <v>Version 8.0</v>
      </c>
      <c r="AU306" s="185" t="str">
        <f t="shared" ca="1" si="243"/>
        <v>Ja</v>
      </c>
      <c r="AV306" s="185">
        <f t="shared" ca="1" si="243"/>
        <v>0</v>
      </c>
      <c r="AW306" s="185" t="str">
        <f t="shared" ca="1" si="243"/>
        <v>HP P24h G5</v>
      </c>
      <c r="AX306" s="185">
        <f t="shared" ca="1" si="243"/>
        <v>2190</v>
      </c>
      <c r="AY306" s="192">
        <f t="shared" ca="1" si="243"/>
        <v>620</v>
      </c>
      <c r="AZ306" s="192">
        <f t="shared" ca="1" si="243"/>
        <v>28</v>
      </c>
      <c r="BA306" s="192">
        <f t="shared" ca="1" si="243"/>
        <v>20</v>
      </c>
      <c r="BB306" s="192">
        <f t="shared" ca="1" si="243"/>
        <v>20</v>
      </c>
      <c r="BC306" s="192" t="str">
        <f t="shared" ca="1" si="244"/>
        <v>Cirafon</v>
      </c>
      <c r="BD306" s="192" t="str">
        <f t="shared" ca="1" si="244"/>
        <v>DPF23.8-9</v>
      </c>
      <c r="BE306" s="192" t="str">
        <f t="shared" ca="1" si="244"/>
        <v>False</v>
      </c>
      <c r="BF306" s="192" t="str">
        <f t="shared" ca="1" si="244"/>
        <v>False</v>
      </c>
      <c r="BG306" s="192" t="str">
        <f t="shared" ca="1" si="244"/>
        <v>False</v>
      </c>
      <c r="BH306" s="192" t="str">
        <f t="shared" ca="1" si="244"/>
        <v>Dustin Sverige AB</v>
      </c>
      <c r="BI306" s="192" t="str">
        <f t="shared" ca="1" si="244"/>
        <v>HP</v>
      </c>
    </row>
    <row r="307" spans="2:74" ht="22.5" customHeight="1" outlineLevel="1" x14ac:dyDescent="0.35">
      <c r="C307" s="61" t="s">
        <v>73</v>
      </c>
      <c r="D307" s="64"/>
      <c r="F307" s="78" t="str">
        <f t="shared" si="245"/>
        <v/>
      </c>
      <c r="G307" s="79">
        <f t="shared" ca="1" si="246"/>
        <v>1</v>
      </c>
      <c r="H307" s="79">
        <f t="shared" ca="1" si="246"/>
        <v>1</v>
      </c>
      <c r="I307" s="120">
        <f t="shared" ca="1" si="246"/>
        <v>1</v>
      </c>
      <c r="J307" s="62"/>
      <c r="K307" s="196">
        <f t="shared" ca="1" si="226"/>
        <v>0</v>
      </c>
      <c r="L307" s="185" t="b">
        <f t="shared" si="227"/>
        <v>1</v>
      </c>
      <c r="M307" s="185" t="s">
        <v>546</v>
      </c>
      <c r="N307" s="185" t="str">
        <f t="shared" ca="1" si="228"/>
        <v>Offererad produktnr. 11Qlosr Göteborg AB</v>
      </c>
      <c r="O307" s="185" cm="1">
        <f t="array" aca="1" ref="O307" ca="1">MIN(IF(($BH$302:$BH$313=M307)*($AH$302:$AH$313=$O$299),$V$302:$V$313))</f>
        <v>2076</v>
      </c>
      <c r="P307" s="197"/>
      <c r="Q307" s="185">
        <f t="shared" si="229"/>
        <v>0</v>
      </c>
      <c r="R307" s="185">
        <f t="shared" si="230"/>
        <v>0</v>
      </c>
      <c r="S307" s="185">
        <f t="shared" si="231"/>
        <v>0</v>
      </c>
      <c r="T307" s="185">
        <f t="shared" si="232"/>
        <v>0</v>
      </c>
      <c r="U307" s="185">
        <f t="shared" si="233"/>
        <v>0</v>
      </c>
      <c r="V307" s="196">
        <f t="shared" ca="1" si="234"/>
        <v>3010</v>
      </c>
      <c r="W307" s="185" t="str">
        <f t="shared" si="235"/>
        <v>Offererad produktnr. 12Dustin Sverige AB</v>
      </c>
      <c r="X307" s="185" t="b">
        <f>IF($D$303="",TRUE,IF(COUNTIF(Processor!$I$2:$I$9,$D$303)&gt;0,AND(AI307&gt;INDEX(Processor!$J$2:$J$9,MATCH($D$303,Processor!$I$2:$I$9,0)),AI307&lt;INDEX(Processor!$K$2:$K$9,MATCH($D$303,Processor!$I$2:$I$9,0))),IF(AI307=$D$303,TRUE,FALSE)))</f>
        <v>1</v>
      </c>
      <c r="Y307" s="185" t="b">
        <f t="shared" si="236"/>
        <v>1</v>
      </c>
      <c r="Z307" s="185" t="b">
        <f t="shared" si="237"/>
        <v>1</v>
      </c>
      <c r="AA307" s="185" t="b">
        <f t="shared" si="238"/>
        <v>1</v>
      </c>
      <c r="AB307" s="185" t="b">
        <f t="shared" si="239"/>
        <v>1</v>
      </c>
      <c r="AC307" s="185" t="b">
        <f t="shared" si="240"/>
        <v>1</v>
      </c>
      <c r="AD307" s="185"/>
      <c r="AE307" s="185" t="b">
        <f t="shared" si="241"/>
        <v>1</v>
      </c>
      <c r="AF307" s="185" t="b">
        <f>IFERROR(IF($D310="",TRUE,IF(MID(AT307,LEN(AT307)-2,1)*1&gt;=MID($D310,LEN($D310)-2,1)*1,TRUE,FALSE)),FALSE)</f>
        <v>1</v>
      </c>
      <c r="AG307" s="185" t="s">
        <v>185</v>
      </c>
      <c r="AH307" s="201">
        <v>1</v>
      </c>
      <c r="AI307" s="185">
        <f t="shared" ca="1" si="242"/>
        <v>27</v>
      </c>
      <c r="AJ307" s="185" t="str">
        <f t="shared" ca="1" si="242"/>
        <v>2560x1440</v>
      </c>
      <c r="AK307" s="185">
        <f t="shared" ca="1" si="242"/>
        <v>4</v>
      </c>
      <c r="AL307" s="185">
        <f t="shared" ca="1" si="242"/>
        <v>0</v>
      </c>
      <c r="AM307" s="185">
        <f t="shared" ca="1" si="242"/>
        <v>1</v>
      </c>
      <c r="AN307" s="185">
        <f t="shared" ca="1" si="242"/>
        <v>16700000</v>
      </c>
      <c r="AO307" s="185">
        <f t="shared" ca="1" si="242"/>
        <v>350</v>
      </c>
      <c r="AP307" s="185" t="str">
        <f t="shared" ca="1" si="242"/>
        <v>Version 8.0</v>
      </c>
      <c r="AQ307" s="185" t="str">
        <f t="shared" ca="1" si="242"/>
        <v>Ja</v>
      </c>
      <c r="AR307" s="185">
        <f t="shared" ca="1" si="242"/>
        <v>0</v>
      </c>
      <c r="AS307" s="185">
        <f t="shared" ca="1" si="243"/>
        <v>0</v>
      </c>
      <c r="AT307" s="185" t="str">
        <f t="shared" ca="1" si="243"/>
        <v>Version 8.0</v>
      </c>
      <c r="AU307" s="185" t="str">
        <f t="shared" ca="1" si="243"/>
        <v>Ja</v>
      </c>
      <c r="AV307" s="185">
        <f t="shared" ca="1" si="243"/>
        <v>0</v>
      </c>
      <c r="AW307" s="185" t="str">
        <f t="shared" ca="1" si="243"/>
        <v>HP E27Q G5 PVC Free </v>
      </c>
      <c r="AX307" s="185">
        <f t="shared" ca="1" si="243"/>
        <v>3010</v>
      </c>
      <c r="AY307" s="192">
        <f t="shared" ca="1" si="243"/>
        <v>700</v>
      </c>
      <c r="AZ307" s="192">
        <f t="shared" ca="1" si="243"/>
        <v>28</v>
      </c>
      <c r="BA307" s="192">
        <f t="shared" ca="1" si="243"/>
        <v>20</v>
      </c>
      <c r="BB307" s="192">
        <f t="shared" ca="1" si="243"/>
        <v>20</v>
      </c>
      <c r="BC307" s="192" t="str">
        <f t="shared" ca="1" si="244"/>
        <v>Cirafon</v>
      </c>
      <c r="BD307" s="192" t="str">
        <f t="shared" ca="1" si="244"/>
        <v>DPF27-9</v>
      </c>
      <c r="BE307" s="192" t="str">
        <f t="shared" ca="1" si="244"/>
        <v>False</v>
      </c>
      <c r="BF307" s="192" t="str">
        <f t="shared" ca="1" si="244"/>
        <v>False</v>
      </c>
      <c r="BG307" s="192" t="str">
        <f t="shared" ca="1" si="244"/>
        <v>False</v>
      </c>
      <c r="BH307" s="192" t="str">
        <f t="shared" ca="1" si="244"/>
        <v>Dustin Sverige AB</v>
      </c>
      <c r="BI307" s="192" t="str">
        <f t="shared" ca="1" si="244"/>
        <v>HP</v>
      </c>
    </row>
    <row r="308" spans="2:74" ht="22.5" customHeight="1" outlineLevel="1" x14ac:dyDescent="0.35">
      <c r="C308" s="61" t="s">
        <v>13</v>
      </c>
      <c r="D308" s="135"/>
      <c r="F308" s="176" t="str">
        <f t="shared" si="245"/>
        <v/>
      </c>
      <c r="G308" s="136">
        <f t="shared" ca="1" si="246"/>
        <v>16700000</v>
      </c>
      <c r="H308" s="136">
        <f t="shared" ca="1" si="246"/>
        <v>16700000</v>
      </c>
      <c r="I308" s="137">
        <f t="shared" ca="1" si="246"/>
        <v>16700000</v>
      </c>
      <c r="J308" s="62"/>
      <c r="Q308" s="185">
        <f t="shared" si="229"/>
        <v>0</v>
      </c>
      <c r="R308" s="185">
        <f t="shared" si="230"/>
        <v>0</v>
      </c>
      <c r="S308" s="185">
        <f t="shared" si="231"/>
        <v>0</v>
      </c>
      <c r="T308" s="185">
        <f t="shared" si="232"/>
        <v>0</v>
      </c>
      <c r="U308" s="185">
        <f t="shared" si="233"/>
        <v>0</v>
      </c>
      <c r="V308" s="196">
        <f t="shared" ca="1" si="234"/>
        <v>2361</v>
      </c>
      <c r="W308" s="185" t="str">
        <f t="shared" si="235"/>
        <v>Offererad produktnr. 11Foxway Education AB</v>
      </c>
      <c r="X308" s="185" t="b">
        <f>IF($D$303="",TRUE,IF(COUNTIF(Processor!$I$2:$I$9,$D$303)&gt;0,AND(AI308&gt;INDEX(Processor!$J$2:$J$9,MATCH($D$303,Processor!$I$2:$I$9,0)),AI308&lt;INDEX(Processor!$K$2:$K$9,MATCH($D$303,Processor!$I$2:$I$9,0))),IF(AI308=$D$303,TRUE,FALSE)))</f>
        <v>1</v>
      </c>
      <c r="Y308" s="185" t="b">
        <f t="shared" si="236"/>
        <v>1</v>
      </c>
      <c r="Z308" s="185" t="b">
        <f t="shared" si="237"/>
        <v>1</v>
      </c>
      <c r="AA308" s="185" t="b">
        <f t="shared" si="238"/>
        <v>1</v>
      </c>
      <c r="AB308" s="185" t="b">
        <f t="shared" si="239"/>
        <v>1</v>
      </c>
      <c r="AC308" s="185" t="b">
        <f t="shared" si="240"/>
        <v>1</v>
      </c>
      <c r="AD308" s="185"/>
      <c r="AE308" s="185" t="b">
        <f t="shared" si="241"/>
        <v>1</v>
      </c>
      <c r="AF308" s="185" t="b">
        <f>IFERROR(IF($D310="",TRUE,IF(MID(AT308,LEN(AT308)-2,1)*1&gt;=MID($D310,LEN($D310)-2,1)*1,TRUE,FALSE)),FALSE)</f>
        <v>1</v>
      </c>
      <c r="AG308" s="185" t="s">
        <v>220</v>
      </c>
      <c r="AH308" s="201">
        <v>1</v>
      </c>
      <c r="AI308" s="185">
        <f t="shared" ca="1" si="242"/>
        <v>23.8</v>
      </c>
      <c r="AJ308" s="185" t="str">
        <f t="shared" ca="1" si="242"/>
        <v>1920x1080</v>
      </c>
      <c r="AK308" s="185">
        <f t="shared" ca="1" si="242"/>
        <v>0</v>
      </c>
      <c r="AL308" s="185">
        <f t="shared" ca="1" si="242"/>
        <v>0</v>
      </c>
      <c r="AM308" s="185">
        <f t="shared" ca="1" si="242"/>
        <v>1</v>
      </c>
      <c r="AN308" s="185">
        <f t="shared" ca="1" si="242"/>
        <v>16700000</v>
      </c>
      <c r="AO308" s="185">
        <f t="shared" ca="1" si="242"/>
        <v>250</v>
      </c>
      <c r="AP308" s="185" t="str">
        <f t="shared" ca="1" si="242"/>
        <v>Version 8.0</v>
      </c>
      <c r="AQ308" s="185" t="str">
        <f t="shared" ca="1" si="242"/>
        <v>Ja</v>
      </c>
      <c r="AR308" s="185">
        <f t="shared" ca="1" si="242"/>
        <v>0</v>
      </c>
      <c r="AS308" s="185">
        <f t="shared" ca="1" si="243"/>
        <v>0</v>
      </c>
      <c r="AT308" s="185" t="str">
        <f t="shared" ca="1" si="243"/>
        <v>Version 8.0</v>
      </c>
      <c r="AU308" s="185" t="str">
        <f t="shared" ca="1" si="243"/>
        <v>Ja</v>
      </c>
      <c r="AV308" s="185">
        <f t="shared" ca="1" si="243"/>
        <v>0</v>
      </c>
      <c r="AW308" s="185" t="str">
        <f t="shared" ca="1" si="243"/>
        <v>E24-29</v>
      </c>
      <c r="AX308" s="185">
        <f t="shared" ca="1" si="243"/>
        <v>2361</v>
      </c>
      <c r="AY308" s="192">
        <f t="shared" ca="1" si="243"/>
        <v>516</v>
      </c>
      <c r="AZ308" s="192">
        <f t="shared" ca="1" si="243"/>
        <v>90</v>
      </c>
      <c r="BA308" s="192">
        <f t="shared" ca="1" si="243"/>
        <v>60</v>
      </c>
      <c r="BB308" s="192">
        <f t="shared" ca="1" si="243"/>
        <v>50</v>
      </c>
      <c r="BC308" s="192" t="str">
        <f t="shared" ca="1" si="244"/>
        <v>Targus</v>
      </c>
      <c r="BD308" s="192" t="str">
        <f t="shared" ca="1" si="244"/>
        <v>Targus Privacy Screen 23.8"</v>
      </c>
      <c r="BE308" s="192" t="str">
        <f t="shared" ca="1" si="244"/>
        <v>False</v>
      </c>
      <c r="BF308" s="192" t="str">
        <f t="shared" ca="1" si="244"/>
        <v>False</v>
      </c>
      <c r="BG308" s="192" t="str">
        <f t="shared" ca="1" si="244"/>
        <v>False</v>
      </c>
      <c r="BH308" s="192" t="str">
        <f t="shared" ca="1" si="244"/>
        <v>Foxway Education AB</v>
      </c>
      <c r="BI308" s="192" t="str">
        <f t="shared" ca="1" si="244"/>
        <v>Lenovo</v>
      </c>
    </row>
    <row r="309" spans="2:74" ht="22.5" customHeight="1" outlineLevel="1" x14ac:dyDescent="0.35">
      <c r="C309" s="61" t="s">
        <v>14</v>
      </c>
      <c r="D309" s="64"/>
      <c r="F309" s="78" t="str">
        <f t="shared" si="245"/>
        <v/>
      </c>
      <c r="G309" s="79">
        <f t="shared" ca="1" si="246"/>
        <v>250</v>
      </c>
      <c r="H309" s="79">
        <f t="shared" ca="1" si="246"/>
        <v>250</v>
      </c>
      <c r="I309" s="120">
        <f t="shared" ca="1" si="246"/>
        <v>250</v>
      </c>
      <c r="J309" s="62"/>
      <c r="Q309" s="185">
        <f t="shared" si="229"/>
        <v>0</v>
      </c>
      <c r="R309" s="185">
        <f t="shared" si="230"/>
        <v>0</v>
      </c>
      <c r="S309" s="185">
        <f t="shared" si="231"/>
        <v>0</v>
      </c>
      <c r="T309" s="185">
        <f t="shared" si="232"/>
        <v>0</v>
      </c>
      <c r="U309" s="185">
        <f t="shared" si="233"/>
        <v>0</v>
      </c>
      <c r="V309" s="196">
        <f t="shared" ca="1" si="234"/>
        <v>3002</v>
      </c>
      <c r="W309" s="185" t="str">
        <f t="shared" si="235"/>
        <v>Offererad produktnr. 12Foxway Education AB</v>
      </c>
      <c r="X309" s="185" t="b">
        <f>IF($D$303="",TRUE,IF(COUNTIF(Processor!$I$2:$I$9,$D$303)&gt;0,AND(AI309&gt;INDEX(Processor!$J$2:$J$9,MATCH($D$303,Processor!$I$2:$I$9,0)),AI309&lt;INDEX(Processor!$K$2:$K$9,MATCH($D$303,Processor!$I$2:$I$9,0))),IF(AI309=$D$303,TRUE,FALSE)))</f>
        <v>1</v>
      </c>
      <c r="Y309" s="185" t="b">
        <f t="shared" si="236"/>
        <v>1</v>
      </c>
      <c r="Z309" s="185" t="b">
        <f t="shared" si="237"/>
        <v>1</v>
      </c>
      <c r="AA309" s="185" t="b">
        <f t="shared" si="238"/>
        <v>1</v>
      </c>
      <c r="AB309" s="185" t="b">
        <f t="shared" si="239"/>
        <v>1</v>
      </c>
      <c r="AC309" s="185" t="b">
        <f t="shared" si="240"/>
        <v>1</v>
      </c>
      <c r="AD309" s="185"/>
      <c r="AE309" s="185" t="b">
        <f t="shared" si="241"/>
        <v>1</v>
      </c>
      <c r="AF309" s="185" t="b">
        <f>IFERROR(IF($D310="",TRUE,IF(MID(AT309,LEN(AT309)-2,1)*1&gt;=MID($D310,LEN($D310)-2,1)*1,TRUE,FALSE)),FALSE)</f>
        <v>1</v>
      </c>
      <c r="AG309" s="185" t="s">
        <v>221</v>
      </c>
      <c r="AH309" s="201">
        <v>1</v>
      </c>
      <c r="AI309" s="185">
        <f t="shared" ca="1" si="242"/>
        <v>27</v>
      </c>
      <c r="AJ309" s="185" t="str">
        <f t="shared" ca="1" si="242"/>
        <v>2560x1440</v>
      </c>
      <c r="AK309" s="185">
        <f t="shared" ca="1" si="242"/>
        <v>0</v>
      </c>
      <c r="AL309" s="185">
        <f t="shared" ca="1" si="242"/>
        <v>0</v>
      </c>
      <c r="AM309" s="185">
        <f t="shared" ca="1" si="242"/>
        <v>1</v>
      </c>
      <c r="AN309" s="185">
        <f t="shared" ca="1" si="242"/>
        <v>16700000</v>
      </c>
      <c r="AO309" s="185">
        <f t="shared" ca="1" si="242"/>
        <v>350</v>
      </c>
      <c r="AP309" s="185" t="str">
        <f t="shared" ca="1" si="242"/>
        <v>Version 8.0</v>
      </c>
      <c r="AQ309" s="185" t="str">
        <f t="shared" ca="1" si="242"/>
        <v>Ja</v>
      </c>
      <c r="AR309" s="185">
        <f t="shared" ca="1" si="242"/>
        <v>0</v>
      </c>
      <c r="AS309" s="185">
        <f t="shared" ca="1" si="243"/>
        <v>0</v>
      </c>
      <c r="AT309" s="185" t="str">
        <f t="shared" ca="1" si="243"/>
        <v>Version 8.0</v>
      </c>
      <c r="AU309" s="185" t="str">
        <f t="shared" ca="1" si="243"/>
        <v>Ja</v>
      </c>
      <c r="AV309" s="185">
        <f t="shared" ca="1" si="243"/>
        <v>0</v>
      </c>
      <c r="AW309" s="185" t="str">
        <f t="shared" ca="1" si="243"/>
        <v>E27q-20</v>
      </c>
      <c r="AX309" s="185">
        <f t="shared" ca="1" si="243"/>
        <v>3002</v>
      </c>
      <c r="AY309" s="192">
        <f t="shared" ca="1" si="243"/>
        <v>672</v>
      </c>
      <c r="AZ309" s="192">
        <f t="shared" ca="1" si="243"/>
        <v>90</v>
      </c>
      <c r="BA309" s="192">
        <f t="shared" ca="1" si="243"/>
        <v>60</v>
      </c>
      <c r="BB309" s="192">
        <f t="shared" ca="1" si="243"/>
        <v>50</v>
      </c>
      <c r="BC309" s="192" t="str">
        <f t="shared" ca="1" si="244"/>
        <v>Targus</v>
      </c>
      <c r="BD309" s="192" t="str">
        <f t="shared" ca="1" si="244"/>
        <v>Targus Privacy Screen 27"</v>
      </c>
      <c r="BE309" s="192" t="str">
        <f t="shared" ca="1" si="244"/>
        <v>False</v>
      </c>
      <c r="BF309" s="192" t="str">
        <f t="shared" ca="1" si="244"/>
        <v>False</v>
      </c>
      <c r="BG309" s="192" t="str">
        <f t="shared" ca="1" si="244"/>
        <v>False</v>
      </c>
      <c r="BH309" s="192" t="str">
        <f t="shared" ca="1" si="244"/>
        <v>Foxway Education AB</v>
      </c>
      <c r="BI309" s="192" t="str">
        <f t="shared" ca="1" si="244"/>
        <v>Lenovo</v>
      </c>
    </row>
    <row r="310" spans="2:74" ht="22.5" customHeight="1" outlineLevel="1" x14ac:dyDescent="0.35">
      <c r="C310" s="61" t="s">
        <v>38</v>
      </c>
      <c r="D310" s="64"/>
      <c r="F310" s="78" t="str">
        <f t="shared" si="245"/>
        <v/>
      </c>
      <c r="G310" s="79" t="str">
        <f t="shared" ca="1" si="246"/>
        <v>Version 8.0</v>
      </c>
      <c r="H310" s="79" t="str">
        <f t="shared" ca="1" si="246"/>
        <v>Version 8.0</v>
      </c>
      <c r="I310" s="120" t="str">
        <f t="shared" ca="1" si="246"/>
        <v>Version 8.0</v>
      </c>
      <c r="J310" s="62"/>
      <c r="Q310" s="185">
        <f t="shared" si="229"/>
        <v>0</v>
      </c>
      <c r="R310" s="185">
        <f t="shared" si="230"/>
        <v>0</v>
      </c>
      <c r="S310" s="185">
        <f t="shared" si="231"/>
        <v>0</v>
      </c>
      <c r="T310" s="185">
        <f t="shared" si="232"/>
        <v>0</v>
      </c>
      <c r="U310" s="185">
        <f t="shared" si="233"/>
        <v>0</v>
      </c>
      <c r="V310" s="196">
        <f t="shared" ca="1" si="234"/>
        <v>2076</v>
      </c>
      <c r="W310" s="185" t="str">
        <f t="shared" si="235"/>
        <v>Offererad produktnr. 11Qlosr Göteborg AB</v>
      </c>
      <c r="X310" s="185" t="b">
        <f>IF($D$303="",TRUE,IF(COUNTIF(Processor!$I$2:$I$9,$D$303)&gt;0,AND(AI310&gt;INDEX(Processor!$J$2:$J$9,MATCH($D$303,Processor!$I$2:$I$9,0)),AI310&lt;INDEX(Processor!$K$2:$K$9,MATCH($D$303,Processor!$I$2:$I$9,0))),IF(AI310=$D$303,TRUE,FALSE)))</f>
        <v>1</v>
      </c>
      <c r="Y310" s="185" t="b">
        <f t="shared" si="236"/>
        <v>1</v>
      </c>
      <c r="Z310" s="185" t="b">
        <f t="shared" si="237"/>
        <v>1</v>
      </c>
      <c r="AA310" s="185" t="b">
        <f t="shared" si="238"/>
        <v>1</v>
      </c>
      <c r="AB310" s="185" t="b">
        <f t="shared" si="239"/>
        <v>1</v>
      </c>
      <c r="AC310" s="185" t="b">
        <f t="shared" si="240"/>
        <v>1</v>
      </c>
      <c r="AD310" s="185"/>
      <c r="AE310" s="185" t="b">
        <f t="shared" si="241"/>
        <v>1</v>
      </c>
      <c r="AF310" s="185" t="b">
        <f>IFERROR(IF($D310="",TRUE,IF(MID(AT310,LEN(AT310)-2,1)*1&gt;=MID($D310,LEN($D310)-2,1)*1,TRUE,FALSE)),FALSE)</f>
        <v>1</v>
      </c>
      <c r="AG310" s="185" t="s">
        <v>562</v>
      </c>
      <c r="AH310" s="201">
        <v>1</v>
      </c>
      <c r="AI310" s="185">
        <f t="shared" ca="1" si="242"/>
        <v>23.8</v>
      </c>
      <c r="AJ310" s="185" t="str">
        <f t="shared" ca="1" si="242"/>
        <v>1920x1080</v>
      </c>
      <c r="AK310" s="185">
        <f t="shared" ca="1" si="242"/>
        <v>5</v>
      </c>
      <c r="AL310" s="185">
        <f t="shared" ca="1" si="242"/>
        <v>0</v>
      </c>
      <c r="AM310" s="185">
        <f t="shared" ca="1" si="242"/>
        <v>1</v>
      </c>
      <c r="AN310" s="185">
        <f t="shared" ca="1" si="242"/>
        <v>16700000</v>
      </c>
      <c r="AO310" s="185">
        <f t="shared" ca="1" si="242"/>
        <v>250</v>
      </c>
      <c r="AP310" s="185" t="str">
        <f t="shared" ca="1" si="242"/>
        <v>Version 8.0</v>
      </c>
      <c r="AQ310" s="185" t="str">
        <f t="shared" ca="1" si="242"/>
        <v>Ja</v>
      </c>
      <c r="AR310" s="185">
        <f t="shared" ca="1" si="242"/>
        <v>0</v>
      </c>
      <c r="AS310" s="185">
        <f t="shared" ca="1" si="243"/>
        <v>0</v>
      </c>
      <c r="AT310" s="185" t="str">
        <f t="shared" ca="1" si="243"/>
        <v>Version 8.0</v>
      </c>
      <c r="AU310" s="185" t="str">
        <f t="shared" ca="1" si="243"/>
        <v>Ja</v>
      </c>
      <c r="AV310" s="185">
        <f t="shared" ca="1" si="243"/>
        <v>0</v>
      </c>
      <c r="AW310" s="185" t="str">
        <f t="shared" ca="1" si="243"/>
        <v>P2422h</v>
      </c>
      <c r="AX310" s="185">
        <f t="shared" ca="1" si="243"/>
        <v>2076</v>
      </c>
      <c r="AY310" s="192">
        <f t="shared" ca="1" si="243"/>
        <v>540</v>
      </c>
      <c r="AZ310" s="192">
        <f t="shared" ca="1" si="243"/>
        <v>89</v>
      </c>
      <c r="BA310" s="192">
        <f t="shared" ca="1" si="243"/>
        <v>25</v>
      </c>
      <c r="BB310" s="192">
        <f t="shared" ca="1" si="243"/>
        <v>25</v>
      </c>
      <c r="BC310" s="192" t="str">
        <f t="shared" ca="1" si="244"/>
        <v>Kapsolo</v>
      </c>
      <c r="BD310" s="192" t="str">
        <f t="shared" ca="1" si="244"/>
        <v>GBXKAP10786</v>
      </c>
      <c r="BE310" s="192" t="str">
        <f t="shared" ca="1" si="244"/>
        <v>False</v>
      </c>
      <c r="BF310" s="192" t="str">
        <f t="shared" ca="1" si="244"/>
        <v>False</v>
      </c>
      <c r="BG310" s="192" t="str">
        <f t="shared" ca="1" si="244"/>
        <v>False</v>
      </c>
      <c r="BH310" s="192" t="str">
        <f t="shared" ca="1" si="244"/>
        <v>Qlosr Göteborg AB</v>
      </c>
      <c r="BI310" s="192" t="str">
        <f t="shared" ca="1" si="244"/>
        <v>Dell</v>
      </c>
    </row>
    <row r="311" spans="2:74" ht="22.5" customHeight="1" outlineLevel="1" x14ac:dyDescent="0.35">
      <c r="C311" s="61" t="s">
        <v>37</v>
      </c>
      <c r="D311" s="64"/>
      <c r="F311" s="78" t="str">
        <f t="shared" si="245"/>
        <v/>
      </c>
      <c r="G311" s="79" t="str">
        <f t="shared" ca="1" si="246"/>
        <v>Ja</v>
      </c>
      <c r="H311" s="79" t="str">
        <f t="shared" ca="1" si="246"/>
        <v>Ja</v>
      </c>
      <c r="I311" s="120" t="str">
        <f t="shared" ca="1" si="246"/>
        <v>Ja</v>
      </c>
      <c r="J311" s="62"/>
      <c r="Q311" s="185">
        <f t="shared" si="229"/>
        <v>0</v>
      </c>
      <c r="R311" s="185">
        <f t="shared" si="230"/>
        <v>0</v>
      </c>
      <c r="S311" s="185">
        <f t="shared" si="231"/>
        <v>0</v>
      </c>
      <c r="T311" s="185">
        <f t="shared" si="232"/>
        <v>0</v>
      </c>
      <c r="U311" s="185">
        <f t="shared" si="233"/>
        <v>0</v>
      </c>
      <c r="V311" s="196">
        <f t="shared" ca="1" si="234"/>
        <v>2430</v>
      </c>
      <c r="W311" s="185" t="str">
        <f t="shared" si="235"/>
        <v>Offererad produktnr. 12Qlosr Göteborg AB</v>
      </c>
      <c r="X311" s="185" t="b">
        <f>IF($D$303="",TRUE,IF(COUNTIF(Processor!$I$2:$I$9,$D$303)&gt;0,AND(AI311&gt;INDEX(Processor!$J$2:$J$9,MATCH($D$303,Processor!$I$2:$I$9,0)),AI311&lt;INDEX(Processor!$K$2:$K$9,MATCH($D$303,Processor!$I$2:$I$9,0))),IF(AI311=$D$303,TRUE,FALSE)))</f>
        <v>1</v>
      </c>
      <c r="Y311" s="185" t="b">
        <f t="shared" si="236"/>
        <v>1</v>
      </c>
      <c r="Z311" s="185" t="b">
        <f t="shared" si="237"/>
        <v>1</v>
      </c>
      <c r="AA311" s="185" t="b">
        <f t="shared" si="238"/>
        <v>1</v>
      </c>
      <c r="AB311" s="185" t="b">
        <f t="shared" si="239"/>
        <v>1</v>
      </c>
      <c r="AC311" s="185" t="b">
        <f t="shared" si="240"/>
        <v>1</v>
      </c>
      <c r="AD311" s="185"/>
      <c r="AE311" s="185" t="b">
        <f t="shared" si="241"/>
        <v>1</v>
      </c>
      <c r="AF311" s="185" t="b">
        <f>IFERROR(IF($D310="",TRUE,IF(MID(AT311,LEN(AT311)-2,1)*1&gt;=MID($D310,LEN($D310)-2,1)*1,TRUE,FALSE)),FALSE)</f>
        <v>1</v>
      </c>
      <c r="AG311" s="185" t="s">
        <v>563</v>
      </c>
      <c r="AH311" s="201">
        <v>1</v>
      </c>
      <c r="AI311" s="185">
        <f t="shared" ca="1" si="242"/>
        <v>27</v>
      </c>
      <c r="AJ311" s="185" t="str">
        <f t="shared" ca="1" si="242"/>
        <v>2560x1440</v>
      </c>
      <c r="AK311" s="185">
        <f t="shared" ca="1" si="242"/>
        <v>0</v>
      </c>
      <c r="AL311" s="185">
        <f t="shared" ca="1" si="242"/>
        <v>0</v>
      </c>
      <c r="AM311" s="185">
        <f t="shared" ca="1" si="242"/>
        <v>1</v>
      </c>
      <c r="AN311" s="185">
        <f t="shared" ca="1" si="242"/>
        <v>16700000</v>
      </c>
      <c r="AO311" s="185">
        <f t="shared" ca="1" si="242"/>
        <v>350</v>
      </c>
      <c r="AP311" s="185" t="str">
        <f t="shared" ca="1" si="242"/>
        <v>Version 8.0</v>
      </c>
      <c r="AQ311" s="185" t="str">
        <f t="shared" ca="1" si="242"/>
        <v>Ja</v>
      </c>
      <c r="AR311" s="185">
        <f t="shared" ca="1" si="242"/>
        <v>0</v>
      </c>
      <c r="AS311" s="185">
        <f t="shared" ca="1" si="243"/>
        <v>0</v>
      </c>
      <c r="AT311" s="185" t="str">
        <f t="shared" ca="1" si="243"/>
        <v>Version 8.0</v>
      </c>
      <c r="AU311" s="185" t="str">
        <f t="shared" ca="1" si="243"/>
        <v>Ja</v>
      </c>
      <c r="AV311" s="185">
        <f t="shared" ca="1" si="243"/>
        <v>0</v>
      </c>
      <c r="AW311" s="185" t="str">
        <f t="shared" ca="1" si="243"/>
        <v>E27q-20</v>
      </c>
      <c r="AX311" s="185">
        <f t="shared" ca="1" si="243"/>
        <v>2430</v>
      </c>
      <c r="AY311" s="192">
        <f t="shared" ca="1" si="243"/>
        <v>669</v>
      </c>
      <c r="AZ311" s="192">
        <f t="shared" ca="1" si="243"/>
        <v>89</v>
      </c>
      <c r="BA311" s="192">
        <f t="shared" ca="1" si="243"/>
        <v>25</v>
      </c>
      <c r="BB311" s="192">
        <f t="shared" ca="1" si="243"/>
        <v>25</v>
      </c>
      <c r="BC311" s="192" t="str">
        <f t="shared" ca="1" si="244"/>
        <v>Kapsolo</v>
      </c>
      <c r="BD311" s="192" t="str">
        <f t="shared" ca="1" si="244"/>
        <v>GBXKAP11019</v>
      </c>
      <c r="BE311" s="192" t="str">
        <f t="shared" ca="1" si="244"/>
        <v>False</v>
      </c>
      <c r="BF311" s="192" t="str">
        <f t="shared" ca="1" si="244"/>
        <v>False</v>
      </c>
      <c r="BG311" s="192" t="str">
        <f t="shared" ca="1" si="244"/>
        <v>False</v>
      </c>
      <c r="BH311" s="192" t="str">
        <f t="shared" ca="1" si="244"/>
        <v>Qlosr Göteborg AB</v>
      </c>
      <c r="BI311" s="192" t="str">
        <f t="shared" ca="1" si="244"/>
        <v>Lenovo</v>
      </c>
    </row>
    <row r="312" spans="2:74" ht="22.5" customHeight="1" outlineLevel="1" x14ac:dyDescent="0.35">
      <c r="C312" s="66"/>
      <c r="D312" s="67"/>
      <c r="G312" s="62"/>
      <c r="H312" s="62"/>
      <c r="I312" s="62"/>
      <c r="J312" s="94"/>
      <c r="AH312" s="50"/>
      <c r="AY312" s="63"/>
      <c r="AZ312" s="63"/>
      <c r="BA312" s="63"/>
      <c r="BB312" s="63"/>
      <c r="BC312" s="63"/>
      <c r="BD312" s="63"/>
      <c r="BE312" s="63"/>
      <c r="BF312" s="63"/>
      <c r="BG312" s="63"/>
      <c r="BH312" s="63"/>
      <c r="BI312" s="63"/>
    </row>
    <row r="313" spans="2:74" ht="22.5" customHeight="1" outlineLevel="1" x14ac:dyDescent="0.35">
      <c r="C313" s="212" t="s">
        <v>366</v>
      </c>
      <c r="D313" s="213"/>
      <c r="E313" s="213"/>
      <c r="F313" s="213"/>
      <c r="G313" s="213"/>
      <c r="H313" s="213"/>
      <c r="I313" s="214"/>
      <c r="J313" s="62"/>
      <c r="AH313" s="50"/>
      <c r="AY313" s="63"/>
      <c r="AZ313" s="63"/>
      <c r="BA313" s="63"/>
      <c r="BB313" s="63"/>
      <c r="BC313" s="63"/>
      <c r="BD313" s="63"/>
      <c r="BE313" s="63"/>
      <c r="BF313" s="63"/>
      <c r="BG313" s="63"/>
      <c r="BH313" s="63"/>
      <c r="BI313" s="63"/>
    </row>
    <row r="314" spans="2:74" ht="22.5" customHeight="1" outlineLevel="1" x14ac:dyDescent="0.35">
      <c r="B314" s="69" t="s">
        <v>53</v>
      </c>
      <c r="C314" s="115" t="s">
        <v>77</v>
      </c>
      <c r="D314" s="70"/>
      <c r="F314" s="161" t="str">
        <f>IF(F$300="Inget antal angivet","",IFERROR(INDEX($AI$301:$BI$326,MATCH(F$297,$AG$301:$AG$326,0),MATCH($B314,$AI$301:$BI$301,0)),""))</f>
        <v/>
      </c>
      <c r="G314" s="162">
        <f ca="1">IFERROR(INDEX($AI$301:$BI$326,MATCH(G$297,$AG$301:$AG$326,0),MATCH($B314,$AI$301:$BI$301,0)),"")</f>
        <v>639</v>
      </c>
      <c r="H314" s="162">
        <f ca="1">IFERROR(INDEX($AI$301:$BI$326,MATCH(H$297,$AG$301:$AG$326,0),MATCH($B314,$AI$301:$BI$301,0)),"")</f>
        <v>778</v>
      </c>
      <c r="I314" s="162">
        <f ca="1">IFERROR(INDEX($AI$301:$BI$326,MATCH(I$297,$AG$301:$AG$326,0),MATCH($B314,$AI$301:$BI$301,0)),"")</f>
        <v>540</v>
      </c>
      <c r="J314" s="62"/>
      <c r="AY314" s="63"/>
      <c r="AZ314" s="63"/>
      <c r="BA314" s="63"/>
      <c r="BB314" s="63"/>
      <c r="BC314" s="63"/>
      <c r="BD314" s="63"/>
      <c r="BE314" s="63"/>
      <c r="BF314" s="63"/>
      <c r="BG314" s="63"/>
      <c r="BH314" s="63"/>
      <c r="BI314" s="63"/>
    </row>
    <row r="315" spans="2:74" ht="22.5" customHeight="1" outlineLevel="1" x14ac:dyDescent="0.35">
      <c r="B315" s="69" t="s">
        <v>340</v>
      </c>
      <c r="C315" s="96" t="s">
        <v>51</v>
      </c>
      <c r="D315" s="131" t="str">
        <f>IF("Ska Ingå"=D314,"Ska Ingå","")</f>
        <v/>
      </c>
      <c r="F315" s="84" t="str">
        <f>IF(F$300="Inget antal angivet","",IFERROR(INDEX($AI$301:$BI$326,MATCH(F$297,$AG$301:$AG$326,0),MATCH($B315,$AI$301:$BI$301,0)),""))</f>
        <v/>
      </c>
      <c r="G315" s="85" t="str">
        <f ca="1">IFERROR(INDEX($AI$301:$BI$326,MATCH(G$297,$AG$301:$AG$326,0),MATCH($B315,$AI$301:$BI$301,0)),"")</f>
        <v>eSTUFF</v>
      </c>
      <c r="H315" s="85" t="str">
        <f ca="1">IFERROR(INDEX($AI$301:$BI$326,MATCH(H$297,$AG$301:$AG$326,0),MATCH($B315,$AI$301:$BI$301,0)),"")</f>
        <v>Targus</v>
      </c>
      <c r="I315" s="85" t="str">
        <f ca="1">IFERROR(INDEX($AI$301:$BI$326,MATCH(I$297,$AG$301:$AG$326,0),MATCH($C315,$AI$301:$BI$301,0)),"")</f>
        <v>Dell</v>
      </c>
      <c r="J315" s="62"/>
      <c r="AY315" s="63"/>
      <c r="AZ315" s="63"/>
      <c r="BA315" s="63"/>
      <c r="BB315" s="63"/>
      <c r="BC315" s="63"/>
      <c r="BD315" s="63"/>
      <c r="BE315" s="63"/>
      <c r="BF315" s="63"/>
      <c r="BG315" s="63"/>
      <c r="BH315" s="63"/>
      <c r="BI315" s="63"/>
    </row>
    <row r="316" spans="2:74" ht="64.5" customHeight="1" outlineLevel="1" x14ac:dyDescent="0.35">
      <c r="B316" s="71" t="s">
        <v>345</v>
      </c>
      <c r="C316" s="116" t="s">
        <v>52</v>
      </c>
      <c r="D316" s="132" t="str">
        <f>IF("Ska Ingå"=D314,"Ska Ingå","")</f>
        <v/>
      </c>
      <c r="F316" s="117" t="str">
        <f>IF(F$300="Inget antal angivet","",IFERROR(INDEX($AI$301:$BI$326,MATCH(F$297,$AG$301:$AG$326,0),MATCH($B316,$AI$301:$BI$301,0)),""))</f>
        <v/>
      </c>
      <c r="G316" s="118" t="str">
        <f ca="1">IFERROR(INDEX($AI$301:$BI$326,MATCH(G$297,$AG$301:$AG$326,0),MATCH($B316,$AI$301:$BI$301,0)),"")</f>
        <v>GLBB24519325 -  Filter för personlig integritet - 2-vägs - 24" - svart</v>
      </c>
      <c r="H316" s="118" t="str">
        <f ca="1">IFERROR(INDEX($AI$301:$BI$326,MATCH(H$297,$AG$301:$AG$326,0),MATCH($B316,$AI$301:$BI$301,0)),"")</f>
        <v>Targus Privacy Screen - filter för personlig integritet - 23,8 tum bred</v>
      </c>
      <c r="I316" s="118" t="str">
        <f ca="1">IFERROR(INDEX($AI$301:$BI$326,MATCH(I$297,$AG$301:$AG$326,0),MATCH($C316,$AI$301:$BI$301,0)),"")</f>
        <v>P2422h</v>
      </c>
      <c r="J316" s="62"/>
      <c r="AY316" s="63"/>
      <c r="AZ316" s="63"/>
      <c r="BA316" s="63"/>
      <c r="BB316" s="63"/>
      <c r="BC316" s="63"/>
      <c r="BD316" s="63"/>
      <c r="BE316" s="63"/>
      <c r="BF316" s="63"/>
      <c r="BG316" s="63"/>
      <c r="BH316" s="63"/>
      <c r="BI316" s="63"/>
    </row>
    <row r="317" spans="2:74" ht="22.5" customHeight="1" outlineLevel="1" x14ac:dyDescent="0.35">
      <c r="B317" s="71"/>
      <c r="C317" s="212" t="s">
        <v>365</v>
      </c>
      <c r="D317" s="215"/>
      <c r="E317" s="213"/>
      <c r="F317" s="213"/>
      <c r="G317" s="213"/>
      <c r="H317" s="213"/>
      <c r="I317" s="214"/>
      <c r="J317" s="62"/>
      <c r="AY317" s="63"/>
      <c r="AZ317" s="63"/>
      <c r="BA317" s="63"/>
      <c r="BB317" s="63"/>
      <c r="BC317" s="63"/>
      <c r="BD317" s="63"/>
      <c r="BE317" s="63"/>
      <c r="BF317" s="63"/>
      <c r="BG317" s="63"/>
      <c r="BH317" s="63"/>
      <c r="BI317" s="63"/>
    </row>
    <row r="318" spans="2:74" ht="22.5" customHeight="1" outlineLevel="1" x14ac:dyDescent="0.35">
      <c r="B318" s="71" t="s">
        <v>228</v>
      </c>
      <c r="C318" s="115" t="s">
        <v>367</v>
      </c>
      <c r="D318" s="70"/>
      <c r="F318" s="161" t="str">
        <f>IF(F$300="Inget antal angivet","",IFERROR(INDEX($AI$301:$BI$326,MATCH(F$297,$AG$301:$AG$326,0),MATCH($B318,$AI$301:$BI$301,0)),""))</f>
        <v/>
      </c>
      <c r="G318" s="162">
        <f t="shared" ref="G318:I320" ca="1" si="247">IFERROR(INDEX($AI$301:$BI$326,MATCH(G$297,$AG$301:$AG$326,0),MATCH($B318,$AI$301:$BI$301,0)),"")</f>
        <v>101</v>
      </c>
      <c r="H318" s="162">
        <f t="shared" ca="1" si="247"/>
        <v>94</v>
      </c>
      <c r="I318" s="162">
        <f t="shared" ca="1" si="247"/>
        <v>89</v>
      </c>
      <c r="J318" s="62"/>
      <c r="AY318" s="63"/>
      <c r="AZ318" s="63"/>
      <c r="BA318" s="63"/>
      <c r="BB318" s="63"/>
      <c r="BC318" s="63"/>
      <c r="BD318" s="63"/>
      <c r="BE318" s="63"/>
      <c r="BF318" s="63"/>
      <c r="BG318" s="63"/>
      <c r="BH318" s="63"/>
      <c r="BI318" s="63"/>
    </row>
    <row r="319" spans="2:74" ht="22.5" customHeight="1" outlineLevel="1" x14ac:dyDescent="0.35">
      <c r="B319" s="71" t="s">
        <v>229</v>
      </c>
      <c r="C319" s="61" t="s">
        <v>368</v>
      </c>
      <c r="D319" s="70"/>
      <c r="F319" s="165" t="str">
        <f>IF(F$300="Inget antal angivet","",IFERROR(INDEX($AI$301:$BI$326,MATCH(F$297,$AG$301:$AG$326,0),MATCH($B319,$AI$301:$BI$301,0)),""))</f>
        <v/>
      </c>
      <c r="G319" s="166">
        <f t="shared" ca="1" si="247"/>
        <v>50</v>
      </c>
      <c r="H319" s="166">
        <f t="shared" ca="1" si="247"/>
        <v>85</v>
      </c>
      <c r="I319" s="166">
        <f t="shared" ca="1" si="247"/>
        <v>25</v>
      </c>
      <c r="J319" s="73"/>
      <c r="AY319" s="63"/>
      <c r="AZ319" s="63"/>
      <c r="BA319" s="63"/>
      <c r="BB319" s="63"/>
      <c r="BC319" s="63"/>
      <c r="BD319" s="63"/>
      <c r="BE319" s="63"/>
      <c r="BF319" s="63"/>
      <c r="BG319" s="63"/>
      <c r="BH319" s="63"/>
      <c r="BI319" s="63"/>
    </row>
    <row r="320" spans="2:74" ht="22.5" customHeight="1" outlineLevel="1" x14ac:dyDescent="0.35">
      <c r="B320" s="71" t="s">
        <v>230</v>
      </c>
      <c r="C320" s="96" t="s">
        <v>369</v>
      </c>
      <c r="D320" s="70"/>
      <c r="F320" s="163" t="str">
        <f>IF(F$300="Inget antal angivet","",IFERROR(INDEX($AI$301:$BI$326,MATCH(F$297,$AG$301:$AG$326,0),MATCH($B320,$AI$301:$BI$301,0)),""))</f>
        <v/>
      </c>
      <c r="G320" s="164">
        <f t="shared" ca="1" si="247"/>
        <v>50</v>
      </c>
      <c r="H320" s="164">
        <f t="shared" ca="1" si="247"/>
        <v>100</v>
      </c>
      <c r="I320" s="164">
        <f t="shared" ca="1" si="247"/>
        <v>25</v>
      </c>
      <c r="J320" s="54"/>
      <c r="AY320" s="63"/>
      <c r="AZ320" s="63"/>
      <c r="BA320" s="63"/>
      <c r="BB320" s="63"/>
      <c r="BC320" s="63"/>
      <c r="BD320" s="63"/>
      <c r="BE320" s="63"/>
      <c r="BF320" s="63"/>
      <c r="BG320" s="63"/>
      <c r="BH320" s="63"/>
      <c r="BI320" s="63"/>
    </row>
    <row r="321" spans="3:61" ht="22.5" customHeight="1" outlineLevel="1" x14ac:dyDescent="0.35">
      <c r="J321" s="73"/>
      <c r="AY321" s="63"/>
      <c r="AZ321" s="63"/>
      <c r="BA321" s="63"/>
      <c r="BB321" s="63"/>
      <c r="BC321" s="63"/>
      <c r="BD321" s="63"/>
      <c r="BE321" s="63"/>
      <c r="BF321" s="63"/>
      <c r="BG321" s="63"/>
      <c r="BH321" s="63"/>
      <c r="BI321" s="63"/>
    </row>
    <row r="322" spans="3:61" ht="22.5" customHeight="1" x14ac:dyDescent="0.35">
      <c r="J322" s="54"/>
      <c r="AY322" s="63"/>
      <c r="AZ322" s="63"/>
      <c r="BA322" s="63"/>
      <c r="BB322" s="63"/>
      <c r="BC322" s="63"/>
      <c r="BD322" s="63"/>
      <c r="BE322" s="63"/>
      <c r="BF322" s="63"/>
      <c r="BG322" s="63"/>
      <c r="BH322" s="63"/>
      <c r="BI322" s="63"/>
    </row>
    <row r="323" spans="3:61" ht="22.5" customHeight="1" x14ac:dyDescent="0.35">
      <c r="D323" s="72" t="s">
        <v>233</v>
      </c>
      <c r="F323" s="221" t="s">
        <v>252</v>
      </c>
      <c r="G323" s="221"/>
      <c r="H323" s="221"/>
      <c r="I323" s="222"/>
      <c r="J323" s="73"/>
      <c r="AY323" s="63"/>
      <c r="AZ323" s="63"/>
      <c r="BA323" s="63"/>
      <c r="BB323" s="63"/>
      <c r="BC323" s="63"/>
      <c r="BD323" s="63"/>
      <c r="BE323" s="63"/>
      <c r="BF323" s="63"/>
      <c r="BG323" s="63"/>
      <c r="BH323" s="63"/>
      <c r="BI323" s="63"/>
    </row>
    <row r="324" spans="3:61" ht="22.5" customHeight="1" x14ac:dyDescent="0.35">
      <c r="D324" s="74"/>
      <c r="F324" s="202" t="str">
        <f ca="1">IFERROR(INDEX($V$302:$V$313,MATCH(F297,$W$302:$W$313,0))*D324,"")</f>
        <v/>
      </c>
      <c r="G324" s="202">
        <f ca="1">IFERROR(P302 *D324,"")</f>
        <v>0</v>
      </c>
      <c r="H324" s="202">
        <f ca="1">IFERROR(P303 *D324,"")</f>
        <v>0</v>
      </c>
      <c r="I324" s="202">
        <f ca="1">IFERROR(P304 * D324,"")</f>
        <v>0</v>
      </c>
      <c r="J324" s="54"/>
      <c r="AY324" s="63"/>
      <c r="AZ324" s="63"/>
      <c r="BA324" s="63"/>
      <c r="BB324" s="63"/>
      <c r="BC324" s="63"/>
      <c r="BD324" s="63"/>
      <c r="BE324" s="63"/>
      <c r="BF324" s="63"/>
      <c r="BG324" s="63"/>
      <c r="BH324" s="63"/>
      <c r="BI324" s="63"/>
    </row>
    <row r="325" spans="3:61" x14ac:dyDescent="0.35">
      <c r="AY325" s="63"/>
      <c r="AZ325" s="63"/>
      <c r="BA325" s="63"/>
      <c r="BB325" s="63"/>
      <c r="BC325" s="63"/>
      <c r="BD325" s="63"/>
      <c r="BE325" s="63"/>
      <c r="BF325" s="63"/>
      <c r="BG325" s="63"/>
      <c r="BH325" s="63"/>
      <c r="BI325" s="63"/>
    </row>
    <row r="326" spans="3:61" ht="15" thickBot="1" x14ac:dyDescent="0.4">
      <c r="C326" s="174"/>
      <c r="D326" s="174"/>
      <c r="E326" s="174"/>
      <c r="F326" s="174"/>
      <c r="G326" s="174"/>
      <c r="H326" s="174"/>
      <c r="I326" s="174"/>
      <c r="AY326" s="63"/>
      <c r="AZ326" s="63"/>
      <c r="BA326" s="63"/>
      <c r="BB326" s="63"/>
      <c r="BC326" s="63"/>
      <c r="BD326" s="63"/>
      <c r="BE326" s="63"/>
      <c r="BF326" s="63"/>
      <c r="BG326" s="63"/>
      <c r="BH326" s="63"/>
      <c r="BI326" s="63"/>
    </row>
    <row r="327" spans="3:61" ht="15" thickTop="1" x14ac:dyDescent="0.35"/>
  </sheetData>
  <sheetProtection algorithmName="SHA-512" hashValue="ETlSZA6GysKinCwrSXwGZr9f9p6QMCFceTB5kSblQ2Cwe3H5LOulvLySDhZfCCIpn/NTHAjoY84CNrzlMF6KVw==" saltValue="i8qYVaTZEeJdf9W5B9eXmg==" spinCount="100000" sheet="1" formatRows="0"/>
  <mergeCells count="80">
    <mergeCell ref="G8:I8"/>
    <mergeCell ref="C27:I27"/>
    <mergeCell ref="C11:D11"/>
    <mergeCell ref="F9:I9"/>
    <mergeCell ref="F33:I33"/>
    <mergeCell ref="C12:D12"/>
    <mergeCell ref="C23:I23"/>
    <mergeCell ref="C9:D9"/>
    <mergeCell ref="C58:I58"/>
    <mergeCell ref="F64:I64"/>
    <mergeCell ref="G39:I39"/>
    <mergeCell ref="C40:D40"/>
    <mergeCell ref="F40:I40"/>
    <mergeCell ref="C42:D42"/>
    <mergeCell ref="C43:D43"/>
    <mergeCell ref="C54:I54"/>
    <mergeCell ref="C92:I92"/>
    <mergeCell ref="F98:I98"/>
    <mergeCell ref="G73:I73"/>
    <mergeCell ref="C74:D74"/>
    <mergeCell ref="F74:I74"/>
    <mergeCell ref="C76:D76"/>
    <mergeCell ref="C77:D77"/>
    <mergeCell ref="C88:I88"/>
    <mergeCell ref="C173:D173"/>
    <mergeCell ref="C174:D174"/>
    <mergeCell ref="C185:I185"/>
    <mergeCell ref="C189:I189"/>
    <mergeCell ref="F195:I195"/>
    <mergeCell ref="F171:I171"/>
    <mergeCell ref="C124:I124"/>
    <mergeCell ref="F130:I130"/>
    <mergeCell ref="G136:I136"/>
    <mergeCell ref="C137:D137"/>
    <mergeCell ref="F137:I137"/>
    <mergeCell ref="C139:D139"/>
    <mergeCell ref="C140:D140"/>
    <mergeCell ref="C151:I151"/>
    <mergeCell ref="C155:I155"/>
    <mergeCell ref="F161:I161"/>
    <mergeCell ref="G170:I170"/>
    <mergeCell ref="G105:I105"/>
    <mergeCell ref="C106:D106"/>
    <mergeCell ref="F106:I106"/>
    <mergeCell ref="C108:D108"/>
    <mergeCell ref="C109:D109"/>
    <mergeCell ref="C313:I313"/>
    <mergeCell ref="C317:I317"/>
    <mergeCell ref="F323:I323"/>
    <mergeCell ref="C120:I120"/>
    <mergeCell ref="F292:I292"/>
    <mergeCell ref="G298:I298"/>
    <mergeCell ref="C299:D299"/>
    <mergeCell ref="F299:I299"/>
    <mergeCell ref="C301:D301"/>
    <mergeCell ref="C302:D302"/>
    <mergeCell ref="C268:D268"/>
    <mergeCell ref="F268:I268"/>
    <mergeCell ref="C270:D270"/>
    <mergeCell ref="C271:D271"/>
    <mergeCell ref="C282:I282"/>
    <mergeCell ref="C171:D171"/>
    <mergeCell ref="C286:I286"/>
    <mergeCell ref="C238:D238"/>
    <mergeCell ref="C239:D239"/>
    <mergeCell ref="C250:I250"/>
    <mergeCell ref="C254:I254"/>
    <mergeCell ref="F260:I260"/>
    <mergeCell ref="G267:I267"/>
    <mergeCell ref="C236:D236"/>
    <mergeCell ref="F236:I236"/>
    <mergeCell ref="G201:I201"/>
    <mergeCell ref="C202:D202"/>
    <mergeCell ref="F202:I202"/>
    <mergeCell ref="C204:D204"/>
    <mergeCell ref="C205:D205"/>
    <mergeCell ref="C216:I216"/>
    <mergeCell ref="C220:I220"/>
    <mergeCell ref="F226:I226"/>
    <mergeCell ref="G235:I235"/>
  </mergeCells>
  <phoneticPr fontId="7" type="noConversion"/>
  <conditionalFormatting sqref="C9:D9">
    <cfRule type="expression" dxfId="52" priority="31">
      <formula>C9= ""</formula>
    </cfRule>
  </conditionalFormatting>
  <conditionalFormatting sqref="C40:D40">
    <cfRule type="expression" dxfId="51" priority="28">
      <formula>C40= ""</formula>
    </cfRule>
  </conditionalFormatting>
  <conditionalFormatting sqref="C74:D74">
    <cfRule type="expression" dxfId="50" priority="25">
      <formula>C74= ""</formula>
    </cfRule>
  </conditionalFormatting>
  <conditionalFormatting sqref="C106:D106">
    <cfRule type="expression" dxfId="49" priority="22">
      <formula>C106= ""</formula>
    </cfRule>
  </conditionalFormatting>
  <conditionalFormatting sqref="C137:D137">
    <cfRule type="expression" dxfId="48" priority="19">
      <formula>C137= ""</formula>
    </cfRule>
  </conditionalFormatting>
  <conditionalFormatting sqref="C171:D171">
    <cfRule type="expression" dxfId="47" priority="16">
      <formula>C171= ""</formula>
    </cfRule>
  </conditionalFormatting>
  <conditionalFormatting sqref="C202:D202">
    <cfRule type="expression" dxfId="46" priority="13">
      <formula>C202= ""</formula>
    </cfRule>
  </conditionalFormatting>
  <conditionalFormatting sqref="C236:D236">
    <cfRule type="expression" dxfId="45" priority="10">
      <formula>C236= ""</formula>
    </cfRule>
  </conditionalFormatting>
  <conditionalFormatting sqref="C268:D268">
    <cfRule type="expression" dxfId="44" priority="7">
      <formula>C268= ""</formula>
    </cfRule>
  </conditionalFormatting>
  <conditionalFormatting sqref="C299:D299">
    <cfRule type="expression" dxfId="43" priority="4">
      <formula>C299= ""</formula>
    </cfRule>
  </conditionalFormatting>
  <conditionalFormatting sqref="D34">
    <cfRule type="expression" dxfId="42" priority="40" stopIfTrue="1">
      <formula>D34=$BG$12</formula>
    </cfRule>
  </conditionalFormatting>
  <conditionalFormatting sqref="D65">
    <cfRule type="expression" dxfId="41" priority="29" stopIfTrue="1">
      <formula>D65=$BG$12</formula>
    </cfRule>
  </conditionalFormatting>
  <conditionalFormatting sqref="D99">
    <cfRule type="expression" dxfId="40" priority="26" stopIfTrue="1">
      <formula>D99=$BG$12</formula>
    </cfRule>
  </conditionalFormatting>
  <conditionalFormatting sqref="D131">
    <cfRule type="expression" dxfId="39" priority="23" stopIfTrue="1">
      <formula>D131=$BG$12</formula>
    </cfRule>
  </conditionalFormatting>
  <conditionalFormatting sqref="D162">
    <cfRule type="expression" dxfId="38" priority="20" stopIfTrue="1">
      <formula>D162=$BG$12</formula>
    </cfRule>
  </conditionalFormatting>
  <conditionalFormatting sqref="D196">
    <cfRule type="expression" dxfId="37" priority="17" stopIfTrue="1">
      <formula>D196=$BG$12</formula>
    </cfRule>
  </conditionalFormatting>
  <conditionalFormatting sqref="D227">
    <cfRule type="expression" dxfId="36" priority="14" stopIfTrue="1">
      <formula>D227=$BG$12</formula>
    </cfRule>
  </conditionalFormatting>
  <conditionalFormatting sqref="D261">
    <cfRule type="expression" dxfId="35" priority="11" stopIfTrue="1">
      <formula>D261=$BG$12</formula>
    </cfRule>
  </conditionalFormatting>
  <conditionalFormatting sqref="D293">
    <cfRule type="expression" dxfId="34" priority="8" stopIfTrue="1">
      <formula>D293=$BG$12</formula>
    </cfRule>
  </conditionalFormatting>
  <conditionalFormatting sqref="D324">
    <cfRule type="expression" dxfId="33" priority="5" stopIfTrue="1">
      <formula>D324=$BG$12</formula>
    </cfRule>
  </conditionalFormatting>
  <conditionalFormatting sqref="J13:J28">
    <cfRule type="uniqueValues" dxfId="32" priority="42"/>
  </conditionalFormatting>
  <conditionalFormatting sqref="J44:J59">
    <cfRule type="uniqueValues" dxfId="31" priority="30"/>
  </conditionalFormatting>
  <conditionalFormatting sqref="J78:J93">
    <cfRule type="uniqueValues" dxfId="30" priority="27"/>
  </conditionalFormatting>
  <conditionalFormatting sqref="J110:J125">
    <cfRule type="uniqueValues" dxfId="29" priority="24"/>
  </conditionalFormatting>
  <conditionalFormatting sqref="J141:J156">
    <cfRule type="uniqueValues" dxfId="28" priority="21"/>
  </conditionalFormatting>
  <conditionalFormatting sqref="J175:J190">
    <cfRule type="uniqueValues" dxfId="27" priority="18"/>
  </conditionalFormatting>
  <conditionalFormatting sqref="J206:J221">
    <cfRule type="uniqueValues" dxfId="26" priority="15"/>
  </conditionalFormatting>
  <conditionalFormatting sqref="J240:J255">
    <cfRule type="uniqueValues" dxfId="25" priority="12"/>
  </conditionalFormatting>
  <conditionalFormatting sqref="J272:J287">
    <cfRule type="uniqueValues" dxfId="24" priority="9"/>
  </conditionalFormatting>
  <conditionalFormatting sqref="J303:J318">
    <cfRule type="uniqueValues" dxfId="23" priority="6"/>
  </conditionalFormatting>
  <dataValidations count="14">
    <dataValidation type="whole" allowBlank="1" showInputMessage="1" showErrorMessage="1" sqref="D34 D65 D99 D131 D162 D196 D227 D261 D293 D324" xr:uid="{00000000-0002-0000-0500-000000000000}">
      <formula1>0</formula1>
      <formula2>10000</formula2>
    </dataValidation>
    <dataValidation type="list" allowBlank="1" showInputMessage="1" showErrorMessage="1" sqref="D14 D273 D45 D79 D111 D142 D176 D207 D241 D304" xr:uid="{00000000-0002-0000-0500-000001000000}">
      <formula1>$BK$12:$BK$13</formula1>
    </dataValidation>
    <dataValidation type="list" allowBlank="1" showInputMessage="1" showErrorMessage="1" sqref="D19 D278 D50 D84 D116 D147 D181 D212 D246 D309" xr:uid="{00000000-0002-0000-0500-000002000000}">
      <formula1>$BP$12:$BP$14</formula1>
    </dataValidation>
    <dataValidation type="list" allowBlank="1" showInputMessage="1" showErrorMessage="1" sqref="D18 D277 D49 D83 D115 D146 D180 D211 D245 D308" xr:uid="{00000000-0002-0000-0500-000003000000}">
      <formula1>$BO$12:$BO$13</formula1>
    </dataValidation>
    <dataValidation type="list" allowBlank="1" showInputMessage="1" showErrorMessage="1" sqref="D17 D276 D48 D82 D114 D145 D179 D210 D244 D307" xr:uid="{00000000-0002-0000-0500-000004000000}">
      <formula1>$BN$12:$BN$13</formula1>
    </dataValidation>
    <dataValidation type="list" allowBlank="1" showInputMessage="1" showErrorMessage="1" sqref="D16 D275 D47 D81 D113 D144 D178 D209 D243 D306" xr:uid="{00000000-0002-0000-0500-000005000000}">
      <formula1>$BM$12:$BM$14</formula1>
    </dataValidation>
    <dataValidation type="list" allowBlank="1" showInputMessage="1" showErrorMessage="1" sqref="D20 D279 D51 D85 D117 D148 D182 D213 D247 D310" xr:uid="{00000000-0002-0000-0500-000007000000}">
      <formula1>$BQ$12:$BQ$13</formula1>
    </dataValidation>
    <dataValidation type="list" allowBlank="1" showInputMessage="1" showErrorMessage="1" sqref="D21 D280 D52 D86 D118 D149 D183 D214 D248 D311" xr:uid="{00000000-0002-0000-0500-000008000000}">
      <formula1>$BR$12</formula1>
    </dataValidation>
    <dataValidation type="list" allowBlank="1" showInputMessage="1" showErrorMessage="1" sqref="D22 D53 D87 D119 D150 D184 D215 D249 D281 D312" xr:uid="{00000000-0002-0000-0500-000009000000}">
      <formula1>$BW$12</formula1>
    </dataValidation>
    <dataValidation type="list" allowBlank="1" showInputMessage="1" showErrorMessage="1" sqref="D28:D30 D24 D59:D61 D55 D93:D95 D89 D125:D127 D121 D156:D158 D152 D190:D192 D186 D221:D223 D217 D255:D257 D251 D287:D289 D283 D318:D320 D314" xr:uid="{00000000-0002-0000-0500-00000A000000}">
      <formula1>"Ska Ingå,"</formula1>
    </dataValidation>
    <dataValidation type="list" allowBlank="1" showInputMessage="1" showErrorMessage="1" sqref="D66 D31:D32 D96:D97 D62:D63 D35 D100 D163 D128:D129 D193:D194 D159:D160 D132 D197 D228 D258:D259 D224:D225 D262 D325 D290:D291 D321:D322 D294" xr:uid="{00000000-0002-0000-0500-00000B000000}">
      <formula1>BJ$12:BJ$21</formula1>
    </dataValidation>
    <dataValidation type="list" allowBlank="1" showInputMessage="1" showErrorMessage="1" sqref="D13 D272 D44 D78 D110 D141 D175 D206 D240 D303" xr:uid="{00000000-0002-0000-0500-00000C000000}">
      <formula1>$BJ$12:$BJ$15</formula1>
    </dataValidation>
    <dataValidation type="list" allowBlank="1" showInputMessage="1" showErrorMessage="1" sqref="D67 D36 D101 D164 D133 D198 D229 D263 D326 D295" xr:uid="{00000000-0002-0000-0500-00000D000000}">
      <formula1>CA$12:CA$20</formula1>
    </dataValidation>
    <dataValidation type="list" allowBlank="1" showInputMessage="1" showErrorMessage="1" sqref="D15 D46 D80 D112 D143 D177 D208 D242 D274 D305" xr:uid="{8302FCE4-652B-4434-926D-B920A723F90D}">
      <formula1>$BL$12:$BL$15</formula1>
    </dataValidation>
  </dataValidations>
  <pageMargins left="0.7" right="0.7" top="0.75" bottom="0.75" header="0.3" footer="0.3"/>
  <pageSetup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2CC"/>
    <pageSetUpPr fitToPage="1"/>
  </sheetPr>
  <dimension ref="B1:X28"/>
  <sheetViews>
    <sheetView showGridLines="0" topLeftCell="A7" zoomScale="90" zoomScaleNormal="90" workbookViewId="0">
      <selection activeCell="C15" sqref="C15"/>
    </sheetView>
  </sheetViews>
  <sheetFormatPr defaultColWidth="9.1796875" defaultRowHeight="29.25" customHeight="1" x14ac:dyDescent="0.35"/>
  <cols>
    <col min="1" max="1" width="2.81640625" customWidth="1"/>
    <col min="2" max="2" width="44.26953125" customWidth="1"/>
    <col min="3" max="3" width="18.81640625" customWidth="1"/>
    <col min="4" max="4" width="2.7265625" customWidth="1"/>
    <col min="5" max="6" width="18.81640625" customWidth="1"/>
    <col min="7" max="7" width="2.7265625" customWidth="1"/>
    <col min="8" max="13" width="18.81640625" customWidth="1"/>
    <col min="14" max="14" width="13.453125" customWidth="1"/>
    <col min="15" max="20" width="13.453125" hidden="1" customWidth="1"/>
    <col min="21" max="22" width="13.453125" customWidth="1"/>
    <col min="23" max="23" width="9.1796875" customWidth="1"/>
    <col min="24" max="24" width="9.1796875" collapsed="1"/>
  </cols>
  <sheetData>
    <row r="1" spans="2:20" ht="29.25" hidden="1" customHeight="1" x14ac:dyDescent="0.35">
      <c r="E1" t="str">
        <f ca="1">Överblick!L2</f>
        <v/>
      </c>
      <c r="H1" t="s">
        <v>162</v>
      </c>
      <c r="I1" t="s">
        <v>150</v>
      </c>
      <c r="J1" t="s">
        <v>128</v>
      </c>
      <c r="K1" t="s">
        <v>169</v>
      </c>
      <c r="L1" t="s">
        <v>167</v>
      </c>
      <c r="M1" t="s">
        <v>546</v>
      </c>
    </row>
    <row r="2" spans="2:20" ht="29.25" hidden="1" customHeight="1" x14ac:dyDescent="0.35"/>
    <row r="3" spans="2:20" ht="29.25" hidden="1" customHeight="1" x14ac:dyDescent="0.35"/>
    <row r="4" spans="2:20" ht="29.25" hidden="1" customHeight="1" x14ac:dyDescent="0.35"/>
    <row r="5" spans="2:20" ht="29.25" hidden="1" customHeight="1" x14ac:dyDescent="0.35"/>
    <row r="6" spans="2:20" ht="29.25" hidden="1" customHeight="1" x14ac:dyDescent="0.35"/>
    <row r="8" spans="2:20" ht="29.25" customHeight="1" collapsed="1" x14ac:dyDescent="0.35"/>
    <row r="9" spans="2:20" ht="29.25" customHeight="1" x14ac:dyDescent="0.35">
      <c r="E9" s="223" t="s">
        <v>278</v>
      </c>
      <c r="F9" s="223"/>
      <c r="H9" s="224" t="s">
        <v>279</v>
      </c>
      <c r="I9" s="224"/>
      <c r="J9" s="224"/>
      <c r="K9" s="224"/>
      <c r="L9" s="224"/>
      <c r="M9" s="224"/>
    </row>
    <row r="10" spans="2:20" ht="29.25" customHeight="1" x14ac:dyDescent="0.35">
      <c r="B10" s="105" t="s">
        <v>123</v>
      </c>
      <c r="C10" s="105" t="s">
        <v>121</v>
      </c>
      <c r="D10" s="1"/>
      <c r="E10" s="106" t="s">
        <v>276</v>
      </c>
      <c r="F10" s="105" t="s">
        <v>277</v>
      </c>
      <c r="G10" s="1"/>
      <c r="H10" s="105" t="s">
        <v>162</v>
      </c>
      <c r="I10" s="105" t="s">
        <v>150</v>
      </c>
      <c r="J10" s="105" t="s">
        <v>546</v>
      </c>
      <c r="K10" s="105" t="s">
        <v>128</v>
      </c>
      <c r="L10" s="105" t="s">
        <v>169</v>
      </c>
      <c r="M10" s="105"/>
    </row>
    <row r="11" spans="2:20" ht="29.25" customHeight="1" x14ac:dyDescent="0.35">
      <c r="B11" s="130" t="s">
        <v>33</v>
      </c>
      <c r="C11" s="135"/>
      <c r="E11" s="173">
        <f ca="1">SUMIFS(TillbehörDB!$D:$D,TillbehörDB!$B:$B,Tillbehör!E$1,TillbehörDB!$C:$C,Tillbehör!$B11)</f>
        <v>0</v>
      </c>
      <c r="F11" s="173">
        <f ca="1">C11*E11</f>
        <v>0</v>
      </c>
      <c r="H11" s="173">
        <f>SUMIFS(TillbehörDB!$D:$D,TillbehörDB!$B:$B,Tillbehör!H$1,TillbehörDB!$C:$C,Tillbehör!$B11)</f>
        <v>85</v>
      </c>
      <c r="I11" s="173">
        <f>SUMIFS(TillbehörDB!$D:$D,TillbehörDB!$B:$B,Tillbehör!I$1,TillbehörDB!$C:$C,Tillbehör!$B11)</f>
        <v>277</v>
      </c>
      <c r="J11" s="173">
        <f>SUMIFS(TillbehörDB!$D:$D,TillbehörDB!$B:$B,Tillbehör!M$1,TillbehörDB!$C:$C,Tillbehör!$B11)</f>
        <v>77</v>
      </c>
      <c r="K11" s="173">
        <f>SUMIFS(TillbehörDB!$D:$D,TillbehörDB!$B:$B,Tillbehör!J$1,TillbehörDB!$C:$C,Tillbehör!$B11)</f>
        <v>114</v>
      </c>
      <c r="L11" s="173">
        <f>SUMIFS(TillbehörDB!$D:$D,TillbehörDB!$B:$B,Tillbehör!K$1,TillbehörDB!$C:$C,Tillbehör!$B11)</f>
        <v>211</v>
      </c>
      <c r="M11" s="173"/>
      <c r="O11">
        <f>H11*$C11</f>
        <v>0</v>
      </c>
      <c r="P11">
        <f t="shared" ref="P11:P26" si="0">I11*$C11</f>
        <v>0</v>
      </c>
      <c r="Q11">
        <f t="shared" ref="Q11:Q26" si="1">K11*$C11</f>
        <v>0</v>
      </c>
      <c r="R11">
        <f t="shared" ref="R11:R26" si="2">L11*$C11</f>
        <v>0</v>
      </c>
      <c r="S11">
        <f t="shared" ref="S11:S26" si="3">M11*$C11</f>
        <v>0</v>
      </c>
      <c r="T11">
        <f t="shared" ref="T11:T26" si="4">J11*$C11</f>
        <v>0</v>
      </c>
    </row>
    <row r="12" spans="2:20" ht="29.25" customHeight="1" x14ac:dyDescent="0.35">
      <c r="B12" s="130" t="s">
        <v>32</v>
      </c>
      <c r="C12" s="135"/>
      <c r="E12" s="173">
        <f ca="1">SUMIFS(TillbehörDB!D:D,TillbehörDB!B:B,Tillbehör!$E$1,TillbehörDB!C:C,Tillbehör!B12)</f>
        <v>0</v>
      </c>
      <c r="F12" s="173">
        <f t="shared" ref="F12:F26" ca="1" si="5">C12*E12</f>
        <v>0</v>
      </c>
      <c r="H12" s="173">
        <f>SUMIFS(TillbehörDB!$D:$D,TillbehörDB!$B:$B,Tillbehör!H$1,TillbehörDB!$C:$C,Tillbehör!$B12)</f>
        <v>49</v>
      </c>
      <c r="I12" s="173">
        <f>SUMIFS(TillbehörDB!$D:$D,TillbehörDB!$B:$B,Tillbehör!I$1,TillbehörDB!$C:$C,Tillbehör!$B12)</f>
        <v>140</v>
      </c>
      <c r="J12" s="173">
        <f>SUMIFS(TillbehörDB!$D:$D,TillbehörDB!$B:$B,Tillbehör!M$1,TillbehörDB!$C:$C,Tillbehör!$B12)</f>
        <v>50</v>
      </c>
      <c r="K12" s="173">
        <f>SUMIFS(TillbehörDB!$D:$D,TillbehörDB!$B:$B,Tillbehör!J$1,TillbehörDB!$C:$C,Tillbehör!$B12)</f>
        <v>36</v>
      </c>
      <c r="L12" s="173">
        <f>SUMIFS(TillbehörDB!$D:$D,TillbehörDB!$B:$B,Tillbehör!K$1,TillbehörDB!$C:$C,Tillbehör!$B12)</f>
        <v>56</v>
      </c>
      <c r="M12" s="173"/>
      <c r="O12">
        <f t="shared" ref="O12:O26" si="6">H12*$C12</f>
        <v>0</v>
      </c>
      <c r="P12">
        <f t="shared" si="0"/>
        <v>0</v>
      </c>
      <c r="Q12">
        <f t="shared" si="1"/>
        <v>0</v>
      </c>
      <c r="R12">
        <f t="shared" si="2"/>
        <v>0</v>
      </c>
      <c r="S12">
        <f t="shared" si="3"/>
        <v>0</v>
      </c>
      <c r="T12">
        <f t="shared" si="4"/>
        <v>0</v>
      </c>
    </row>
    <row r="13" spans="2:20" ht="29.25" customHeight="1" x14ac:dyDescent="0.35">
      <c r="B13" s="130" t="s">
        <v>31</v>
      </c>
      <c r="C13" s="135"/>
      <c r="E13" s="173">
        <f ca="1">SUMIFS(TillbehörDB!D:D,TillbehörDB!B:B,Tillbehör!$E$1,TillbehörDB!C:C,Tillbehör!B13)</f>
        <v>0</v>
      </c>
      <c r="F13" s="173">
        <f t="shared" ca="1" si="5"/>
        <v>0</v>
      </c>
      <c r="H13" s="173">
        <f>SUMIFS(TillbehörDB!$D:$D,TillbehörDB!$B:$B,Tillbehör!H$1,TillbehörDB!$C:$C,Tillbehör!$B13)</f>
        <v>67</v>
      </c>
      <c r="I13" s="173">
        <f>SUMIFS(TillbehörDB!$D:$D,TillbehörDB!$B:$B,Tillbehör!I$1,TillbehörDB!$C:$C,Tillbehör!$B13)</f>
        <v>140</v>
      </c>
      <c r="J13" s="173">
        <f>SUMIFS(TillbehörDB!$D:$D,TillbehörDB!$B:$B,Tillbehör!M$1,TillbehörDB!$C:$C,Tillbehör!$B13)</f>
        <v>50</v>
      </c>
      <c r="K13" s="173">
        <f>SUMIFS(TillbehörDB!$D:$D,TillbehörDB!$B:$B,Tillbehör!J$1,TillbehörDB!$C:$C,Tillbehör!$B13)</f>
        <v>74</v>
      </c>
      <c r="L13" s="173">
        <f>SUMIFS(TillbehörDB!$D:$D,TillbehörDB!$B:$B,Tillbehör!K$1,TillbehörDB!$C:$C,Tillbehör!$B13)</f>
        <v>116</v>
      </c>
      <c r="M13" s="173"/>
      <c r="O13">
        <f t="shared" si="6"/>
        <v>0</v>
      </c>
      <c r="P13">
        <f t="shared" si="0"/>
        <v>0</v>
      </c>
      <c r="Q13">
        <f t="shared" si="1"/>
        <v>0</v>
      </c>
      <c r="R13">
        <f t="shared" si="2"/>
        <v>0</v>
      </c>
      <c r="S13">
        <f t="shared" si="3"/>
        <v>0</v>
      </c>
      <c r="T13">
        <f t="shared" si="4"/>
        <v>0</v>
      </c>
    </row>
    <row r="14" spans="2:20" ht="29.25" customHeight="1" x14ac:dyDescent="0.35">
      <c r="B14" s="130" t="s">
        <v>21</v>
      </c>
      <c r="C14" s="135"/>
      <c r="E14" s="173">
        <f ca="1">SUMIFS(TillbehörDB!D:D,TillbehörDB!B:B,Tillbehör!$E$1,TillbehörDB!C:C,Tillbehör!B14)</f>
        <v>0</v>
      </c>
      <c r="F14" s="173">
        <f t="shared" ca="1" si="5"/>
        <v>0</v>
      </c>
      <c r="H14" s="173">
        <f>SUMIFS(TillbehörDB!$D:$D,TillbehörDB!$B:$B,Tillbehör!H$1,TillbehörDB!$C:$C,Tillbehör!$B14)</f>
        <v>63</v>
      </c>
      <c r="I14" s="173">
        <f>SUMIFS(TillbehörDB!$D:$D,TillbehörDB!$B:$B,Tillbehör!I$1,TillbehörDB!$C:$C,Tillbehör!$B14)</f>
        <v>112</v>
      </c>
      <c r="J14" s="173">
        <f>SUMIFS(TillbehörDB!$D:$D,TillbehörDB!$B:$B,Tillbehör!M$1,TillbehörDB!$C:$C,Tillbehör!$B14)</f>
        <v>84</v>
      </c>
      <c r="K14" s="173">
        <f>SUMIFS(TillbehörDB!$D:$D,TillbehörDB!$B:$B,Tillbehör!J$1,TillbehörDB!$C:$C,Tillbehör!$B14)</f>
        <v>48</v>
      </c>
      <c r="L14" s="173">
        <f>SUMIFS(TillbehörDB!$D:$D,TillbehörDB!$B:$B,Tillbehör!K$1,TillbehörDB!$C:$C,Tillbehör!$B14)</f>
        <v>66</v>
      </c>
      <c r="M14" s="173"/>
      <c r="O14">
        <f t="shared" si="6"/>
        <v>0</v>
      </c>
      <c r="P14">
        <f t="shared" si="0"/>
        <v>0</v>
      </c>
      <c r="Q14">
        <f t="shared" si="1"/>
        <v>0</v>
      </c>
      <c r="R14">
        <f t="shared" si="2"/>
        <v>0</v>
      </c>
      <c r="S14">
        <f t="shared" si="3"/>
        <v>0</v>
      </c>
      <c r="T14">
        <f t="shared" si="4"/>
        <v>0</v>
      </c>
    </row>
    <row r="15" spans="2:20" ht="29.25" customHeight="1" x14ac:dyDescent="0.35">
      <c r="B15" s="130" t="s">
        <v>22</v>
      </c>
      <c r="C15" s="135"/>
      <c r="E15" s="173">
        <f ca="1">SUMIFS(TillbehörDB!D:D,TillbehörDB!B:B,Tillbehör!$E$1,TillbehörDB!C:C,Tillbehör!B15)</f>
        <v>0</v>
      </c>
      <c r="F15" s="173">
        <f t="shared" ca="1" si="5"/>
        <v>0</v>
      </c>
      <c r="H15" s="173">
        <f>SUMIFS(TillbehörDB!$D:$D,TillbehörDB!$B:$B,Tillbehör!H$1,TillbehörDB!$C:$C,Tillbehör!$B15)</f>
        <v>77</v>
      </c>
      <c r="I15" s="173">
        <f>SUMIFS(TillbehörDB!$D:$D,TillbehörDB!$B:$B,Tillbehör!I$1,TillbehörDB!$C:$C,Tillbehör!$B15)</f>
        <v>281</v>
      </c>
      <c r="J15" s="173">
        <f>SUMIFS(TillbehörDB!$D:$D,TillbehörDB!$B:$B,Tillbehör!M$1,TillbehörDB!$C:$C,Tillbehör!$B15)</f>
        <v>109</v>
      </c>
      <c r="K15" s="173">
        <f>SUMIFS(TillbehörDB!$D:$D,TillbehörDB!$B:$B,Tillbehör!J$1,TillbehörDB!$C:$C,Tillbehör!$B15)</f>
        <v>55</v>
      </c>
      <c r="L15" s="173">
        <f>SUMIFS(TillbehörDB!$D:$D,TillbehörDB!$B:$B,Tillbehör!K$1,TillbehörDB!$C:$C,Tillbehör!$B15)</f>
        <v>133</v>
      </c>
      <c r="M15" s="173"/>
      <c r="O15">
        <f t="shared" si="6"/>
        <v>0</v>
      </c>
      <c r="P15">
        <f t="shared" si="0"/>
        <v>0</v>
      </c>
      <c r="Q15">
        <f t="shared" si="1"/>
        <v>0</v>
      </c>
      <c r="R15">
        <f t="shared" si="2"/>
        <v>0</v>
      </c>
      <c r="S15">
        <f t="shared" si="3"/>
        <v>0</v>
      </c>
      <c r="T15">
        <f t="shared" si="4"/>
        <v>0</v>
      </c>
    </row>
    <row r="16" spans="2:20" ht="29.25" customHeight="1" x14ac:dyDescent="0.35">
      <c r="B16" s="130" t="s">
        <v>26</v>
      </c>
      <c r="C16" s="135"/>
      <c r="E16" s="173">
        <f ca="1">SUMIFS(TillbehörDB!D:D,TillbehörDB!B:B,Tillbehör!$E$1,TillbehörDB!C:C,Tillbehör!B16)</f>
        <v>0</v>
      </c>
      <c r="F16" s="173">
        <f t="shared" ca="1" si="5"/>
        <v>0</v>
      </c>
      <c r="H16" s="173">
        <f>SUMIFS(TillbehörDB!$D:$D,TillbehörDB!$B:$B,Tillbehör!H$1,TillbehörDB!$C:$C,Tillbehör!$B16)</f>
        <v>105</v>
      </c>
      <c r="I16" s="173">
        <f>SUMIFS(TillbehörDB!$D:$D,TillbehörDB!$B:$B,Tillbehör!I$1,TillbehörDB!$C:$C,Tillbehör!$B16)</f>
        <v>77</v>
      </c>
      <c r="J16" s="173">
        <f>SUMIFS(TillbehörDB!$D:$D,TillbehörDB!$B:$B,Tillbehör!M$1,TillbehörDB!$C:$C,Tillbehör!$B16)</f>
        <v>127</v>
      </c>
      <c r="K16" s="173">
        <f>SUMIFS(TillbehörDB!$D:$D,TillbehörDB!$B:$B,Tillbehör!J$1,TillbehörDB!$C:$C,Tillbehör!$B16)</f>
        <v>86</v>
      </c>
      <c r="L16" s="173">
        <f>SUMIFS(TillbehörDB!$D:$D,TillbehörDB!$B:$B,Tillbehör!K$1,TillbehörDB!$C:$C,Tillbehör!$B16)</f>
        <v>127</v>
      </c>
      <c r="M16" s="173"/>
      <c r="O16">
        <f t="shared" si="6"/>
        <v>0</v>
      </c>
      <c r="P16">
        <f t="shared" si="0"/>
        <v>0</v>
      </c>
      <c r="Q16">
        <f t="shared" si="1"/>
        <v>0</v>
      </c>
      <c r="R16">
        <f t="shared" si="2"/>
        <v>0</v>
      </c>
      <c r="S16">
        <f t="shared" si="3"/>
        <v>0</v>
      </c>
      <c r="T16">
        <f t="shared" si="4"/>
        <v>0</v>
      </c>
    </row>
    <row r="17" spans="2:20" ht="29.25" customHeight="1" x14ac:dyDescent="0.35">
      <c r="B17" s="130" t="s">
        <v>27</v>
      </c>
      <c r="C17" s="135"/>
      <c r="E17" s="173">
        <f ca="1">SUMIFS(TillbehörDB!D:D,TillbehörDB!B:B,Tillbehör!$E$1,TillbehörDB!C:C,Tillbehör!B17)</f>
        <v>0</v>
      </c>
      <c r="F17" s="173">
        <f t="shared" ca="1" si="5"/>
        <v>0</v>
      </c>
      <c r="H17" s="173">
        <f>SUMIFS(TillbehörDB!$D:$D,TillbehörDB!$B:$B,Tillbehör!H$1,TillbehörDB!$C:$C,Tillbehör!$B17)</f>
        <v>105</v>
      </c>
      <c r="I17" s="173">
        <f>SUMIFS(TillbehörDB!$D:$D,TillbehörDB!$B:$B,Tillbehör!I$1,TillbehörDB!$C:$C,Tillbehör!$B17)</f>
        <v>77</v>
      </c>
      <c r="J17" s="173">
        <f>SUMIFS(TillbehörDB!$D:$D,TillbehörDB!$B:$B,Tillbehör!M$1,TillbehörDB!$C:$C,Tillbehör!$B17)</f>
        <v>132</v>
      </c>
      <c r="K17" s="173">
        <f>SUMIFS(TillbehörDB!$D:$D,TillbehörDB!$B:$B,Tillbehör!J$1,TillbehörDB!$C:$C,Tillbehör!$B17)</f>
        <v>94</v>
      </c>
      <c r="L17" s="173">
        <f>SUMIFS(TillbehörDB!$D:$D,TillbehörDB!$B:$B,Tillbehör!K$1,TillbehörDB!$C:$C,Tillbehör!$B17)</f>
        <v>111</v>
      </c>
      <c r="M17" s="173"/>
      <c r="O17">
        <f t="shared" si="6"/>
        <v>0</v>
      </c>
      <c r="P17">
        <f t="shared" si="0"/>
        <v>0</v>
      </c>
      <c r="Q17">
        <f t="shared" si="1"/>
        <v>0</v>
      </c>
      <c r="R17">
        <f t="shared" si="2"/>
        <v>0</v>
      </c>
      <c r="S17">
        <f t="shared" si="3"/>
        <v>0</v>
      </c>
      <c r="T17">
        <f t="shared" si="4"/>
        <v>0</v>
      </c>
    </row>
    <row r="18" spans="2:20" ht="29.25" customHeight="1" x14ac:dyDescent="0.35">
      <c r="B18" s="130" t="s">
        <v>23</v>
      </c>
      <c r="C18" s="135"/>
      <c r="E18" s="173">
        <f ca="1">SUMIFS(TillbehörDB!D:D,TillbehörDB!B:B,Tillbehör!$E$1,TillbehörDB!C:C,Tillbehör!B18)</f>
        <v>0</v>
      </c>
      <c r="F18" s="173">
        <f t="shared" ca="1" si="5"/>
        <v>0</v>
      </c>
      <c r="H18" s="173">
        <f>SUMIFS(TillbehörDB!$D:$D,TillbehörDB!$B:$B,Tillbehör!H$1,TillbehörDB!$C:$C,Tillbehör!$B18)</f>
        <v>111</v>
      </c>
      <c r="I18" s="173">
        <f>SUMIFS(TillbehörDB!$D:$D,TillbehörDB!$B:$B,Tillbehör!I$1,TillbehörDB!$C:$C,Tillbehör!$B18)</f>
        <v>250</v>
      </c>
      <c r="J18" s="173">
        <f>SUMIFS(TillbehörDB!$D:$D,TillbehörDB!$B:$B,Tillbehör!M$1,TillbehörDB!$C:$C,Tillbehör!$B18)</f>
        <v>182</v>
      </c>
      <c r="K18" s="173">
        <f>SUMIFS(TillbehörDB!$D:$D,TillbehörDB!$B:$B,Tillbehör!J$1,TillbehörDB!$C:$C,Tillbehör!$B18)</f>
        <v>98</v>
      </c>
      <c r="L18" s="173">
        <f>SUMIFS(TillbehörDB!$D:$D,TillbehörDB!$B:$B,Tillbehör!K$1,TillbehörDB!$C:$C,Tillbehör!$B18)</f>
        <v>111</v>
      </c>
      <c r="M18" s="173"/>
      <c r="O18">
        <f t="shared" si="6"/>
        <v>0</v>
      </c>
      <c r="P18">
        <f t="shared" si="0"/>
        <v>0</v>
      </c>
      <c r="Q18">
        <f t="shared" si="1"/>
        <v>0</v>
      </c>
      <c r="R18">
        <f t="shared" si="2"/>
        <v>0</v>
      </c>
      <c r="S18">
        <f t="shared" si="3"/>
        <v>0</v>
      </c>
      <c r="T18">
        <f t="shared" si="4"/>
        <v>0</v>
      </c>
    </row>
    <row r="19" spans="2:20" ht="29.25" customHeight="1" x14ac:dyDescent="0.35">
      <c r="B19" s="130" t="s">
        <v>28</v>
      </c>
      <c r="C19" s="135"/>
      <c r="E19" s="173">
        <f ca="1">SUMIFS(TillbehörDB!D:D,TillbehörDB!B:B,Tillbehör!$E$1,TillbehörDB!C:C,Tillbehör!B19)</f>
        <v>0</v>
      </c>
      <c r="F19" s="173">
        <f t="shared" ca="1" si="5"/>
        <v>0</v>
      </c>
      <c r="H19" s="173">
        <f>SUMIFS(TillbehörDB!$D:$D,TillbehörDB!$B:$B,Tillbehör!H$1,TillbehörDB!$C:$C,Tillbehör!$B19)</f>
        <v>123</v>
      </c>
      <c r="I19" s="173">
        <f>SUMIFS(TillbehörDB!$D:$D,TillbehörDB!$B:$B,Tillbehör!I$1,TillbehörDB!$C:$C,Tillbehör!$B19)</f>
        <v>276</v>
      </c>
      <c r="J19" s="173">
        <f>SUMIFS(TillbehörDB!$D:$D,TillbehörDB!$B:$B,Tillbehör!M$1,TillbehörDB!$C:$C,Tillbehör!$B19)</f>
        <v>100</v>
      </c>
      <c r="K19" s="173">
        <f>SUMIFS(TillbehörDB!$D:$D,TillbehörDB!$B:$B,Tillbehör!J$1,TillbehörDB!$C:$C,Tillbehör!$B19)</f>
        <v>98</v>
      </c>
      <c r="L19" s="173">
        <f>SUMIFS(TillbehörDB!$D:$D,TillbehörDB!$B:$B,Tillbehör!K$1,TillbehörDB!$C:$C,Tillbehör!$B19)</f>
        <v>111</v>
      </c>
      <c r="M19" s="173"/>
      <c r="O19">
        <f t="shared" si="6"/>
        <v>0</v>
      </c>
      <c r="P19">
        <f t="shared" si="0"/>
        <v>0</v>
      </c>
      <c r="Q19">
        <f t="shared" si="1"/>
        <v>0</v>
      </c>
      <c r="R19">
        <f t="shared" si="2"/>
        <v>0</v>
      </c>
      <c r="S19">
        <f t="shared" si="3"/>
        <v>0</v>
      </c>
      <c r="T19">
        <f t="shared" si="4"/>
        <v>0</v>
      </c>
    </row>
    <row r="20" spans="2:20" ht="29.25" customHeight="1" x14ac:dyDescent="0.35">
      <c r="B20" s="130" t="s">
        <v>18</v>
      </c>
      <c r="C20" s="135"/>
      <c r="E20" s="173">
        <f ca="1">SUMIFS(TillbehörDB!D:D,TillbehörDB!B:B,Tillbehör!$E$1,TillbehörDB!C:C,Tillbehör!B20)</f>
        <v>0</v>
      </c>
      <c r="F20" s="173">
        <f t="shared" ca="1" si="5"/>
        <v>0</v>
      </c>
      <c r="H20" s="173">
        <f>SUMIFS(TillbehörDB!$D:$D,TillbehörDB!$B:$B,Tillbehör!H$1,TillbehörDB!$C:$C,Tillbehör!$B20)</f>
        <v>131</v>
      </c>
      <c r="I20" s="173">
        <f>SUMIFS(TillbehörDB!$D:$D,TillbehörDB!$B:$B,Tillbehör!I$1,TillbehörDB!$C:$C,Tillbehör!$B20)</f>
        <v>220</v>
      </c>
      <c r="J20" s="173">
        <f>SUMIFS(TillbehörDB!$D:$D,TillbehörDB!$B:$B,Tillbehör!M$1,TillbehörDB!$C:$C,Tillbehör!$B20)</f>
        <v>132</v>
      </c>
      <c r="K20" s="173">
        <f>SUMIFS(TillbehörDB!$D:$D,TillbehörDB!$B:$B,Tillbehör!J$1,TillbehörDB!$C:$C,Tillbehör!$B20)</f>
        <v>71</v>
      </c>
      <c r="L20" s="173">
        <f>SUMIFS(TillbehörDB!$D:$D,TillbehörDB!$B:$B,Tillbehör!K$1,TillbehörDB!$C:$C,Tillbehör!$B20)</f>
        <v>116</v>
      </c>
      <c r="M20" s="173"/>
      <c r="O20">
        <f t="shared" si="6"/>
        <v>0</v>
      </c>
      <c r="P20">
        <f t="shared" si="0"/>
        <v>0</v>
      </c>
      <c r="Q20">
        <f t="shared" si="1"/>
        <v>0</v>
      </c>
      <c r="R20">
        <f t="shared" si="2"/>
        <v>0</v>
      </c>
      <c r="S20">
        <f t="shared" si="3"/>
        <v>0</v>
      </c>
      <c r="T20">
        <f t="shared" si="4"/>
        <v>0</v>
      </c>
    </row>
    <row r="21" spans="2:20" ht="29.25" customHeight="1" x14ac:dyDescent="0.35">
      <c r="B21" s="130" t="s">
        <v>19</v>
      </c>
      <c r="C21" s="135"/>
      <c r="E21" s="173">
        <f ca="1">SUMIFS(TillbehörDB!D:D,TillbehörDB!B:B,Tillbehör!$E$1,TillbehörDB!C:C,Tillbehör!B21)</f>
        <v>0</v>
      </c>
      <c r="F21" s="173">
        <f t="shared" ca="1" si="5"/>
        <v>0</v>
      </c>
      <c r="H21" s="173">
        <f>SUMIFS(TillbehörDB!$D:$D,TillbehörDB!$B:$B,Tillbehör!H$1,TillbehörDB!$C:$C,Tillbehör!$B21)</f>
        <v>32</v>
      </c>
      <c r="I21" s="173">
        <f>SUMIFS(TillbehörDB!$D:$D,TillbehörDB!$B:$B,Tillbehör!I$1,TillbehörDB!$C:$C,Tillbehör!$B21)</f>
        <v>80</v>
      </c>
      <c r="J21" s="173">
        <f>SUMIFS(TillbehörDB!$D:$D,TillbehörDB!$B:$B,Tillbehör!M$1,TillbehörDB!$C:$C,Tillbehör!$B21)</f>
        <v>50</v>
      </c>
      <c r="K21" s="173">
        <f>SUMIFS(TillbehörDB!$D:$D,TillbehörDB!$B:$B,Tillbehör!J$1,TillbehörDB!$C:$C,Tillbehör!$B21)</f>
        <v>25</v>
      </c>
      <c r="L21" s="173">
        <f>SUMIFS(TillbehörDB!$D:$D,TillbehörDB!$B:$B,Tillbehör!K$1,TillbehörDB!$C:$C,Tillbehör!$B21)</f>
        <v>50</v>
      </c>
      <c r="M21" s="173"/>
      <c r="O21">
        <f t="shared" si="6"/>
        <v>0</v>
      </c>
      <c r="P21">
        <f t="shared" si="0"/>
        <v>0</v>
      </c>
      <c r="Q21">
        <f t="shared" si="1"/>
        <v>0</v>
      </c>
      <c r="R21">
        <f t="shared" si="2"/>
        <v>0</v>
      </c>
      <c r="S21">
        <f t="shared" si="3"/>
        <v>0</v>
      </c>
      <c r="T21">
        <f t="shared" si="4"/>
        <v>0</v>
      </c>
    </row>
    <row r="22" spans="2:20" ht="29.25" customHeight="1" x14ac:dyDescent="0.35">
      <c r="B22" s="130" t="s">
        <v>20</v>
      </c>
      <c r="C22" s="135"/>
      <c r="E22" s="173">
        <f ca="1">SUMIFS(TillbehörDB!D:D,TillbehörDB!B:B,Tillbehör!$E$1,TillbehörDB!C:C,Tillbehör!B22)</f>
        <v>0</v>
      </c>
      <c r="F22" s="173">
        <f t="shared" ca="1" si="5"/>
        <v>0</v>
      </c>
      <c r="H22" s="173">
        <f>SUMIFS(TillbehörDB!$D:$D,TillbehörDB!$B:$B,Tillbehör!H$1,TillbehörDB!$C:$C,Tillbehör!$B22)</f>
        <v>48</v>
      </c>
      <c r="I22" s="173">
        <f>SUMIFS(TillbehörDB!$D:$D,TillbehörDB!$B:$B,Tillbehör!I$1,TillbehörDB!$C:$C,Tillbehör!$B22)</f>
        <v>71</v>
      </c>
      <c r="J22" s="173">
        <f>SUMIFS(TillbehörDB!$D:$D,TillbehörDB!$B:$B,Tillbehör!M$1,TillbehörDB!$C:$C,Tillbehör!$B22)</f>
        <v>50</v>
      </c>
      <c r="K22" s="173">
        <f>SUMIFS(TillbehörDB!$D:$D,TillbehörDB!$B:$B,Tillbehör!J$1,TillbehörDB!$C:$C,Tillbehör!$B22)</f>
        <v>37</v>
      </c>
      <c r="L22" s="173">
        <f>SUMIFS(TillbehörDB!$D:$D,TillbehörDB!$B:$B,Tillbehör!K$1,TillbehörDB!$C:$C,Tillbehör!$B22)</f>
        <v>56</v>
      </c>
      <c r="M22" s="173"/>
      <c r="O22">
        <f t="shared" si="6"/>
        <v>0</v>
      </c>
      <c r="P22">
        <f t="shared" si="0"/>
        <v>0</v>
      </c>
      <c r="Q22">
        <f t="shared" si="1"/>
        <v>0</v>
      </c>
      <c r="R22">
        <f t="shared" si="2"/>
        <v>0</v>
      </c>
      <c r="S22">
        <f t="shared" si="3"/>
        <v>0</v>
      </c>
      <c r="T22">
        <f t="shared" si="4"/>
        <v>0</v>
      </c>
    </row>
    <row r="23" spans="2:20" ht="29.25" customHeight="1" x14ac:dyDescent="0.35">
      <c r="B23" s="130" t="s">
        <v>34</v>
      </c>
      <c r="C23" s="135"/>
      <c r="E23" s="173">
        <f ca="1">SUMIFS(TillbehörDB!D:D,TillbehörDB!B:B,Tillbehör!$E$1,TillbehörDB!C:C,Tillbehör!B23)</f>
        <v>0</v>
      </c>
      <c r="F23" s="173">
        <f t="shared" ca="1" si="5"/>
        <v>0</v>
      </c>
      <c r="H23" s="173">
        <f>SUMIFS(TillbehörDB!$D:$D,TillbehörDB!$B:$B,Tillbehör!H$1,TillbehörDB!$C:$C,Tillbehör!$B23)</f>
        <v>425</v>
      </c>
      <c r="I23" s="173">
        <f>SUMIFS(TillbehörDB!$D:$D,TillbehörDB!$B:$B,Tillbehör!I$1,TillbehörDB!$C:$C,Tillbehör!$B23)</f>
        <v>452</v>
      </c>
      <c r="J23" s="173">
        <f>SUMIFS(TillbehörDB!$D:$D,TillbehörDB!$B:$B,Tillbehör!M$1,TillbehörDB!$C:$C,Tillbehör!$B23)</f>
        <v>464</v>
      </c>
      <c r="K23" s="173">
        <f>SUMIFS(TillbehörDB!$D:$D,TillbehörDB!$B:$B,Tillbehör!J$1,TillbehörDB!$C:$C,Tillbehör!$B23)</f>
        <v>403</v>
      </c>
      <c r="L23" s="173">
        <f>SUMIFS(TillbehörDB!$D:$D,TillbehörDB!$B:$B,Tillbehör!K$1,TillbehörDB!$C:$C,Tillbehör!$B23)</f>
        <v>507</v>
      </c>
      <c r="M23" s="173"/>
      <c r="O23">
        <f t="shared" si="6"/>
        <v>0</v>
      </c>
      <c r="P23">
        <f t="shared" si="0"/>
        <v>0</v>
      </c>
      <c r="Q23">
        <f t="shared" si="1"/>
        <v>0</v>
      </c>
      <c r="R23">
        <f t="shared" si="2"/>
        <v>0</v>
      </c>
      <c r="S23">
        <f t="shared" si="3"/>
        <v>0</v>
      </c>
      <c r="T23">
        <f t="shared" si="4"/>
        <v>0</v>
      </c>
    </row>
    <row r="24" spans="2:20" ht="29.25" customHeight="1" x14ac:dyDescent="0.35">
      <c r="B24" s="130" t="s">
        <v>35</v>
      </c>
      <c r="C24" s="135"/>
      <c r="E24" s="173">
        <f ca="1">SUMIFS(TillbehörDB!D:D,TillbehörDB!B:B,Tillbehör!$E$1,TillbehörDB!C:C,Tillbehör!B24)</f>
        <v>0</v>
      </c>
      <c r="F24" s="173">
        <f t="shared" ca="1" si="5"/>
        <v>0</v>
      </c>
      <c r="H24" s="173">
        <f>SUMIFS(TillbehörDB!$D:$D,TillbehörDB!$B:$B,Tillbehör!H$1,TillbehörDB!$C:$C,Tillbehör!$B24)</f>
        <v>580</v>
      </c>
      <c r="I24" s="173">
        <f>SUMIFS(TillbehörDB!$D:$D,TillbehörDB!$B:$B,Tillbehör!I$1,TillbehörDB!$C:$C,Tillbehör!$B24)</f>
        <v>782</v>
      </c>
      <c r="J24" s="173">
        <f>SUMIFS(TillbehörDB!$D:$D,TillbehörDB!$B:$B,Tillbehör!M$1,TillbehörDB!$C:$C,Tillbehör!$B24)</f>
        <v>707</v>
      </c>
      <c r="K24" s="173">
        <f>SUMIFS(TillbehörDB!$D:$D,TillbehörDB!$B:$B,Tillbehör!J$1,TillbehörDB!$C:$C,Tillbehör!$B24)</f>
        <v>612</v>
      </c>
      <c r="L24" s="173">
        <f>SUMIFS(TillbehörDB!$D:$D,TillbehörDB!$B:$B,Tillbehör!K$1,TillbehörDB!$C:$C,Tillbehör!$B24)</f>
        <v>507</v>
      </c>
      <c r="M24" s="173"/>
      <c r="O24">
        <f t="shared" si="6"/>
        <v>0</v>
      </c>
      <c r="P24">
        <f t="shared" si="0"/>
        <v>0</v>
      </c>
      <c r="Q24">
        <f t="shared" si="1"/>
        <v>0</v>
      </c>
      <c r="R24">
        <f t="shared" si="2"/>
        <v>0</v>
      </c>
      <c r="S24">
        <f t="shared" si="3"/>
        <v>0</v>
      </c>
      <c r="T24">
        <f t="shared" si="4"/>
        <v>0</v>
      </c>
    </row>
    <row r="25" spans="2:20" ht="29.25" customHeight="1" x14ac:dyDescent="0.35">
      <c r="B25" s="130" t="s">
        <v>29</v>
      </c>
      <c r="C25" s="135"/>
      <c r="E25" s="173">
        <f ca="1">SUMIFS(TillbehörDB!D:D,TillbehörDB!B:B,Tillbehör!$E$1,TillbehörDB!C:C,Tillbehör!B25)</f>
        <v>0</v>
      </c>
      <c r="F25" s="173">
        <f t="shared" ca="1" si="5"/>
        <v>0</v>
      </c>
      <c r="H25" s="173">
        <f>SUMIFS(TillbehörDB!$D:$D,TillbehörDB!$B:$B,Tillbehör!H$1,TillbehörDB!$C:$C,Tillbehör!$B25)</f>
        <v>454</v>
      </c>
      <c r="I25" s="173">
        <f>SUMIFS(TillbehörDB!$D:$D,TillbehörDB!$B:$B,Tillbehör!I$1,TillbehörDB!$C:$C,Tillbehör!$B25)</f>
        <v>586</v>
      </c>
      <c r="J25" s="173">
        <f>SUMIFS(TillbehörDB!$D:$D,TillbehörDB!$B:$B,Tillbehör!M$1,TillbehörDB!$C:$C,Tillbehör!$B25)</f>
        <v>464</v>
      </c>
      <c r="K25" s="173">
        <f>SUMIFS(TillbehörDB!$D:$D,TillbehörDB!$B:$B,Tillbehör!J$1,TillbehörDB!$C:$C,Tillbehör!$B25)</f>
        <v>458</v>
      </c>
      <c r="L25" s="173">
        <f>SUMIFS(TillbehörDB!$D:$D,TillbehörDB!$B:$B,Tillbehör!K$1,TillbehörDB!$C:$C,Tillbehör!$B25)</f>
        <v>939</v>
      </c>
      <c r="M25" s="173"/>
      <c r="O25">
        <f t="shared" si="6"/>
        <v>0</v>
      </c>
      <c r="P25">
        <f t="shared" si="0"/>
        <v>0</v>
      </c>
      <c r="Q25">
        <f t="shared" si="1"/>
        <v>0</v>
      </c>
      <c r="R25">
        <f t="shared" si="2"/>
        <v>0</v>
      </c>
      <c r="S25">
        <f t="shared" si="3"/>
        <v>0</v>
      </c>
      <c r="T25">
        <f t="shared" si="4"/>
        <v>0</v>
      </c>
    </row>
    <row r="26" spans="2:20" ht="29.25" customHeight="1" x14ac:dyDescent="0.35">
      <c r="B26" s="130" t="s">
        <v>30</v>
      </c>
      <c r="C26" s="135"/>
      <c r="E26" s="173">
        <f ca="1">SUMIFS(TillbehörDB!D:D,TillbehörDB!B:B,Tillbehör!$E$1,TillbehörDB!C:C,Tillbehör!B26)</f>
        <v>0</v>
      </c>
      <c r="F26" s="173">
        <f t="shared" ca="1" si="5"/>
        <v>0</v>
      </c>
      <c r="H26" s="173">
        <f>SUMIFS(TillbehörDB!$D:$D,TillbehörDB!$B:$B,Tillbehör!H$1,TillbehörDB!$C:$C,Tillbehör!$B26)</f>
        <v>206</v>
      </c>
      <c r="I26" s="173">
        <f>SUMIFS(TillbehörDB!$D:$D,TillbehörDB!$B:$B,Tillbehör!I$1,TillbehörDB!$C:$C,Tillbehör!$B26)</f>
        <v>1158</v>
      </c>
      <c r="J26" s="173">
        <f>SUMIFS(TillbehörDB!$D:$D,TillbehörDB!$B:$B,Tillbehör!M$1,TillbehörDB!$C:$C,Tillbehör!$B26)</f>
        <v>271</v>
      </c>
      <c r="K26" s="173">
        <f>SUMIFS(TillbehörDB!$D:$D,TillbehörDB!$B:$B,Tillbehör!J$1,TillbehörDB!$C:$C,Tillbehör!$B26)</f>
        <v>1373</v>
      </c>
      <c r="L26" s="173">
        <f>SUMIFS(TillbehörDB!$D:$D,TillbehörDB!$B:$B,Tillbehör!K$1,TillbehörDB!$C:$C,Tillbehör!$B26)</f>
        <v>900</v>
      </c>
      <c r="M26" s="173"/>
      <c r="O26">
        <f t="shared" si="6"/>
        <v>0</v>
      </c>
      <c r="P26">
        <f t="shared" si="0"/>
        <v>0</v>
      </c>
      <c r="Q26">
        <f t="shared" si="1"/>
        <v>0</v>
      </c>
      <c r="R26">
        <f t="shared" si="2"/>
        <v>0</v>
      </c>
      <c r="S26">
        <f t="shared" si="3"/>
        <v>0</v>
      </c>
      <c r="T26">
        <f t="shared" si="4"/>
        <v>0</v>
      </c>
    </row>
    <row r="28" spans="2:20" ht="29.25" customHeight="1" x14ac:dyDescent="0.35">
      <c r="E28" s="106" t="s">
        <v>454</v>
      </c>
      <c r="F28" s="173">
        <f ca="1">SUM(F11:F26)</f>
        <v>0</v>
      </c>
    </row>
  </sheetData>
  <sheetProtection algorithmName="SHA-512" hashValue="UwP3D7FjE6yTdLTLhx0oQBhcRVnKOOXnzqQMm2+wUO5A66XuXrqQYw+cZXjvVaHSG91iTXkh9xjOoSx0TmbATA==" saltValue="sRH4+kmmPz1ZsJioOyI4mw==" spinCount="100000" sheet="1" objects="1" scenarios="1"/>
  <mergeCells count="2">
    <mergeCell ref="E9:F9"/>
    <mergeCell ref="H9:M9"/>
  </mergeCells>
  <conditionalFormatting sqref="C11:C26">
    <cfRule type="expression" dxfId="22" priority="1">
      <formula>C11=$AE11</formula>
    </cfRule>
  </conditionalFormatting>
  <dataValidations count="1">
    <dataValidation type="whole" operator="greaterThanOrEqual" allowBlank="1" showInputMessage="1" showErrorMessage="1" sqref="C11:C26" xr:uid="{00000000-0002-0000-0600-000000000000}">
      <formula1>0</formula1>
    </dataValidation>
  </dataValidations>
  <pageMargins left="0.7" right="0.7" top="0.75" bottom="0.75" header="0.3" footer="0.3"/>
  <pageSetup scale="5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43606F"/>
    <pageSetUpPr fitToPage="1"/>
  </sheetPr>
  <dimension ref="B1:U32"/>
  <sheetViews>
    <sheetView showGridLines="0" topLeftCell="A8" zoomScale="70" zoomScaleNormal="70" workbookViewId="0">
      <selection activeCell="M45" sqref="M45"/>
    </sheetView>
  </sheetViews>
  <sheetFormatPr defaultColWidth="9.1796875" defaultRowHeight="14.5" outlineLevelRow="1" outlineLevelCol="1" x14ac:dyDescent="0.35"/>
  <cols>
    <col min="1" max="4" width="0.453125" customWidth="1"/>
    <col min="5" max="6" width="22.26953125" customWidth="1"/>
    <col min="7" max="10" width="22.1796875" customWidth="1"/>
    <col min="11" max="11" width="22.1796875" hidden="1" customWidth="1" outlineLevel="1"/>
    <col min="12" max="12" width="27.1796875" customWidth="1" collapsed="1"/>
    <col min="13" max="13" width="21.453125" customWidth="1"/>
    <col min="14" max="14" width="24.54296875" customWidth="1"/>
  </cols>
  <sheetData>
    <row r="1" spans="2:21" hidden="1" outlineLevel="1" x14ac:dyDescent="0.35">
      <c r="E1" t="s">
        <v>495</v>
      </c>
      <c r="F1" t="s">
        <v>496</v>
      </c>
      <c r="G1" t="s">
        <v>497</v>
      </c>
      <c r="H1" t="s">
        <v>498</v>
      </c>
      <c r="I1" t="s">
        <v>499</v>
      </c>
      <c r="J1" t="s">
        <v>500</v>
      </c>
      <c r="K1" t="s">
        <v>501</v>
      </c>
      <c r="L1" t="s">
        <v>505</v>
      </c>
      <c r="M1" t="s">
        <v>448</v>
      </c>
      <c r="N1" t="s">
        <v>502</v>
      </c>
      <c r="O1" t="s">
        <v>503</v>
      </c>
      <c r="P1" t="s">
        <v>504</v>
      </c>
      <c r="U1" t="s">
        <v>510</v>
      </c>
    </row>
    <row r="2" spans="2:21" hidden="1" outlineLevel="1" x14ac:dyDescent="0.35">
      <c r="E2">
        <f xml:space="preserve"> 0.0001 - 0.000768</f>
        <v>-6.6799999999999997E-4</v>
      </c>
      <c r="F2" t="s">
        <v>150</v>
      </c>
      <c r="G2">
        <f ca="1">Surfplattor!O2+Bildskärmar!O2+'Bärbara datorer (B)'!O2+'Bärbara datorer (A)'!O2 +SUM(Tillbehör!$P:$P)</f>
        <v>0</v>
      </c>
      <c r="H2" t="b">
        <f ca="1">IF(E20="undanta",FALSE,IFERROR(IF(G2=0,FALSE,K20),FALSE))</f>
        <v>0</v>
      </c>
      <c r="I2" s="175" t="str">
        <f ca="1">IF(H2,G2,"")</f>
        <v/>
      </c>
      <c r="J2" s="175" t="str">
        <f ca="1">IFERROR(I2+E2,"")</f>
        <v/>
      </c>
      <c r="K2" s="175" t="str">
        <f ca="1">IFERROR(SMALL($I$2:$I$7,ROW(K1)),"")</f>
        <v/>
      </c>
      <c r="L2" t="str">
        <f ca="1">IFERROR(INDEX($F$2:$F$7,MATCH(K2,$G$2:$G$7,0)),"")</f>
        <v/>
      </c>
      <c r="M2">
        <v>1</v>
      </c>
      <c r="N2" s="175" t="str">
        <f ca="1">IFERROR(SMALL($J$2:$J$7,ROW(N1)),"")</f>
        <v/>
      </c>
      <c r="O2">
        <f ca="1">INDEX($M$2:$M$7,MATCH(N2,$N$2:$N$7,0))</f>
        <v>1</v>
      </c>
      <c r="P2" t="str">
        <f ca="1">IF(N1=N2,_xlfn.XLOOKUP(N2,$J$2:$J$7,$F$2:$F$7,,0,-1),INDEX($F$2:$F$7,MATCH(N2,$J$2:$J$7,0)))</f>
        <v>Atea Sverige AB</v>
      </c>
    </row>
    <row r="3" spans="2:21" hidden="1" outlineLevel="1" x14ac:dyDescent="0.35">
      <c r="E3">
        <f xml:space="preserve"> 0.0001 - 0.000598</f>
        <v>-4.9799999999999996E-4</v>
      </c>
      <c r="F3" t="s">
        <v>167</v>
      </c>
      <c r="G3">
        <f ca="1">Surfplattor!O5+Bildskärmar!O5+'Bärbara datorer (B)'!O5+'Bärbara datorer (A)'!O5 +SUM(Tillbehör!$S:$S)</f>
        <v>0</v>
      </c>
      <c r="H3" t="b">
        <f ca="1">IF(E24="undanta",FALSE,IFERROR(IF(G3=0,FALSE,K24),FALSE))</f>
        <v>0</v>
      </c>
      <c r="I3" s="175" t="str">
        <f t="shared" ref="I3:I7" ca="1" si="0">IF(H3,G3,"")</f>
        <v/>
      </c>
      <c r="J3" s="175" t="str">
        <f t="shared" ref="J3:J7" ca="1" si="1">IFERROR(I3+E3,"")</f>
        <v/>
      </c>
      <c r="K3" s="175" t="str">
        <f t="shared" ref="K3:K7" ca="1" si="2">IFERROR(SMALL($I$2:$I$7,ROW(K2)),"")</f>
        <v/>
      </c>
      <c r="L3" t="str">
        <f t="shared" ref="L3:L7" ca="1" si="3">IFERROR(INDEX($F$2:$F$7,MATCH(K3,$G$2:$G$7,0)),"")</f>
        <v/>
      </c>
      <c r="M3">
        <v>2</v>
      </c>
      <c r="N3" s="175" t="str">
        <f t="shared" ref="N3:N7" ca="1" si="4">IFERROR(SMALL($J$2:$J$7,ROW(N2)),"")</f>
        <v/>
      </c>
      <c r="O3">
        <f t="shared" ref="O3:O6" ca="1" si="5">INDEX($M$2:$M$7,MATCH(N3,$N$2:$N$7,0))</f>
        <v>1</v>
      </c>
      <c r="P3" t="str">
        <f t="shared" ref="P3:P7" ca="1" si="6">IF(N2=N3,_xlfn.XLOOKUP(N3,$J$2:$J$7,$F$2:$F$7,,0,-1),INDEX($F$2:$F$7,MATCH(N3,$J$2:$J$7,0)))</f>
        <v>Foxway Education AB</v>
      </c>
    </row>
    <row r="4" spans="2:21" hidden="1" outlineLevel="1" x14ac:dyDescent="0.35">
      <c r="E4">
        <f xml:space="preserve"> 0.0001 - 0.000513</f>
        <v>-4.1300000000000001E-4</v>
      </c>
      <c r="F4" t="s">
        <v>546</v>
      </c>
      <c r="G4" s="175">
        <f ca="1">Surfplattor!O6+Bildskärmar!O6+'Bärbara datorer (B)'!O6+'Bärbara datorer (A)'!O6 +SUM(Tillbehör!$T:$T)</f>
        <v>0</v>
      </c>
      <c r="H4" t="b">
        <f ca="1">IF(E21="undanta",FALSE,IFERROR(IF(G4=0,FALSE,K21),FALSE))</f>
        <v>0</v>
      </c>
      <c r="I4" s="175" t="str">
        <f t="shared" ca="1" si="0"/>
        <v/>
      </c>
      <c r="J4" s="175" t="str">
        <f t="shared" ca="1" si="1"/>
        <v/>
      </c>
      <c r="K4" s="175" t="str">
        <f t="shared" ca="1" si="2"/>
        <v/>
      </c>
      <c r="L4" t="str">
        <f t="shared" ca="1" si="3"/>
        <v/>
      </c>
      <c r="M4">
        <v>3</v>
      </c>
      <c r="N4" s="175" t="str">
        <f t="shared" ca="1" si="4"/>
        <v/>
      </c>
      <c r="O4">
        <f t="shared" ca="1" si="5"/>
        <v>1</v>
      </c>
      <c r="P4" t="str">
        <f t="shared" ca="1" si="6"/>
        <v>Foxway Education AB</v>
      </c>
    </row>
    <row r="5" spans="2:21" ht="21" hidden="1" customHeight="1" outlineLevel="1" x14ac:dyDescent="0.35">
      <c r="B5" s="227"/>
      <c r="C5" s="227"/>
      <c r="D5" s="227"/>
      <c r="E5">
        <f xml:space="preserve"> 0.0001 -  0.000513</f>
        <v>-4.1300000000000001E-4</v>
      </c>
      <c r="F5" t="s">
        <v>162</v>
      </c>
      <c r="G5">
        <f ca="1">Surfplattor!O1+Bildskärmar!O1+'Bärbara datorer (B)'!O1+'Bärbara datorer (A)'!O1 +SUM(Tillbehör!$O:$O)</f>
        <v>0</v>
      </c>
      <c r="H5" t="b">
        <f ca="1">IF(E19="undanta",FALSE,IFERROR(IF(G5=0,FALSE,K19),FALSE))</f>
        <v>0</v>
      </c>
      <c r="I5" s="175" t="str">
        <f t="shared" ca="1" si="0"/>
        <v/>
      </c>
      <c r="J5" s="175" t="str">
        <f t="shared" ca="1" si="1"/>
        <v/>
      </c>
      <c r="K5" s="175" t="str">
        <f t="shared" ca="1" si="2"/>
        <v/>
      </c>
      <c r="L5" t="str">
        <f t="shared" ca="1" si="3"/>
        <v/>
      </c>
      <c r="M5">
        <v>4</v>
      </c>
      <c r="N5" t="str">
        <f t="shared" ca="1" si="4"/>
        <v/>
      </c>
      <c r="O5">
        <f t="shared" ca="1" si="5"/>
        <v>1</v>
      </c>
      <c r="P5" t="str">
        <f t="shared" ca="1" si="6"/>
        <v>Foxway Education AB</v>
      </c>
    </row>
    <row r="6" spans="2:21" ht="21" hidden="1" customHeight="1" outlineLevel="1" x14ac:dyDescent="0.35">
      <c r="B6" s="227"/>
      <c r="C6" s="227"/>
      <c r="D6" s="227"/>
      <c r="E6">
        <f xml:space="preserve"> 0.0001 - 0.000428</f>
        <v>-3.28E-4</v>
      </c>
      <c r="F6" t="s">
        <v>128</v>
      </c>
      <c r="G6">
        <f ca="1">Surfplattor!O3+Bildskärmar!O3+'Bärbara datorer (B)'!O3+'Bärbara datorer (A)'!O3 +SUM(Tillbehör!$Q:$Q)</f>
        <v>0</v>
      </c>
      <c r="H6" t="b">
        <f ca="1">IF(E22="undanta",FALSE,IFERROR(IF(G6=0,FALSE,K22),FALSE))</f>
        <v>0</v>
      </c>
      <c r="I6" s="175" t="str">
        <f t="shared" ca="1" si="0"/>
        <v/>
      </c>
      <c r="J6" s="175" t="str">
        <f t="shared" ca="1" si="1"/>
        <v/>
      </c>
      <c r="K6" s="175" t="str">
        <f t="shared" ca="1" si="2"/>
        <v/>
      </c>
      <c r="L6" t="str">
        <f t="shared" ca="1" si="3"/>
        <v/>
      </c>
      <c r="M6">
        <v>5</v>
      </c>
      <c r="N6" t="str">
        <f t="shared" ca="1" si="4"/>
        <v/>
      </c>
      <c r="O6">
        <f t="shared" ca="1" si="5"/>
        <v>1</v>
      </c>
      <c r="P6" t="str">
        <f t="shared" ca="1" si="6"/>
        <v>Foxway Education AB</v>
      </c>
    </row>
    <row r="7" spans="2:21" hidden="1" outlineLevel="1" x14ac:dyDescent="0.35">
      <c r="B7" s="227"/>
      <c r="C7" s="227"/>
      <c r="D7" s="227"/>
      <c r="E7">
        <f xml:space="preserve"> 0.0001 - 0.000428</f>
        <v>-3.28E-4</v>
      </c>
      <c r="F7" t="s">
        <v>169</v>
      </c>
      <c r="G7">
        <f ca="1">Surfplattor!O4+Bildskärmar!O4+'Bärbara datorer (B)'!O4+'Bärbara datorer (A)'!O4 +SUM(Tillbehör!$R:$R)</f>
        <v>0</v>
      </c>
      <c r="H7" t="b">
        <f ca="1">IF(E23="undanta",FALSE,IFERROR(IF(G7=0,FALSE,K23),FALSE))</f>
        <v>0</v>
      </c>
      <c r="I7" s="175" t="str">
        <f t="shared" ca="1" si="0"/>
        <v/>
      </c>
      <c r="J7" s="175" t="str">
        <f t="shared" ca="1" si="1"/>
        <v/>
      </c>
      <c r="K7" s="175" t="str">
        <f t="shared" ca="1" si="2"/>
        <v/>
      </c>
      <c r="L7" t="str">
        <f t="shared" ca="1" si="3"/>
        <v/>
      </c>
      <c r="M7">
        <v>6</v>
      </c>
      <c r="N7" t="str">
        <f t="shared" ca="1" si="4"/>
        <v/>
      </c>
      <c r="O7">
        <f ca="1">INDEX($M$2:$M$7,MATCH(N7,$N$2:$N$7,0))</f>
        <v>1</v>
      </c>
      <c r="P7" t="str">
        <f t="shared" ca="1" si="6"/>
        <v>Foxway Education AB</v>
      </c>
    </row>
    <row r="8" spans="2:21" ht="49.5" customHeight="1" collapsed="1" x14ac:dyDescent="0.35"/>
    <row r="9" spans="2:21" ht="27.75" customHeight="1" x14ac:dyDescent="0.35">
      <c r="E9" s="230" t="str">
        <f ca="1">IF(F30&gt;100,"Avropet omfattar fler än 100 digitala enheter. Avrop ska då ske genom förnyad konkurrensutsättning. För mer information se avsnitt 5 i avropsvägledningen.",IF(K18,"","Ingen leverantör kan tillhandahålla det totala behovet"))</f>
        <v/>
      </c>
      <c r="F9" s="230"/>
      <c r="G9" s="230"/>
      <c r="H9" s="230"/>
      <c r="I9" s="230"/>
      <c r="J9" s="230"/>
      <c r="K9" s="230"/>
      <c r="L9" s="230"/>
      <c r="M9" s="230"/>
    </row>
    <row r="10" spans="2:21" ht="36.75" customHeight="1" x14ac:dyDescent="0.35">
      <c r="E10" s="141" t="s">
        <v>448</v>
      </c>
      <c r="F10" s="141" t="s">
        <v>226</v>
      </c>
      <c r="G10" s="142" t="s">
        <v>277</v>
      </c>
      <c r="H10" s="142" t="s">
        <v>468</v>
      </c>
      <c r="I10" s="228" t="s">
        <v>449</v>
      </c>
      <c r="J10" s="229"/>
      <c r="L10" s="142" t="s">
        <v>450</v>
      </c>
      <c r="M10" s="170" t="s">
        <v>451</v>
      </c>
    </row>
    <row r="11" spans="2:21" ht="36.75" customHeight="1" x14ac:dyDescent="0.35">
      <c r="E11" s="145">
        <f ca="1">IFERROR(O2,"")</f>
        <v>1</v>
      </c>
      <c r="F11" s="143" t="str">
        <f ca="1">IF($F$30&gt;100,"",IFERROR(IF(N2&lt;&gt;"",P2,""),""))</f>
        <v/>
      </c>
      <c r="G11" s="144" t="str">
        <f ca="1">IFERROR(INDEX($G$2:$G$7,MATCH(F11,$F$2:$F$7,0)),"")</f>
        <v/>
      </c>
      <c r="H11" s="167" t="str">
        <f ca="1">IFERROR(INDEX(Kontaktuppgifter!$A$2:$F$8,MATCH(Överblick!$F11,Kontaktuppgifter!$A$2:$A$8,0),MATCH(Överblick!H$10,Kontaktuppgifter!$A$2:$F$2,0)),"")</f>
        <v/>
      </c>
      <c r="I11" s="225" t="str">
        <f ca="1">IFERROR(INDEX(Kontaktuppgifter!$A$2:$F$8,MATCH(Överblick!$F11,Kontaktuppgifter!$A$2:$A$8,0),MATCH(Överblick!I$10,Kontaktuppgifter!$A$2:$F$2,0)),"")</f>
        <v/>
      </c>
      <c r="J11" s="226"/>
      <c r="K11" s="167"/>
      <c r="L11" s="167" t="str">
        <f ca="1">IFERROR(INDEX(Kontaktuppgifter!$A$2:$F$8,MATCH(Överblick!$F11,Kontaktuppgifter!$A$2:$A$8,0),MATCH(Överblick!L$10,Kontaktuppgifter!$A$2:$F$2,0)),"")</f>
        <v/>
      </c>
      <c r="M11" s="171" t="str">
        <f ca="1">IFERROR(INDEX(Kontaktuppgifter!$A$2:$F$8,MATCH(Överblick!$F11,Kontaktuppgifter!$A$2:$A$8,0),MATCH(Överblick!M$10,Kontaktuppgifter!$A$2:$F$2,0)),"")</f>
        <v/>
      </c>
    </row>
    <row r="12" spans="2:21" ht="36.75" customHeight="1" x14ac:dyDescent="0.35">
      <c r="E12" s="145">
        <f t="shared" ref="E12:E16" ca="1" si="7">IFERROR(O3,"")</f>
        <v>1</v>
      </c>
      <c r="F12" s="143" t="str">
        <f t="shared" ref="F12:F16" ca="1" si="8">IF($F$30&gt;100,"",IFERROR(IF(N3&lt;&gt;"",P3,""),""))</f>
        <v/>
      </c>
      <c r="G12" s="144" t="str">
        <f t="shared" ref="G12:G16" ca="1" si="9">IFERROR(INDEX($G$2:$G$7,MATCH(F12,$F$2:$F$7,0)),"")</f>
        <v/>
      </c>
      <c r="H12" s="167" t="str">
        <f ca="1">IFERROR(INDEX(Kontaktuppgifter!$A$2:$F$8,MATCH(Överblick!$F12,Kontaktuppgifter!$A$2:$A$8,0),MATCH(Överblick!H$10,Kontaktuppgifter!$A$2:$F$2,0)),"")</f>
        <v/>
      </c>
      <c r="I12" s="225" t="str">
        <f ca="1">IFERROR(INDEX(Kontaktuppgifter!$A$2:$F$8,MATCH(Överblick!$F12,Kontaktuppgifter!$A$2:$A$8,0),MATCH(Överblick!I$10,Kontaktuppgifter!$A$2:$F$2,0)),"")</f>
        <v/>
      </c>
      <c r="J12" s="226"/>
      <c r="K12" s="167"/>
      <c r="L12" s="167" t="str">
        <f ca="1">IFERROR(INDEX(Kontaktuppgifter!$A$2:$F$8,MATCH(Överblick!$F12,Kontaktuppgifter!$A$2:$A$8,0),MATCH(Överblick!L$10,Kontaktuppgifter!$A$2:$F$2,0)),"")</f>
        <v/>
      </c>
      <c r="M12" s="171" t="str">
        <f ca="1">IFERROR(INDEX(Kontaktuppgifter!$A$2:$F$8,MATCH(Överblick!$F12,Kontaktuppgifter!$A$2:$A$8,0),MATCH(Överblick!M$10,Kontaktuppgifter!$A$2:$F$2,0)),"")</f>
        <v/>
      </c>
    </row>
    <row r="13" spans="2:21" ht="36.75" customHeight="1" x14ac:dyDescent="0.35">
      <c r="E13" s="145">
        <f t="shared" ca="1" si="7"/>
        <v>1</v>
      </c>
      <c r="F13" s="143" t="str">
        <f t="shared" ca="1" si="8"/>
        <v/>
      </c>
      <c r="G13" s="144" t="str">
        <f t="shared" ca="1" si="9"/>
        <v/>
      </c>
      <c r="H13" s="167" t="str">
        <f ca="1">IFERROR(INDEX(Kontaktuppgifter!$A$2:$F$8,MATCH(Överblick!$F13,Kontaktuppgifter!$A$2:$A$8,0),MATCH(Överblick!H$10,Kontaktuppgifter!$A$2:$F$2,0)),"")</f>
        <v/>
      </c>
      <c r="I13" s="225" t="str">
        <f ca="1">IFERROR(INDEX(Kontaktuppgifter!$A$2:$F$8,MATCH(Överblick!$F13,Kontaktuppgifter!$A$2:$A$8,0),MATCH(Överblick!I$10,Kontaktuppgifter!$A$2:$F$2,0)),"")</f>
        <v/>
      </c>
      <c r="J13" s="226"/>
      <c r="K13" s="167"/>
      <c r="L13" s="167" t="str">
        <f ca="1">IFERROR(INDEX(Kontaktuppgifter!$A$2:$F$8,MATCH(Överblick!$F13,Kontaktuppgifter!$A$2:$A$8,0),MATCH(Överblick!L$10,Kontaktuppgifter!$A$2:$F$2,0)),"")</f>
        <v/>
      </c>
      <c r="M13" s="171" t="str">
        <f ca="1">IFERROR(INDEX(Kontaktuppgifter!$A$2:$F$8,MATCH(Överblick!$F13,Kontaktuppgifter!$A$2:$A$8,0),MATCH(Överblick!M$10,Kontaktuppgifter!$A$2:$F$2,0)),"")</f>
        <v/>
      </c>
    </row>
    <row r="14" spans="2:21" ht="36.75" customHeight="1" x14ac:dyDescent="0.35">
      <c r="C14" s="108"/>
      <c r="D14" s="108"/>
      <c r="E14" s="145">
        <f t="shared" ca="1" si="7"/>
        <v>1</v>
      </c>
      <c r="F14" s="143" t="str">
        <f t="shared" ca="1" si="8"/>
        <v/>
      </c>
      <c r="G14" s="144" t="str">
        <f t="shared" ca="1" si="9"/>
        <v/>
      </c>
      <c r="H14" s="167" t="str">
        <f ca="1">IFERROR(INDEX(Kontaktuppgifter!$A$2:$F$8,MATCH(Överblick!$F14,Kontaktuppgifter!$A$2:$A$8,0),MATCH(Överblick!H$10,Kontaktuppgifter!$A$2:$F$2,0)),"")</f>
        <v/>
      </c>
      <c r="I14" s="225" t="str">
        <f ca="1">IFERROR(INDEX(Kontaktuppgifter!$A$2:$F$8,MATCH(Överblick!$F14,Kontaktuppgifter!$A$2:$A$8,0),MATCH(Överblick!I$10,Kontaktuppgifter!$A$2:$F$2,0)),"")</f>
        <v/>
      </c>
      <c r="J14" s="226"/>
      <c r="K14" s="167"/>
      <c r="L14" s="167" t="str">
        <f ca="1">IFERROR(INDEX(Kontaktuppgifter!$A$2:$F$8,MATCH(Överblick!$F14,Kontaktuppgifter!$A$2:$A$8,0),MATCH(Överblick!L$10,Kontaktuppgifter!$A$2:$F$2,0)),"")</f>
        <v/>
      </c>
      <c r="M14" s="171" t="str">
        <f ca="1">IFERROR(INDEX(Kontaktuppgifter!$A$2:$F$8,MATCH(Överblick!$F14,Kontaktuppgifter!$A$2:$A$8,0),MATCH(Överblick!M$10,Kontaktuppgifter!$A$2:$F$2,0)),"")</f>
        <v/>
      </c>
    </row>
    <row r="15" spans="2:21" ht="36.75" customHeight="1" x14ac:dyDescent="0.35">
      <c r="C15" s="108"/>
      <c r="D15" s="108"/>
      <c r="E15" s="145">
        <f t="shared" ca="1" si="7"/>
        <v>1</v>
      </c>
      <c r="F15" s="143" t="str">
        <f t="shared" ca="1" si="8"/>
        <v/>
      </c>
      <c r="G15" s="144" t="str">
        <f t="shared" ca="1" si="9"/>
        <v/>
      </c>
      <c r="H15" s="167" t="str">
        <f ca="1">IFERROR(INDEX(Kontaktuppgifter!$A$2:$F$8,MATCH(Överblick!$F15,Kontaktuppgifter!$A$2:$A$8,0),MATCH(Överblick!H$10,Kontaktuppgifter!$A$2:$F$2,0)),"")</f>
        <v/>
      </c>
      <c r="I15" s="225" t="str">
        <f ca="1">IFERROR(INDEX(Kontaktuppgifter!$A$2:$F$8,MATCH(Överblick!$F15,Kontaktuppgifter!$A$2:$A$8,0),MATCH(Överblick!I$10,Kontaktuppgifter!$A$2:$F$2,0)),"")</f>
        <v/>
      </c>
      <c r="J15" s="226"/>
      <c r="K15" s="167"/>
      <c r="L15" s="167" t="str">
        <f ca="1">IFERROR(INDEX(Kontaktuppgifter!$A$2:$F$8,MATCH(Överblick!$F15,Kontaktuppgifter!$A$2:$A$8,0),MATCH(Överblick!L$10,Kontaktuppgifter!$A$2:$F$2,0)),"")</f>
        <v/>
      </c>
      <c r="M15" s="171" t="str">
        <f ca="1">IFERROR(INDEX(Kontaktuppgifter!$A$2:$F$8,MATCH(Överblick!$F15,Kontaktuppgifter!$A$2:$A$8,0),MATCH(Överblick!M$10,Kontaktuppgifter!$A$2:$F$2,0)),"")</f>
        <v/>
      </c>
    </row>
    <row r="16" spans="2:21" ht="36.75" customHeight="1" x14ac:dyDescent="0.35">
      <c r="C16" s="108"/>
      <c r="D16" s="108"/>
      <c r="E16" s="145">
        <f t="shared" ca="1" si="7"/>
        <v>1</v>
      </c>
      <c r="F16" s="143" t="str">
        <f t="shared" ca="1" si="8"/>
        <v/>
      </c>
      <c r="G16" s="144" t="str">
        <f t="shared" ca="1" si="9"/>
        <v/>
      </c>
      <c r="H16" s="167" t="str">
        <f ca="1">IFERROR(INDEX(Kontaktuppgifter!$A$2:$F$8,MATCH(Överblick!$F16,Kontaktuppgifter!$A$2:$A$8,0),MATCH(Överblick!H$10,Kontaktuppgifter!$A$2:$F$2,0)),"")</f>
        <v/>
      </c>
      <c r="I16" s="225" t="str">
        <f ca="1">IFERROR(INDEX(Kontaktuppgifter!$A$2:$F$8,MATCH(Överblick!$F16,Kontaktuppgifter!$A$2:$A$8,0),MATCH(Överblick!I$10,Kontaktuppgifter!$A$2:$F$2,0)),"")</f>
        <v/>
      </c>
      <c r="J16" s="226"/>
      <c r="K16" s="167"/>
      <c r="L16" s="167" t="str">
        <f ca="1">IFERROR(INDEX(Kontaktuppgifter!$A$2:$F$8,MATCH(Överblick!$F16,Kontaktuppgifter!$A$2:$A$8,0),MATCH(Överblick!L$10,Kontaktuppgifter!$A$2:$F$2,0)),"")</f>
        <v/>
      </c>
      <c r="M16" s="171" t="str">
        <f ca="1">IFERROR(INDEX(Kontaktuppgifter!$A$2:$F$8,MATCH(Överblick!$F16,Kontaktuppgifter!$A$2:$A$8,0),MATCH(Överblick!M$10,Kontaktuppgifter!$A$2:$F$2,0)),"")</f>
        <v/>
      </c>
    </row>
    <row r="17" spans="2:12" ht="15.75" customHeight="1" x14ac:dyDescent="0.35">
      <c r="C17" s="108"/>
      <c r="D17" s="108"/>
      <c r="E17" s="108"/>
      <c r="F17" s="108"/>
      <c r="G17" s="108"/>
    </row>
    <row r="18" spans="2:12" ht="37.5" customHeight="1" x14ac:dyDescent="0.35">
      <c r="B18" s="134"/>
      <c r="C18" s="62"/>
      <c r="D18" s="62"/>
      <c r="E18" s="147" t="s">
        <v>453</v>
      </c>
      <c r="F18" s="107" t="s">
        <v>226</v>
      </c>
      <c r="G18" s="138" t="s">
        <v>457</v>
      </c>
      <c r="H18" s="138" t="s">
        <v>458</v>
      </c>
      <c r="I18" s="138" t="s">
        <v>274</v>
      </c>
      <c r="J18" s="138" t="s">
        <v>275</v>
      </c>
      <c r="K18" s="139" t="b">
        <f ca="1">IF(F30&gt;100,FALSE,IF(COUNTIF(K19:K24,TRUE)=0,FALSE,TRUE))</f>
        <v>1</v>
      </c>
      <c r="L18" s="148" t="s">
        <v>277</v>
      </c>
    </row>
    <row r="19" spans="2:12" ht="37.5" customHeight="1" x14ac:dyDescent="0.35">
      <c r="B19" s="134"/>
      <c r="C19" s="62"/>
      <c r="D19" s="62"/>
      <c r="E19" s="172"/>
      <c r="F19" s="146" t="s">
        <v>162</v>
      </c>
      <c r="G19" s="48" t="b">
        <f>'Bärbara datorer (A)'!P1</f>
        <v>1</v>
      </c>
      <c r="H19" s="48" t="b">
        <f>'Bärbara datorer (B)'!P1</f>
        <v>1</v>
      </c>
      <c r="I19" s="48" t="b">
        <f>Surfplattor!P1</f>
        <v>1</v>
      </c>
      <c r="J19" s="48" t="b">
        <f>Bildskärmar!P1</f>
        <v>1</v>
      </c>
      <c r="K19" s="49" t="b">
        <f t="shared" ref="K19:K24" si="10">IF(COUNTIF(G19:J19,FALSE)=0,TRUE,FALSE)</f>
        <v>1</v>
      </c>
      <c r="L19" s="149">
        <f ca="1">IF(K19=FALSE,"-",G5)</f>
        <v>0</v>
      </c>
    </row>
    <row r="20" spans="2:12" ht="37.5" customHeight="1" x14ac:dyDescent="0.35">
      <c r="B20" s="134"/>
      <c r="C20" s="62"/>
      <c r="D20" s="62"/>
      <c r="E20" s="172"/>
      <c r="F20" s="146" t="s">
        <v>150</v>
      </c>
      <c r="G20" s="48" t="b">
        <f>'Bärbara datorer (A)'!P2</f>
        <v>1</v>
      </c>
      <c r="H20" s="48" t="b">
        <f>'Bärbara datorer (B)'!P2</f>
        <v>1</v>
      </c>
      <c r="I20" s="48" t="b">
        <f>Surfplattor!P2</f>
        <v>1</v>
      </c>
      <c r="J20" s="48" t="b">
        <f>Bildskärmar!P2</f>
        <v>1</v>
      </c>
      <c r="K20" s="49" t="b">
        <f t="shared" si="10"/>
        <v>1</v>
      </c>
      <c r="L20" s="149">
        <f ca="1">IF(K20=FALSE,"-",G2)</f>
        <v>0</v>
      </c>
    </row>
    <row r="21" spans="2:12" ht="37.5" customHeight="1" x14ac:dyDescent="0.35">
      <c r="B21" s="134"/>
      <c r="C21" s="62"/>
      <c r="D21" s="62"/>
      <c r="E21" s="172"/>
      <c r="F21" s="146" t="s">
        <v>546</v>
      </c>
      <c r="G21" s="48" t="b">
        <f>'Bärbara datorer (A)'!P6</f>
        <v>1</v>
      </c>
      <c r="H21" s="48" t="b">
        <f>'Bärbara datorer (B)'!P6</f>
        <v>1</v>
      </c>
      <c r="I21" s="48" t="b">
        <f>Surfplattor!P6</f>
        <v>1</v>
      </c>
      <c r="J21" s="48" t="b">
        <f>Bildskärmar!P6</f>
        <v>1</v>
      </c>
      <c r="K21" s="49" t="b">
        <f t="shared" si="10"/>
        <v>1</v>
      </c>
      <c r="L21" s="149">
        <f ca="1">IF(K21=FALSE,"-",G4)</f>
        <v>0</v>
      </c>
    </row>
    <row r="22" spans="2:12" ht="37.5" customHeight="1" x14ac:dyDescent="0.35">
      <c r="B22" s="134"/>
      <c r="C22" s="62"/>
      <c r="D22" s="62"/>
      <c r="E22" s="172"/>
      <c r="F22" s="146" t="s">
        <v>128</v>
      </c>
      <c r="G22" s="48" t="b">
        <f>'Bärbara datorer (A)'!P3</f>
        <v>1</v>
      </c>
      <c r="H22" s="48" t="b">
        <f>'Bärbara datorer (B)'!P3</f>
        <v>1</v>
      </c>
      <c r="I22" s="48" t="b">
        <f>Surfplattor!P3</f>
        <v>1</v>
      </c>
      <c r="J22" s="48" t="b">
        <f>Bildskärmar!P3</f>
        <v>1</v>
      </c>
      <c r="K22" s="49" t="b">
        <f>IF(COUNTIF(G22:J22,FALSE)=0,TRUE,FALSE)</f>
        <v>1</v>
      </c>
      <c r="L22" s="149">
        <f ca="1">IF(K22=FALSE,"-",G6)</f>
        <v>0</v>
      </c>
    </row>
    <row r="23" spans="2:12" ht="37.5" customHeight="1" x14ac:dyDescent="0.35">
      <c r="B23" s="134"/>
      <c r="C23" s="62"/>
      <c r="D23" s="62"/>
      <c r="E23" s="172"/>
      <c r="F23" s="146" t="s">
        <v>169</v>
      </c>
      <c r="G23" s="48" t="b">
        <f>'Bärbara datorer (A)'!P4</f>
        <v>1</v>
      </c>
      <c r="H23" s="48" t="b">
        <f>'Bärbara datorer (B)'!P4</f>
        <v>1</v>
      </c>
      <c r="I23" s="48" t="b">
        <f>Surfplattor!P4</f>
        <v>1</v>
      </c>
      <c r="J23" s="48" t="b">
        <f>Bildskärmar!P4</f>
        <v>1</v>
      </c>
      <c r="K23" s="49" t="b">
        <f t="shared" si="10"/>
        <v>1</v>
      </c>
      <c r="L23" s="149">
        <f ca="1">IF(K23=FALSE,"-",G7)</f>
        <v>0</v>
      </c>
    </row>
    <row r="24" spans="2:12" ht="37.5" customHeight="1" x14ac:dyDescent="0.35">
      <c r="B24" s="134"/>
      <c r="C24" s="62"/>
      <c r="D24" s="62"/>
      <c r="E24" s="172"/>
      <c r="F24" s="146" t="s">
        <v>167</v>
      </c>
      <c r="G24" s="48" t="b">
        <f>'Bärbara datorer (A)'!P5</f>
        <v>1</v>
      </c>
      <c r="H24" s="48" t="b">
        <f>'Bärbara datorer (B)'!P5</f>
        <v>1</v>
      </c>
      <c r="I24" s="48" t="b">
        <f>Surfplattor!P5</f>
        <v>1</v>
      </c>
      <c r="J24" s="48" t="b">
        <f>Bildskärmar!P5</f>
        <v>1</v>
      </c>
      <c r="K24" s="49" t="b">
        <f t="shared" si="10"/>
        <v>1</v>
      </c>
      <c r="L24" s="149">
        <f ca="1">IF(K24=FALSE,"-",G3)</f>
        <v>0</v>
      </c>
    </row>
    <row r="29" spans="2:12" hidden="1" outlineLevel="1" x14ac:dyDescent="0.35">
      <c r="F29" t="s">
        <v>509</v>
      </c>
    </row>
    <row r="30" spans="2:12" hidden="1" outlineLevel="1" x14ac:dyDescent="0.35">
      <c r="F30" s="175">
        <f ca="1">SUM(Sammanfattning!B78:K78,Sammanfattning!B141:K141,Sammanfattning!B203:K203,Sammanfattning!B251:K251,Sammanfattning!B258:B273)</f>
        <v>0</v>
      </c>
    </row>
    <row r="31" spans="2:12" hidden="1" outlineLevel="1" x14ac:dyDescent="0.35"/>
    <row r="32" spans="2:12" collapsed="1" x14ac:dyDescent="0.35"/>
  </sheetData>
  <sheetProtection algorithmName="SHA-512" hashValue="qmij96lTnNDCZ3ytfpS/+pZDrJrCWlHw7tUJGMbdFajVvQ/TrV1NDJVNMNygg4uGpvzCw12fyB1ceQ4LEFSBXQ==" saltValue="B1a7GQaFkFIJTN1VMpwaVA==" spinCount="100000" sheet="1" objects="1" scenarios="1"/>
  <mergeCells count="9">
    <mergeCell ref="I13:J13"/>
    <mergeCell ref="I14:J14"/>
    <mergeCell ref="I15:J15"/>
    <mergeCell ref="I16:J16"/>
    <mergeCell ref="B5:D7"/>
    <mergeCell ref="I10:J10"/>
    <mergeCell ref="I11:J11"/>
    <mergeCell ref="I12:J12"/>
    <mergeCell ref="E9:M9"/>
  </mergeCells>
  <phoneticPr fontId="7" type="noConversion"/>
  <conditionalFormatting sqref="E9">
    <cfRule type="expression" dxfId="21" priority="21273">
      <formula>$E$9=""</formula>
    </cfRule>
  </conditionalFormatting>
  <conditionalFormatting sqref="E11:E16">
    <cfRule type="cellIs" dxfId="20" priority="1" operator="greaterThan">
      <formula>1</formula>
    </cfRule>
    <cfRule type="duplicateValues" dxfId="19" priority="2"/>
  </conditionalFormatting>
  <conditionalFormatting sqref="G19:J24">
    <cfRule type="expression" dxfId="18" priority="5">
      <formula>G19=FALSE</formula>
    </cfRule>
  </conditionalFormatting>
  <dataValidations disablePrompts="1" count="1">
    <dataValidation type="list" allowBlank="1" showInputMessage="1" showErrorMessage="1" sqref="E19:E24" xr:uid="{00000000-0002-0000-0700-000000000000}">
      <formula1>$U$1:$U$2</formula1>
    </dataValidation>
  </dataValidations>
  <pageMargins left="0.7" right="0.7" top="0.75" bottom="0.75" header="0.3" footer="0.3"/>
  <pageSetup scale="53"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43606F"/>
    <outlinePr summaryBelow="0" summaryRight="0"/>
    <pageSetUpPr fitToPage="1"/>
  </sheetPr>
  <dimension ref="A1:K273"/>
  <sheetViews>
    <sheetView showGridLines="0" topLeftCell="A6" zoomScale="85" zoomScaleNormal="85" workbookViewId="0">
      <selection activeCell="E21" sqref="E21"/>
    </sheetView>
  </sheetViews>
  <sheetFormatPr defaultColWidth="9.1796875" defaultRowHeight="20.25" customHeight="1" outlineLevelRow="1" x14ac:dyDescent="0.3"/>
  <cols>
    <col min="1" max="1" width="30" style="28" customWidth="1"/>
    <col min="2" max="2" width="31.7265625" style="28" customWidth="1"/>
    <col min="3" max="3" width="29.81640625" style="28" customWidth="1"/>
    <col min="4" max="11" width="28.54296875" style="28" customWidth="1"/>
    <col min="12" max="12" width="9.1796875" style="28"/>
    <col min="13" max="15" width="24.7265625" style="28" customWidth="1"/>
    <col min="16" max="16384" width="9.1796875" style="28"/>
  </cols>
  <sheetData>
    <row r="1" spans="1:11" ht="65.25" hidden="1" customHeight="1" x14ac:dyDescent="0.3">
      <c r="B1" s="28" t="s">
        <v>475</v>
      </c>
      <c r="C1" s="28" t="s">
        <v>476</v>
      </c>
      <c r="D1" s="28" t="s">
        <v>477</v>
      </c>
      <c r="E1" s="28" t="s">
        <v>478</v>
      </c>
      <c r="F1" s="28" t="s">
        <v>479</v>
      </c>
      <c r="G1" s="28" t="s">
        <v>480</v>
      </c>
      <c r="H1" s="28" t="s">
        <v>481</v>
      </c>
      <c r="I1" s="28" t="s">
        <v>482</v>
      </c>
      <c r="J1" s="28" t="s">
        <v>483</v>
      </c>
      <c r="K1" s="28" t="s">
        <v>484</v>
      </c>
    </row>
    <row r="2" spans="1:11" ht="65.25" hidden="1" customHeight="1" x14ac:dyDescent="0.3">
      <c r="B2" s="28" t="s">
        <v>253</v>
      </c>
      <c r="C2" s="28" t="s">
        <v>254</v>
      </c>
      <c r="D2" s="28" t="s">
        <v>255</v>
      </c>
      <c r="E2" s="28" t="s">
        <v>256</v>
      </c>
      <c r="F2" s="28" t="s">
        <v>257</v>
      </c>
      <c r="G2" s="28" t="s">
        <v>258</v>
      </c>
      <c r="H2" s="28" t="s">
        <v>358</v>
      </c>
      <c r="I2" s="28" t="s">
        <v>359</v>
      </c>
      <c r="J2" s="28" t="s">
        <v>360</v>
      </c>
      <c r="K2" s="28" t="s">
        <v>361</v>
      </c>
    </row>
    <row r="3" spans="1:11" ht="69" hidden="1" customHeight="1" x14ac:dyDescent="0.3">
      <c r="B3" s="28">
        <v>9</v>
      </c>
      <c r="C3" s="28">
        <f ca="1">IFERROR(MATCH(C2,'Bärbara datorer (A)'!$B:$B,0),"")</f>
        <v>56</v>
      </c>
      <c r="D3" s="28">
        <f ca="1">IFERROR(MATCH(D2,'Bärbara datorer (A)'!$B:$B,0),"")</f>
        <v>103</v>
      </c>
      <c r="E3" s="28">
        <f ca="1">IFERROR(MATCH(E2,'Bärbara datorer (A)'!$B:$B,0),"")</f>
        <v>150</v>
      </c>
      <c r="F3" s="28">
        <f ca="1">IFERROR(MATCH(F2,'Bärbara datorer (A)'!$B:$B,0),"")</f>
        <v>197</v>
      </c>
      <c r="G3" s="28">
        <f ca="1">IFERROR(MATCH(G2,'Bärbara datorer (A)'!$B:$B,0),"")</f>
        <v>244</v>
      </c>
      <c r="H3" s="28">
        <f ca="1">IFERROR(MATCH(H2,'Bärbara datorer (A)'!$B:$B,0),"")</f>
        <v>291</v>
      </c>
      <c r="I3" s="28">
        <f ca="1">IFERROR(MATCH(I2,'Bärbara datorer (A)'!$B:$B,0),"")</f>
        <v>338</v>
      </c>
      <c r="J3" s="28">
        <f ca="1">IFERROR(MATCH(J2,'Bärbara datorer (A)'!$B:$B,0),"")</f>
        <v>386</v>
      </c>
      <c r="K3" s="28">
        <f ca="1">IFERROR(MATCH(K2,'Bärbara datorer (A)'!$B:$B,0),"")</f>
        <v>433</v>
      </c>
    </row>
    <row r="4" spans="1:11" ht="102.75" hidden="1" customHeight="1" x14ac:dyDescent="0.3">
      <c r="B4" s="28">
        <f>IFERROR(40+B3,"")</f>
        <v>49</v>
      </c>
      <c r="C4" s="28">
        <f t="shared" ref="C4:K4" ca="1" si="0">IFERROR(40+C3,"")</f>
        <v>96</v>
      </c>
      <c r="D4" s="28">
        <f t="shared" ca="1" si="0"/>
        <v>143</v>
      </c>
      <c r="E4" s="28">
        <f t="shared" ca="1" si="0"/>
        <v>190</v>
      </c>
      <c r="F4" s="28">
        <f t="shared" ca="1" si="0"/>
        <v>237</v>
      </c>
      <c r="G4" s="28">
        <f t="shared" ca="1" si="0"/>
        <v>284</v>
      </c>
      <c r="H4" s="28">
        <f t="shared" ca="1" si="0"/>
        <v>331</v>
      </c>
      <c r="I4" s="28">
        <f t="shared" ca="1" si="0"/>
        <v>378</v>
      </c>
      <c r="J4" s="28">
        <f t="shared" ca="1" si="0"/>
        <v>426</v>
      </c>
      <c r="K4" s="28">
        <f t="shared" ca="1" si="0"/>
        <v>473</v>
      </c>
    </row>
    <row r="5" spans="1:11" ht="55.5" hidden="1" customHeight="1" x14ac:dyDescent="0.3">
      <c r="B5" s="28" t="str" cm="1">
        <f t="array" ref="B5">IF(B78=0,"",IFERROR(INDEX('Bärbara datorer (A)'!$F:$F,B3-2,0),""))</f>
        <v/>
      </c>
      <c r="C5" s="28" t="str" cm="1">
        <f t="array" aca="1" ref="C5" ca="1">IF(C78=0,"",IFERROR(INDEX('Bärbara datorer (A)'!$F:$F,C3-2,0),""))</f>
        <v/>
      </c>
      <c r="D5" s="28" t="str" cm="1">
        <f t="array" aca="1" ref="D5" ca="1">IF(D78=0,"",IFERROR(INDEX('Bärbara datorer (A)'!$F:$F,D3-2,0),""))</f>
        <v/>
      </c>
      <c r="E5" s="28" t="str" cm="1">
        <f t="array" aca="1" ref="E5" ca="1">IF(E78=0,"",IFERROR(INDEX('Bärbara datorer (A)'!$F:$F,E3-2,0),""))</f>
        <v/>
      </c>
      <c r="F5" s="28" t="str" cm="1">
        <f t="array" aca="1" ref="F5" ca="1">IF(F78=0,"",IFERROR(INDEX('Bärbara datorer (A)'!$F:$F,F3-2,0),""))</f>
        <v/>
      </c>
      <c r="G5" s="28" t="str" cm="1">
        <f t="array" aca="1" ref="G5" ca="1">IF(G78=0,"",IFERROR(INDEX('Bärbara datorer (A)'!$F:$F,G3-2,0),""))</f>
        <v/>
      </c>
      <c r="H5" s="28" t="str" cm="1">
        <f t="array" aca="1" ref="H5" ca="1">IF(H78=0,"",IFERROR(INDEX('Bärbara datorer (A)'!$F:$F,H3-2,0),""))</f>
        <v/>
      </c>
      <c r="I5" s="28" t="str" cm="1">
        <f t="array" aca="1" ref="I5" ca="1">IF(I78=0,"",IFERROR(INDEX('Bärbara datorer (A)'!$F:$F,I3-2,0),""))</f>
        <v/>
      </c>
      <c r="J5" s="28" t="str" cm="1">
        <f t="array" aca="1" ref="J5" ca="1">IF(J78=0,"",IFERROR(INDEX('Bärbara datorer (A)'!$F:$F,J3-2,0),""))</f>
        <v/>
      </c>
      <c r="K5" s="28" t="str" cm="1">
        <f t="array" aca="1" ref="K5" ca="1">IF(K78=0,"",IFERROR(INDEX('Bärbara datorer (A)'!$F:$F,K3-2,0),""))</f>
        <v/>
      </c>
    </row>
    <row r="6" spans="1:11" ht="63" customHeight="1" collapsed="1" thickBot="1" x14ac:dyDescent="0.35">
      <c r="F6" s="29"/>
      <c r="G6" s="29"/>
      <c r="H6" s="29"/>
      <c r="I6" s="29"/>
      <c r="J6" s="29"/>
      <c r="K6" s="29"/>
    </row>
    <row r="7" spans="1:11" ht="18.75" customHeight="1" x14ac:dyDescent="0.3">
      <c r="B7" s="30" t="s">
        <v>506</v>
      </c>
      <c r="D7" s="178" t="s">
        <v>524</v>
      </c>
      <c r="E7" s="179"/>
      <c r="F7" s="29"/>
      <c r="G7" s="29"/>
      <c r="H7" s="29"/>
      <c r="I7" s="29"/>
      <c r="J7" s="29"/>
      <c r="K7" s="29"/>
    </row>
    <row r="8" spans="1:11" ht="18.75" customHeight="1" thickBot="1" x14ac:dyDescent="0.35">
      <c r="B8" s="109" t="str">
        <f ca="1">Överblick!G11</f>
        <v/>
      </c>
      <c r="D8" s="178" t="s">
        <v>525</v>
      </c>
      <c r="E8" s="182"/>
      <c r="F8" s="29"/>
      <c r="G8" s="29"/>
      <c r="H8" s="29"/>
      <c r="I8" s="29"/>
      <c r="J8" s="29"/>
      <c r="K8" s="29"/>
    </row>
    <row r="9" spans="1:11" ht="18.75" customHeight="1" x14ac:dyDescent="0.3">
      <c r="B9" s="112"/>
      <c r="F9" s="29"/>
      <c r="G9" s="29"/>
      <c r="H9" s="29"/>
      <c r="I9" s="29"/>
      <c r="J9" s="29"/>
      <c r="K9" s="29"/>
    </row>
    <row r="10" spans="1:11" ht="18.75" customHeight="1" x14ac:dyDescent="0.3">
      <c r="A10" s="180" t="s">
        <v>514</v>
      </c>
      <c r="B10" s="179"/>
      <c r="C10" s="178" t="s">
        <v>519</v>
      </c>
      <c r="D10" s="179"/>
      <c r="E10" s="183" t="s">
        <v>526</v>
      </c>
      <c r="F10" s="231"/>
      <c r="G10" s="232"/>
      <c r="H10" s="29"/>
      <c r="I10" s="29"/>
      <c r="J10" s="29"/>
      <c r="K10" s="29"/>
    </row>
    <row r="11" spans="1:11" ht="18.75" customHeight="1" x14ac:dyDescent="0.3">
      <c r="A11" s="180" t="s">
        <v>515</v>
      </c>
      <c r="B11" s="179"/>
      <c r="C11" s="178" t="s">
        <v>520</v>
      </c>
      <c r="D11" s="179"/>
      <c r="F11" s="232"/>
      <c r="G11" s="232"/>
      <c r="H11" s="29"/>
      <c r="I11" s="29"/>
      <c r="J11" s="29"/>
      <c r="K11" s="29"/>
    </row>
    <row r="12" spans="1:11" ht="18.75" customHeight="1" x14ac:dyDescent="0.3">
      <c r="A12" s="180" t="s">
        <v>516</v>
      </c>
      <c r="B12" s="179"/>
      <c r="C12" s="178" t="s">
        <v>521</v>
      </c>
      <c r="D12" s="179"/>
      <c r="F12" s="232"/>
      <c r="G12" s="232"/>
      <c r="H12" s="29"/>
      <c r="I12" s="29"/>
      <c r="J12" s="29"/>
      <c r="K12" s="29"/>
    </row>
    <row r="13" spans="1:11" ht="18.75" customHeight="1" x14ac:dyDescent="0.3">
      <c r="A13" s="180" t="s">
        <v>517</v>
      </c>
      <c r="B13" s="181"/>
      <c r="C13" s="178" t="s">
        <v>522</v>
      </c>
      <c r="D13" s="182"/>
      <c r="F13" s="232"/>
      <c r="G13" s="232"/>
      <c r="H13" s="29"/>
      <c r="I13" s="29"/>
      <c r="J13" s="29"/>
      <c r="K13" s="29"/>
    </row>
    <row r="14" spans="1:11" ht="18.75" customHeight="1" x14ac:dyDescent="0.3">
      <c r="A14" s="180" t="s">
        <v>518</v>
      </c>
      <c r="B14" s="179"/>
      <c r="C14" s="178" t="s">
        <v>523</v>
      </c>
      <c r="D14" s="179"/>
      <c r="F14" s="232"/>
      <c r="G14" s="232"/>
      <c r="H14" s="29"/>
      <c r="I14" s="29"/>
      <c r="J14" s="29"/>
      <c r="K14" s="29"/>
    </row>
    <row r="15" spans="1:11" ht="18.75" customHeight="1" x14ac:dyDescent="0.3">
      <c r="B15" s="112"/>
      <c r="F15" s="29"/>
      <c r="G15" s="29"/>
      <c r="H15" s="29"/>
      <c r="I15" s="29"/>
      <c r="J15" s="29"/>
      <c r="K15" s="29"/>
    </row>
    <row r="16" spans="1:11" ht="18.75" customHeight="1" x14ac:dyDescent="0.3">
      <c r="A16" s="111"/>
      <c r="B16" s="112"/>
      <c r="F16" s="29"/>
      <c r="G16" s="29"/>
      <c r="H16" s="29"/>
      <c r="I16" s="29"/>
      <c r="J16" s="29"/>
      <c r="K16" s="29"/>
    </row>
    <row r="17" spans="1:11" ht="18.75" customHeight="1" x14ac:dyDescent="0.3">
      <c r="A17" s="111"/>
      <c r="B17" s="112"/>
      <c r="F17" s="29"/>
      <c r="G17" s="29"/>
      <c r="H17" s="29"/>
      <c r="I17" s="29"/>
      <c r="J17" s="29"/>
      <c r="K17" s="29"/>
    </row>
    <row r="18" spans="1:11" ht="18.75" customHeight="1" x14ac:dyDescent="0.3">
      <c r="A18" s="111" t="s">
        <v>402</v>
      </c>
    </row>
    <row r="19" spans="1:11" ht="18.75" customHeight="1" x14ac:dyDescent="0.3">
      <c r="A19" s="31" t="s">
        <v>457</v>
      </c>
      <c r="B19" s="28" t="str">
        <f ca="1">"Antal varianter : "&amp; 10 - COUNTBLANK(B21:K21)</f>
        <v>Antal varianter : 0</v>
      </c>
      <c r="C19" s="28" t="str">
        <f ca="1">"Antal: "&amp;SUM(B78:K78)</f>
        <v>Antal: 0</v>
      </c>
    </row>
    <row r="20" spans="1:11" ht="18.75" customHeight="1" outlineLevel="1" x14ac:dyDescent="0.3">
      <c r="A20" s="111" t="s">
        <v>397</v>
      </c>
    </row>
    <row r="21" spans="1:11" ht="18.75" customHeight="1" outlineLevel="1" x14ac:dyDescent="0.3">
      <c r="A21" s="32" t="s">
        <v>107</v>
      </c>
      <c r="B21" s="122" t="str">
        <f>IFERROR(IF(""=INDEX(Databas!$A$10:$BK$188,MATCH(Sammanfattning!B$5,Databas!$BH$10:$BH$188,0),MATCH($A21,Databas!$A$10:$BK$10,0)),"",B2),"")</f>
        <v/>
      </c>
      <c r="C21" s="122" t="str">
        <f ca="1">IFERROR(IF(""=INDEX(Databas!$A$10:$BK$188,MATCH(Sammanfattning!C$5,Databas!$BH$10:$BH$188,0),MATCH($A21,Databas!$A$10:$BK$10,0)),"",C1),"")</f>
        <v/>
      </c>
      <c r="D21" s="122" t="str">
        <f ca="1">IFERROR(IF(""=INDEX(Databas!$A$10:$BK$188,MATCH(Sammanfattning!D$5,Databas!$BH$10:$BH$188,0),MATCH($A21,Databas!$A$10:$BK$10,0)),"",D1),"")</f>
        <v/>
      </c>
      <c r="E21" s="122" t="str">
        <f ca="1">IFERROR(IF(""=INDEX(Databas!$A$10:$BK$188,MATCH(Sammanfattning!E$5,Databas!$BH$10:$BH$188,0),MATCH($A21,Databas!$A$10:$BK$10,0)),"",E1),"")</f>
        <v/>
      </c>
      <c r="F21" s="122" t="str">
        <f ca="1">IFERROR(IF(""=INDEX(Databas!$A$10:$BK$188,MATCH(Sammanfattning!F$5,Databas!$BH$10:$BH$188,0),MATCH($A21,Databas!$A$10:$BK$10,0)),"",F1),"")</f>
        <v/>
      </c>
      <c r="G21" s="122" t="str">
        <f ca="1">IFERROR(IF(""=INDEX(Databas!$A$10:$BK$188,MATCH(Sammanfattning!G$5,Databas!$BH$10:$BH$188,0),MATCH($A21,Databas!$A$10:$BK$10,0)),"",G1),"")</f>
        <v/>
      </c>
      <c r="H21" s="122" t="str">
        <f ca="1">IFERROR(IF(""=INDEX(Databas!$A$10:$BK$188,MATCH(Sammanfattning!H$5,Databas!$BH$10:$BH$188,0),MATCH($A21,Databas!$A$10:$BK$10,0)),"",H1),"")</f>
        <v/>
      </c>
      <c r="I21" s="122" t="str">
        <f ca="1">IFERROR(IF(""=INDEX(Databas!$A$10:$BK$188,MATCH(Sammanfattning!I$5,Databas!$BH$10:$BH$188,0),MATCH($A21,Databas!$A$10:$BK$10,0)),"",I1),"")</f>
        <v/>
      </c>
      <c r="J21" s="122" t="str">
        <f ca="1">IFERROR(IF(""=INDEX(Databas!$A$10:$BK$188,MATCH(Sammanfattning!J$5,Databas!$BH$10:$BH$188,0),MATCH($A21,Databas!$A$10:$BK$10,0)),"",J1),"")</f>
        <v/>
      </c>
      <c r="K21" s="122" t="str">
        <f ca="1">IFERROR(IF(""=INDEX(Databas!$A$10:$BK$188,MATCH(Sammanfattning!K$5,Databas!$BH$10:$BH$188,0),MATCH($A21,Databas!$A$10:$BK$10,0)),"",K1),"")</f>
        <v/>
      </c>
    </row>
    <row r="22" spans="1:11" ht="18.75" customHeight="1" outlineLevel="1" x14ac:dyDescent="0.3">
      <c r="A22" s="33" t="s">
        <v>6</v>
      </c>
      <c r="B22" s="123" t="str">
        <f>IFERROR(INDEX(Databas!$A$10:$BK$188,MATCH(Sammanfattning!B$5,Databas!$BH$10:$BH$188,0),MATCH($A22,Databas!$A$10:$BK$10,0)),"")</f>
        <v/>
      </c>
      <c r="C22" s="123" t="str">
        <f ca="1">IFERROR(INDEX(Databas!$A$10:$BK$188,MATCH(Sammanfattning!C$5,Databas!$BH$10:$BH$188,0),MATCH($A22,Databas!$A$10:$BK$10,0)),"")</f>
        <v/>
      </c>
      <c r="D22" s="123" t="str">
        <f ca="1">IFERROR(INDEX(Databas!$A$10:$BK$188,MATCH(Sammanfattning!D$5,Databas!$BH$10:$BH$188,0),MATCH($A22,Databas!$A$10:$BK$10,0)),"")</f>
        <v/>
      </c>
      <c r="E22" s="123" t="str">
        <f ca="1">IFERROR(INDEX(Databas!$A$10:$BK$188,MATCH(Sammanfattning!E$5,Databas!$BH$10:$BH$188,0),MATCH($A22,Databas!$A$10:$BK$10,0)),"")</f>
        <v/>
      </c>
      <c r="F22" s="123" t="str">
        <f ca="1">IFERROR(INDEX(Databas!$A$10:$BK$188,MATCH(Sammanfattning!F$5,Databas!$BH$10:$BH$188,0),MATCH($A22,Databas!$A$10:$BK$10,0)),"")</f>
        <v/>
      </c>
      <c r="G22" s="123" t="str">
        <f ca="1">IFERROR(INDEX(Databas!$A$10:$BK$188,MATCH(Sammanfattning!G$5,Databas!$BH$10:$BH$188,0),MATCH($A22,Databas!$A$10:$BK$10,0)),"")</f>
        <v/>
      </c>
      <c r="H22" s="123" t="str">
        <f ca="1">IFERROR(INDEX(Databas!$A$10:$BK$188,MATCH(Sammanfattning!H$5,Databas!$BH$10:$BH$188,0),MATCH($A22,Databas!$A$10:$BK$10,0)),"")</f>
        <v/>
      </c>
      <c r="I22" s="123" t="str">
        <f ca="1">IFERROR(INDEX(Databas!$A$10:$BK$188,MATCH(Sammanfattning!I$5,Databas!$BH$10:$BH$188,0),MATCH($A22,Databas!$A$10:$BK$10,0)),"")</f>
        <v/>
      </c>
      <c r="J22" s="123" t="str">
        <f ca="1">IFERROR(INDEX(Databas!$A$10:$BK$188,MATCH(Sammanfattning!J$5,Databas!$BH$10:$BH$188,0),MATCH($A22,Databas!$A$10:$BK$10,0)),"")</f>
        <v/>
      </c>
      <c r="K22" s="123" t="str">
        <f ca="1">IFERROR(INDEX(Databas!$A$10:$BK$188,MATCH(Sammanfattning!K$5,Databas!$BH$10:$BH$188,0),MATCH($A22,Databas!$A$10:$BK$10,0)),"")</f>
        <v/>
      </c>
    </row>
    <row r="23" spans="1:11" ht="18.75" customHeight="1" outlineLevel="1" x14ac:dyDescent="0.3">
      <c r="A23" s="33" t="s">
        <v>51</v>
      </c>
      <c r="B23" s="123" t="str">
        <f>IFERROR(INDEX(Databas!$A$10:$BK$188,MATCH(Sammanfattning!B$5,Databas!$BH$10:$BH$188,0),MATCH($A23,Databas!$A$10:$BK$10,0)),"")</f>
        <v/>
      </c>
      <c r="C23" s="123" t="str">
        <f ca="1">IFERROR(INDEX(Databas!$A$10:$BK$188,MATCH(Sammanfattning!C$5,Databas!$BH$10:$BH$188,0),MATCH($A23,Databas!$A$10:$BK$10,0)),"")</f>
        <v/>
      </c>
      <c r="D23" s="123" t="str">
        <f ca="1">IFERROR(INDEX(Databas!$A$10:$BK$188,MATCH(Sammanfattning!D$5,Databas!$BH$10:$BH$188,0),MATCH($A23,Databas!$A$10:$BK$10,0)),"")</f>
        <v/>
      </c>
      <c r="E23" s="123" t="str">
        <f ca="1">IFERROR(INDEX(Databas!$A$10:$BK$188,MATCH(Sammanfattning!E$5,Databas!$BH$10:$BH$188,0),MATCH($A23,Databas!$A$10:$BK$10,0)),"")</f>
        <v/>
      </c>
      <c r="F23" s="123" t="str">
        <f ca="1">IFERROR(INDEX(Databas!$A$10:$BK$188,MATCH(Sammanfattning!F$5,Databas!$BH$10:$BH$188,0),MATCH($A23,Databas!$A$10:$BK$10,0)),"")</f>
        <v/>
      </c>
      <c r="G23" s="123" t="str">
        <f ca="1">IFERROR(INDEX(Databas!$A$10:$BK$188,MATCH(Sammanfattning!G$5,Databas!$BH$10:$BH$188,0),MATCH($A23,Databas!$A$10:$BK$10,0)),"")</f>
        <v/>
      </c>
      <c r="H23" s="123" t="str">
        <f ca="1">IFERROR(INDEX(Databas!$A$10:$BK$188,MATCH(Sammanfattning!H$5,Databas!$BH$10:$BH$188,0),MATCH($A23,Databas!$A$10:$BK$10,0)),"")</f>
        <v/>
      </c>
      <c r="I23" s="123" t="str">
        <f ca="1">IFERROR(INDEX(Databas!$A$10:$BK$188,MATCH(Sammanfattning!I$5,Databas!$BH$10:$BH$188,0),MATCH($A23,Databas!$A$10:$BK$10,0)),"")</f>
        <v/>
      </c>
      <c r="J23" s="123" t="str">
        <f ca="1">IFERROR(INDEX(Databas!$A$10:$BK$188,MATCH(Sammanfattning!J$5,Databas!$BH$10:$BH$188,0),MATCH($A23,Databas!$A$10:$BK$10,0)),"")</f>
        <v/>
      </c>
      <c r="K23" s="123" t="str">
        <f ca="1">IFERROR(INDEX(Databas!$A$10:$BK$188,MATCH(Sammanfattning!K$5,Databas!$BH$10:$BH$188,0),MATCH($A23,Databas!$A$10:$BK$10,0)),"")</f>
        <v/>
      </c>
    </row>
    <row r="24" spans="1:11" ht="18.75" customHeight="1" outlineLevel="1" x14ac:dyDescent="0.3">
      <c r="A24" s="33" t="s">
        <v>52</v>
      </c>
      <c r="B24" s="123" t="str">
        <f>IFERROR(INDEX(Databas!$A$10:$BK$188,MATCH(Sammanfattning!B$5,Databas!$BH$10:$BH$188,0),MATCH($A24,Databas!$A$10:$BK$10,0)),"")</f>
        <v/>
      </c>
      <c r="C24" s="123" t="str">
        <f ca="1">IFERROR(INDEX(Databas!$A$10:$BK$188,MATCH(Sammanfattning!C$5,Databas!$BH$10:$BH$188,0),MATCH($A24,Databas!$A$10:$BK$10,0)),"")</f>
        <v/>
      </c>
      <c r="D24" s="123" t="str">
        <f ca="1">IFERROR(INDEX(Databas!$A$10:$BK$188,MATCH(Sammanfattning!D$5,Databas!$BH$10:$BH$188,0),MATCH($A24,Databas!$A$10:$BK$10,0)),"")</f>
        <v/>
      </c>
      <c r="E24" s="123" t="str">
        <f ca="1">IFERROR(INDEX(Databas!$A$10:$BK$188,MATCH(Sammanfattning!E$5,Databas!$BH$10:$BH$188,0),MATCH($A24,Databas!$A$10:$BK$10,0)),"")</f>
        <v/>
      </c>
      <c r="F24" s="123" t="str">
        <f ca="1">IFERROR(INDEX(Databas!$A$10:$BK$188,MATCH(Sammanfattning!F$5,Databas!$BH$10:$BH$188,0),MATCH($A24,Databas!$A$10:$BK$10,0)),"")</f>
        <v/>
      </c>
      <c r="G24" s="123" t="str">
        <f ca="1">IFERROR(INDEX(Databas!$A$10:$BK$188,MATCH(Sammanfattning!G$5,Databas!$BH$10:$BH$188,0),MATCH($A24,Databas!$A$10:$BK$10,0)),"")</f>
        <v/>
      </c>
      <c r="H24" s="123" t="str">
        <f ca="1">IFERROR(INDEX(Databas!$A$10:$BK$188,MATCH(Sammanfattning!H$5,Databas!$BH$10:$BH$188,0),MATCH($A24,Databas!$A$10:$BK$10,0)),"")</f>
        <v/>
      </c>
      <c r="I24" s="123" t="str">
        <f ca="1">IFERROR(INDEX(Databas!$A$10:$BK$188,MATCH(Sammanfattning!I$5,Databas!$BH$10:$BH$188,0),MATCH($A24,Databas!$A$10:$BK$10,0)),"")</f>
        <v/>
      </c>
      <c r="J24" s="123" t="str">
        <f ca="1">IFERROR(INDEX(Databas!$A$10:$BK$188,MATCH(Sammanfattning!J$5,Databas!$BH$10:$BH$188,0),MATCH($A24,Databas!$A$10:$BK$10,0)),"")</f>
        <v/>
      </c>
      <c r="K24" s="123" t="str">
        <f ca="1">IFERROR(INDEX(Databas!$A$10:$BK$188,MATCH(Sammanfattning!K$5,Databas!$BH$10:$BH$188,0),MATCH($A24,Databas!$A$10:$BK$10,0)),"")</f>
        <v/>
      </c>
    </row>
    <row r="25" spans="1:11" ht="18.75" customHeight="1" outlineLevel="1" x14ac:dyDescent="0.3">
      <c r="A25" s="33" t="s">
        <v>11</v>
      </c>
      <c r="B25" s="123" t="str">
        <f>IFERROR(INDEX(Databas!$A$10:$BK$188,MATCH(Sammanfattning!B$5,Databas!$BH$10:$BH$188,0),MATCH($A25,Databas!$A$10:$BK$10,0)),"")</f>
        <v/>
      </c>
      <c r="C25" s="123" t="str">
        <f ca="1">IFERROR(INDEX(Databas!$A$10:$BK$188,MATCH(Sammanfattning!C$5,Databas!$BH$10:$BH$188,0),MATCH($A25,Databas!$A$10:$BK$10,0)),"")</f>
        <v/>
      </c>
      <c r="D25" s="123" t="str">
        <f ca="1">IFERROR(INDEX(Databas!$A$10:$BK$188,MATCH(Sammanfattning!D$5,Databas!$BH$10:$BH$188,0),MATCH($A25,Databas!$A$10:$BK$10,0)),"")</f>
        <v/>
      </c>
      <c r="E25" s="123" t="str">
        <f ca="1">IFERROR(INDEX(Databas!$A$10:$BK$188,MATCH(Sammanfattning!E$5,Databas!$BH$10:$BH$188,0),MATCH($A25,Databas!$A$10:$BK$10,0)),"")</f>
        <v/>
      </c>
      <c r="F25" s="123" t="str">
        <f ca="1">IFERROR(INDEX(Databas!$A$10:$BK$188,MATCH(Sammanfattning!F$5,Databas!$BH$10:$BH$188,0),MATCH($A25,Databas!$A$10:$BK$10,0)),"")</f>
        <v/>
      </c>
      <c r="G25" s="123" t="str">
        <f ca="1">IFERROR(INDEX(Databas!$A$10:$BK$188,MATCH(Sammanfattning!G$5,Databas!$BH$10:$BH$188,0),MATCH($A25,Databas!$A$10:$BK$10,0)),"")</f>
        <v/>
      </c>
      <c r="H25" s="123" t="str">
        <f ca="1">IFERROR(INDEX(Databas!$A$10:$BK$188,MATCH(Sammanfattning!H$5,Databas!$BH$10:$BH$188,0),MATCH($A25,Databas!$A$10:$BK$10,0)),"")</f>
        <v/>
      </c>
      <c r="I25" s="123" t="str">
        <f ca="1">IFERROR(INDEX(Databas!$A$10:$BK$188,MATCH(Sammanfattning!I$5,Databas!$BH$10:$BH$188,0),MATCH($A25,Databas!$A$10:$BK$10,0)),"")</f>
        <v/>
      </c>
      <c r="J25" s="123" t="str">
        <f ca="1">IFERROR(INDEX(Databas!$A$10:$BK$188,MATCH(Sammanfattning!J$5,Databas!$BH$10:$BH$188,0),MATCH($A25,Databas!$A$10:$BK$10,0)),"")</f>
        <v/>
      </c>
      <c r="K25" s="123" t="str">
        <f ca="1">IFERROR(INDEX(Databas!$A$10:$BK$188,MATCH(Sammanfattning!K$5,Databas!$BH$10:$BH$188,0),MATCH($A25,Databas!$A$10:$BK$10,0)),"")</f>
        <v/>
      </c>
    </row>
    <row r="26" spans="1:11" ht="18.75" customHeight="1" outlineLevel="1" x14ac:dyDescent="0.3">
      <c r="A26" s="33" t="s">
        <v>0</v>
      </c>
      <c r="B26" s="123" t="str">
        <f>IFERROR(INDEX(Databas!$A$10:$BK$188,MATCH(Sammanfattning!B$5,Databas!$BH$10:$BH$188,0),MATCH($A26,Databas!$A$10:$BK$10,0)),"")</f>
        <v/>
      </c>
      <c r="C26" s="123" t="str">
        <f ca="1">IFERROR(INDEX(Databas!$A$10:$BK$188,MATCH(Sammanfattning!C$5,Databas!$BH$10:$BH$188,0),MATCH($A26,Databas!$A$10:$BK$10,0)),"")</f>
        <v/>
      </c>
      <c r="D26" s="123" t="str">
        <f ca="1">IFERROR(INDEX(Databas!$A$10:$BK$188,MATCH(Sammanfattning!D$5,Databas!$BH$10:$BH$188,0),MATCH($A26,Databas!$A$10:$BK$10,0)),"")</f>
        <v/>
      </c>
      <c r="E26" s="123" t="str">
        <f ca="1">IFERROR(INDEX(Databas!$A$10:$BK$188,MATCH(Sammanfattning!E$5,Databas!$BH$10:$BH$188,0),MATCH($A26,Databas!$A$10:$BK$10,0)),"")</f>
        <v/>
      </c>
      <c r="F26" s="123" t="str">
        <f ca="1">IFERROR(INDEX(Databas!$A$10:$BK$188,MATCH(Sammanfattning!F$5,Databas!$BH$10:$BH$188,0),MATCH($A26,Databas!$A$10:$BK$10,0)),"")</f>
        <v/>
      </c>
      <c r="G26" s="123" t="str">
        <f ca="1">IFERROR(INDEX(Databas!$A$10:$BK$188,MATCH(Sammanfattning!G$5,Databas!$BH$10:$BH$188,0),MATCH($A26,Databas!$A$10:$BK$10,0)),"")</f>
        <v/>
      </c>
      <c r="H26" s="123" t="str">
        <f ca="1">IFERROR(INDEX(Databas!$A$10:$BK$188,MATCH(Sammanfattning!H$5,Databas!$BH$10:$BH$188,0),MATCH($A26,Databas!$A$10:$BK$10,0)),"")</f>
        <v/>
      </c>
      <c r="I26" s="123" t="str">
        <f ca="1">IFERROR(INDEX(Databas!$A$10:$BK$188,MATCH(Sammanfattning!I$5,Databas!$BH$10:$BH$188,0),MATCH($A26,Databas!$A$10:$BK$10,0)),"")</f>
        <v/>
      </c>
      <c r="J26" s="123" t="str">
        <f ca="1">IFERROR(INDEX(Databas!$A$10:$BK$188,MATCH(Sammanfattning!J$5,Databas!$BH$10:$BH$188,0),MATCH($A26,Databas!$A$10:$BK$10,0)),"")</f>
        <v/>
      </c>
      <c r="K26" s="123" t="str">
        <f ca="1">IFERROR(INDEX(Databas!$A$10:$BK$188,MATCH(Sammanfattning!K$5,Databas!$BH$10:$BH$188,0),MATCH($A26,Databas!$A$10:$BK$10,0)),"")</f>
        <v/>
      </c>
    </row>
    <row r="27" spans="1:11" ht="18.75" customHeight="1" outlineLevel="1" x14ac:dyDescent="0.3">
      <c r="A27" s="34" t="s">
        <v>7</v>
      </c>
      <c r="B27" s="123" t="str">
        <f>IFERROR(INDEX(Databas!$A$10:$BK$188,MATCH(Sammanfattning!B$5,Databas!$BH$10:$BH$188,0),MATCH($A27,Databas!$A$10:$BK$10,0)),"")</f>
        <v/>
      </c>
      <c r="C27" s="123" t="str">
        <f ca="1">IFERROR(INDEX(Databas!$A$10:$BK$188,MATCH(Sammanfattning!C$5,Databas!$BH$10:$BH$188,0),MATCH($A27,Databas!$A$10:$BK$10,0)),"")</f>
        <v/>
      </c>
      <c r="D27" s="123" t="str">
        <f ca="1">IFERROR(INDEX(Databas!$A$10:$BK$188,MATCH(Sammanfattning!D$5,Databas!$BH$10:$BH$188,0),MATCH($A27,Databas!$A$10:$BK$10,0)),"")</f>
        <v/>
      </c>
      <c r="E27" s="123" t="str">
        <f ca="1">IFERROR(INDEX(Databas!$A$10:$BK$188,MATCH(Sammanfattning!E$5,Databas!$BH$10:$BH$188,0),MATCH($A27,Databas!$A$10:$BK$10,0)),"")</f>
        <v/>
      </c>
      <c r="F27" s="123" t="str">
        <f ca="1">IFERROR(INDEX(Databas!$A$10:$BK$188,MATCH(Sammanfattning!F$5,Databas!$BH$10:$BH$188,0),MATCH($A27,Databas!$A$10:$BK$10,0)),"")</f>
        <v/>
      </c>
      <c r="G27" s="123" t="str">
        <f ca="1">IFERROR(INDEX(Databas!$A$10:$BK$188,MATCH(Sammanfattning!G$5,Databas!$BH$10:$BH$188,0),MATCH($A27,Databas!$A$10:$BK$10,0)),"")</f>
        <v/>
      </c>
      <c r="H27" s="123" t="str">
        <f ca="1">IFERROR(INDEX(Databas!$A$10:$BK$188,MATCH(Sammanfattning!H$5,Databas!$BH$10:$BH$188,0),MATCH($A27,Databas!$A$10:$BK$10,0)),"")</f>
        <v/>
      </c>
      <c r="I27" s="123" t="str">
        <f ca="1">IFERROR(INDEX(Databas!$A$10:$BK$188,MATCH(Sammanfattning!I$5,Databas!$BH$10:$BH$188,0),MATCH($A27,Databas!$A$10:$BK$10,0)),"")</f>
        <v/>
      </c>
      <c r="J27" s="123" t="str">
        <f ca="1">IFERROR(INDEX(Databas!$A$10:$BK$188,MATCH(Sammanfattning!J$5,Databas!$BH$10:$BH$188,0),MATCH($A27,Databas!$A$10:$BK$10,0)),"")</f>
        <v/>
      </c>
      <c r="K27" s="123" t="str">
        <f ca="1">IFERROR(INDEX(Databas!$A$10:$BK$188,MATCH(Sammanfattning!K$5,Databas!$BH$10:$BH$188,0),MATCH($A27,Databas!$A$10:$BK$10,0)),"")</f>
        <v/>
      </c>
    </row>
    <row r="28" spans="1:11" ht="18.75" customHeight="1" outlineLevel="1" x14ac:dyDescent="0.3">
      <c r="A28" s="33" t="s">
        <v>2</v>
      </c>
      <c r="B28" s="123" t="str">
        <f>IFERROR(INDEX(Databas!$A$10:$BK$188,MATCH(Sammanfattning!B$5,Databas!$BH$10:$BH$188,0),MATCH($A28,Databas!$A$10:$BK$10,0)),"")</f>
        <v/>
      </c>
      <c r="C28" s="123" t="str">
        <f ca="1">IFERROR(INDEX(Databas!$A$10:$BK$188,MATCH(Sammanfattning!C$5,Databas!$BH$10:$BH$188,0),MATCH($A28,Databas!$A$10:$BK$10,0)),"")</f>
        <v/>
      </c>
      <c r="D28" s="123" t="str">
        <f ca="1">IFERROR(INDEX(Databas!$A$10:$BK$188,MATCH(Sammanfattning!D$5,Databas!$BH$10:$BH$188,0),MATCH($A28,Databas!$A$10:$BK$10,0)),"")</f>
        <v/>
      </c>
      <c r="E28" s="123" t="str">
        <f ca="1">IFERROR(INDEX(Databas!$A$10:$BK$188,MATCH(Sammanfattning!E$5,Databas!$BH$10:$BH$188,0),MATCH($A28,Databas!$A$10:$BK$10,0)),"")</f>
        <v/>
      </c>
      <c r="F28" s="123" t="str">
        <f ca="1">IFERROR(INDEX(Databas!$A$10:$BK$188,MATCH(Sammanfattning!F$5,Databas!$BH$10:$BH$188,0),MATCH($A28,Databas!$A$10:$BK$10,0)),"")</f>
        <v/>
      </c>
      <c r="G28" s="123" t="str">
        <f ca="1">IFERROR(INDEX(Databas!$A$10:$BK$188,MATCH(Sammanfattning!G$5,Databas!$BH$10:$BH$188,0),MATCH($A28,Databas!$A$10:$BK$10,0)),"")</f>
        <v/>
      </c>
      <c r="H28" s="123" t="str">
        <f ca="1">IFERROR(INDEX(Databas!$A$10:$BK$188,MATCH(Sammanfattning!H$5,Databas!$BH$10:$BH$188,0),MATCH($A28,Databas!$A$10:$BK$10,0)),"")</f>
        <v/>
      </c>
      <c r="I28" s="123" t="str">
        <f ca="1">IFERROR(INDEX(Databas!$A$10:$BK$188,MATCH(Sammanfattning!I$5,Databas!$BH$10:$BH$188,0),MATCH($A28,Databas!$A$10:$BK$10,0)),"")</f>
        <v/>
      </c>
      <c r="J28" s="123" t="str">
        <f ca="1">IFERROR(INDEX(Databas!$A$10:$BK$188,MATCH(Sammanfattning!J$5,Databas!$BH$10:$BH$188,0),MATCH($A28,Databas!$A$10:$BK$10,0)),"")</f>
        <v/>
      </c>
      <c r="K28" s="123" t="str">
        <f ca="1">IFERROR(INDEX(Databas!$A$10:$BK$188,MATCH(Sammanfattning!K$5,Databas!$BH$10:$BH$188,0),MATCH($A28,Databas!$A$10:$BK$10,0)),"")</f>
        <v/>
      </c>
    </row>
    <row r="29" spans="1:11" ht="18.75" customHeight="1" outlineLevel="1" x14ac:dyDescent="0.3">
      <c r="A29" s="33" t="s">
        <v>4</v>
      </c>
      <c r="B29" s="123" t="str">
        <f>IFERROR(INDEX(Databas!$A$10:$BK$188,MATCH(Sammanfattning!B$5,Databas!$BH$10:$BH$188,0),MATCH($A29,Databas!$A$10:$BK$10,0)),"")</f>
        <v/>
      </c>
      <c r="C29" s="123" t="str">
        <f ca="1">IFERROR(INDEX(Databas!$A$10:$BK$188,MATCH(Sammanfattning!C$5,Databas!$BH$10:$BH$188,0),MATCH($A29,Databas!$A$10:$BK$10,0)),"")</f>
        <v/>
      </c>
      <c r="D29" s="123" t="str">
        <f ca="1">IFERROR(INDEX(Databas!$A$10:$BK$188,MATCH(Sammanfattning!D$5,Databas!$BH$10:$BH$188,0),MATCH($A29,Databas!$A$10:$BK$10,0)),"")</f>
        <v/>
      </c>
      <c r="E29" s="123" t="str">
        <f ca="1">IFERROR(INDEX(Databas!$A$10:$BK$188,MATCH(Sammanfattning!E$5,Databas!$BH$10:$BH$188,0),MATCH($A29,Databas!$A$10:$BK$10,0)),"")</f>
        <v/>
      </c>
      <c r="F29" s="123" t="str">
        <f ca="1">IFERROR(INDEX(Databas!$A$10:$BK$188,MATCH(Sammanfattning!F$5,Databas!$BH$10:$BH$188,0),MATCH($A29,Databas!$A$10:$BK$10,0)),"")</f>
        <v/>
      </c>
      <c r="G29" s="123" t="str">
        <f ca="1">IFERROR(INDEX(Databas!$A$10:$BK$188,MATCH(Sammanfattning!G$5,Databas!$BH$10:$BH$188,0),MATCH($A29,Databas!$A$10:$BK$10,0)),"")</f>
        <v/>
      </c>
      <c r="H29" s="123" t="str">
        <f ca="1">IFERROR(INDEX(Databas!$A$10:$BK$188,MATCH(Sammanfattning!H$5,Databas!$BH$10:$BH$188,0),MATCH($A29,Databas!$A$10:$BK$10,0)),"")</f>
        <v/>
      </c>
      <c r="I29" s="123" t="str">
        <f ca="1">IFERROR(INDEX(Databas!$A$10:$BK$188,MATCH(Sammanfattning!I$5,Databas!$BH$10:$BH$188,0),MATCH($A29,Databas!$A$10:$BK$10,0)),"")</f>
        <v/>
      </c>
      <c r="J29" s="123" t="str">
        <f ca="1">IFERROR(INDEX(Databas!$A$10:$BK$188,MATCH(Sammanfattning!J$5,Databas!$BH$10:$BH$188,0),MATCH($A29,Databas!$A$10:$BK$10,0)),"")</f>
        <v/>
      </c>
      <c r="K29" s="123" t="str">
        <f ca="1">IFERROR(INDEX(Databas!$A$10:$BK$188,MATCH(Sammanfattning!K$5,Databas!$BH$10:$BH$188,0),MATCH($A29,Databas!$A$10:$BK$10,0)),"")</f>
        <v/>
      </c>
    </row>
    <row r="30" spans="1:11" ht="18.75" customHeight="1" outlineLevel="1" x14ac:dyDescent="0.3">
      <c r="A30" s="33" t="s">
        <v>119</v>
      </c>
      <c r="B30" s="123" t="str">
        <f>IFERROR(INDEX(Databas!$A$10:$BK$188,MATCH(Sammanfattning!B$5,Databas!$BH$10:$BH$188,0),MATCH($A30,Databas!$A$10:$BK$10,0)),"")</f>
        <v/>
      </c>
      <c r="C30" s="123" t="str">
        <f ca="1">IFERROR(INDEX(Databas!$A$10:$BK$188,MATCH(Sammanfattning!C$5,Databas!$BH$10:$BH$188,0),MATCH($A30,Databas!$A$10:$BK$10,0)),"")</f>
        <v/>
      </c>
      <c r="D30" s="123" t="str">
        <f ca="1">IFERROR(INDEX(Databas!$A$10:$BK$188,MATCH(Sammanfattning!D$5,Databas!$BH$10:$BH$188,0),MATCH($A30,Databas!$A$10:$BK$10,0)),"")</f>
        <v/>
      </c>
      <c r="E30" s="123" t="str">
        <f ca="1">IFERROR(INDEX(Databas!$A$10:$BK$188,MATCH(Sammanfattning!E$5,Databas!$BH$10:$BH$188,0),MATCH($A30,Databas!$A$10:$BK$10,0)),"")</f>
        <v/>
      </c>
      <c r="F30" s="123" t="str">
        <f ca="1">IFERROR(INDEX(Databas!$A$10:$BK$188,MATCH(Sammanfattning!F$5,Databas!$BH$10:$BH$188,0),MATCH($A30,Databas!$A$10:$BK$10,0)),"")</f>
        <v/>
      </c>
      <c r="G30" s="123" t="str">
        <f ca="1">IFERROR(INDEX(Databas!$A$10:$BK$188,MATCH(Sammanfattning!G$5,Databas!$BH$10:$BH$188,0),MATCH($A30,Databas!$A$10:$BK$10,0)),"")</f>
        <v/>
      </c>
      <c r="H30" s="123" t="str">
        <f ca="1">IFERROR(INDEX(Databas!$A$10:$BK$188,MATCH(Sammanfattning!H$5,Databas!$BH$10:$BH$188,0),MATCH($A30,Databas!$A$10:$BK$10,0)),"")</f>
        <v/>
      </c>
      <c r="I30" s="123" t="str">
        <f ca="1">IFERROR(INDEX(Databas!$A$10:$BK$188,MATCH(Sammanfattning!I$5,Databas!$BH$10:$BH$188,0),MATCH($A30,Databas!$A$10:$BK$10,0)),"")</f>
        <v/>
      </c>
      <c r="J30" s="123" t="str">
        <f ca="1">IFERROR(INDEX(Databas!$A$10:$BK$188,MATCH(Sammanfattning!J$5,Databas!$BH$10:$BH$188,0),MATCH($A30,Databas!$A$10:$BK$10,0)),"")</f>
        <v/>
      </c>
      <c r="K30" s="123" t="str">
        <f ca="1">IFERROR(INDEX(Databas!$A$10:$BK$188,MATCH(Sammanfattning!K$5,Databas!$BH$10:$BH$188,0),MATCH($A30,Databas!$A$10:$BK$10,0)),"")</f>
        <v/>
      </c>
    </row>
    <row r="31" spans="1:11" ht="18.75" customHeight="1" outlineLevel="1" x14ac:dyDescent="0.3">
      <c r="A31" s="33" t="s">
        <v>16</v>
      </c>
      <c r="B31" s="123" t="str">
        <f>IFERROR(INDEX(Databas!$A$10:$BK$188,MATCH(Sammanfattning!B$5,Databas!$BH$10:$BH$188,0),MATCH($A31,Databas!$A$10:$BK$10,0)),"")</f>
        <v/>
      </c>
      <c r="C31" s="123" t="str">
        <f ca="1">IFERROR(INDEX(Databas!$A$10:$BK$188,MATCH(Sammanfattning!C$5,Databas!$BH$10:$BH$188,0),MATCH($A31,Databas!$A$10:$BK$10,0)),"")</f>
        <v/>
      </c>
      <c r="D31" s="123" t="str">
        <f ca="1">IFERROR(INDEX(Databas!$A$10:$BK$188,MATCH(Sammanfattning!D$5,Databas!$BH$10:$BH$188,0),MATCH($A31,Databas!$A$10:$BK$10,0)),"")</f>
        <v/>
      </c>
      <c r="E31" s="123" t="str">
        <f ca="1">IFERROR(INDEX(Databas!$A$10:$BK$188,MATCH(Sammanfattning!E$5,Databas!$BH$10:$BH$188,0),MATCH($A31,Databas!$A$10:$BK$10,0)),"")</f>
        <v/>
      </c>
      <c r="F31" s="123" t="str">
        <f ca="1">IFERROR(INDEX(Databas!$A$10:$BK$188,MATCH(Sammanfattning!F$5,Databas!$BH$10:$BH$188,0),MATCH($A31,Databas!$A$10:$BK$10,0)),"")</f>
        <v/>
      </c>
      <c r="G31" s="123" t="str">
        <f ca="1">IFERROR(INDEX(Databas!$A$10:$BK$188,MATCH(Sammanfattning!G$5,Databas!$BH$10:$BH$188,0),MATCH($A31,Databas!$A$10:$BK$10,0)),"")</f>
        <v/>
      </c>
      <c r="H31" s="123" t="str">
        <f ca="1">IFERROR(INDEX(Databas!$A$10:$BK$188,MATCH(Sammanfattning!H$5,Databas!$BH$10:$BH$188,0),MATCH($A31,Databas!$A$10:$BK$10,0)),"")</f>
        <v/>
      </c>
      <c r="I31" s="123" t="str">
        <f ca="1">IFERROR(INDEX(Databas!$A$10:$BK$188,MATCH(Sammanfattning!I$5,Databas!$BH$10:$BH$188,0),MATCH($A31,Databas!$A$10:$BK$10,0)),"")</f>
        <v/>
      </c>
      <c r="J31" s="123" t="str">
        <f ca="1">IFERROR(INDEX(Databas!$A$10:$BK$188,MATCH(Sammanfattning!J$5,Databas!$BH$10:$BH$188,0),MATCH($A31,Databas!$A$10:$BK$10,0)),"")</f>
        <v/>
      </c>
      <c r="K31" s="123" t="str">
        <f ca="1">IFERROR(INDEX(Databas!$A$10:$BK$188,MATCH(Sammanfattning!K$5,Databas!$BH$10:$BH$188,0),MATCH($A31,Databas!$A$10:$BK$10,0)),"")</f>
        <v/>
      </c>
    </row>
    <row r="32" spans="1:11" ht="18.75" customHeight="1" outlineLevel="1" x14ac:dyDescent="0.3">
      <c r="A32" s="33" t="s">
        <v>67</v>
      </c>
      <c r="B32" s="123" t="str">
        <f>IFERROR(INDEX(Databas!$A$10:$BK$188,MATCH(Sammanfattning!B$5,Databas!$BH$10:$BH$188,0),MATCH($A32,Databas!$A$10:$BK$10,0)),"")</f>
        <v/>
      </c>
      <c r="C32" s="123" t="str">
        <f ca="1">IFERROR(INDEX(Databas!$A$10:$BK$188,MATCH(Sammanfattning!C$5,Databas!$BH$10:$BH$188,0),MATCH($A32,Databas!$A$10:$BK$10,0)),"")</f>
        <v/>
      </c>
      <c r="D32" s="123" t="str">
        <f ca="1">IFERROR(INDEX(Databas!$A$10:$BK$188,MATCH(Sammanfattning!D$5,Databas!$BH$10:$BH$188,0),MATCH($A32,Databas!$A$10:$BK$10,0)),"")</f>
        <v/>
      </c>
      <c r="E32" s="123" t="str">
        <f ca="1">IFERROR(INDEX(Databas!$A$10:$BK$188,MATCH(Sammanfattning!E$5,Databas!$BH$10:$BH$188,0),MATCH($A32,Databas!$A$10:$BK$10,0)),"")</f>
        <v/>
      </c>
      <c r="F32" s="123" t="str">
        <f ca="1">IFERROR(INDEX(Databas!$A$10:$BK$188,MATCH(Sammanfattning!F$5,Databas!$BH$10:$BH$188,0),MATCH($A32,Databas!$A$10:$BK$10,0)),"")</f>
        <v/>
      </c>
      <c r="G32" s="123" t="str">
        <f ca="1">IFERROR(INDEX(Databas!$A$10:$BK$188,MATCH(Sammanfattning!G$5,Databas!$BH$10:$BH$188,0),MATCH($A32,Databas!$A$10:$BK$10,0)),"")</f>
        <v/>
      </c>
      <c r="H32" s="123" t="str">
        <f ca="1">IFERROR(INDEX(Databas!$A$10:$BK$188,MATCH(Sammanfattning!H$5,Databas!$BH$10:$BH$188,0),MATCH($A32,Databas!$A$10:$BK$10,0)),"")</f>
        <v/>
      </c>
      <c r="I32" s="123" t="str">
        <f ca="1">IFERROR(INDEX(Databas!$A$10:$BK$188,MATCH(Sammanfattning!I$5,Databas!$BH$10:$BH$188,0),MATCH($A32,Databas!$A$10:$BK$10,0)),"")</f>
        <v/>
      </c>
      <c r="J32" s="123" t="str">
        <f ca="1">IFERROR(INDEX(Databas!$A$10:$BK$188,MATCH(Sammanfattning!J$5,Databas!$BH$10:$BH$188,0),MATCH($A32,Databas!$A$10:$BK$10,0)),"")</f>
        <v/>
      </c>
      <c r="K32" s="123" t="str">
        <f ca="1">IFERROR(INDEX(Databas!$A$10:$BK$188,MATCH(Sammanfattning!K$5,Databas!$BH$10:$BH$188,0),MATCH($A32,Databas!$A$10:$BK$10,0)),"")</f>
        <v/>
      </c>
    </row>
    <row r="33" spans="1:11" ht="18.75" customHeight="1" outlineLevel="1" x14ac:dyDescent="0.3">
      <c r="A33" s="33" t="s">
        <v>74</v>
      </c>
      <c r="B33" s="123" t="str">
        <f>IFERROR(INDEX(Databas!$A$10:$BK$188,MATCH(Sammanfattning!B$5,Databas!$BH$10:$BH$188,0),MATCH($A33,Databas!$A$10:$BK$10,0)),"")</f>
        <v/>
      </c>
      <c r="C33" s="123" t="str">
        <f ca="1">IFERROR(INDEX(Databas!$A$10:$BK$188,MATCH(Sammanfattning!C$5,Databas!$BH$10:$BH$188,0),MATCH($A33,Databas!$A$10:$BK$10,0)),"")</f>
        <v/>
      </c>
      <c r="D33" s="123" t="str">
        <f ca="1">IFERROR(INDEX(Databas!$A$10:$BK$188,MATCH(Sammanfattning!D$5,Databas!$BH$10:$BH$188,0),MATCH($A33,Databas!$A$10:$BK$10,0)),"")</f>
        <v/>
      </c>
      <c r="E33" s="123" t="str">
        <f ca="1">IFERROR(INDEX(Databas!$A$10:$BK$188,MATCH(Sammanfattning!E$5,Databas!$BH$10:$BH$188,0),MATCH($A33,Databas!$A$10:$BK$10,0)),"")</f>
        <v/>
      </c>
      <c r="F33" s="123" t="str">
        <f ca="1">IFERROR(INDEX(Databas!$A$10:$BK$188,MATCH(Sammanfattning!F$5,Databas!$BH$10:$BH$188,0),MATCH($A33,Databas!$A$10:$BK$10,0)),"")</f>
        <v/>
      </c>
      <c r="G33" s="123" t="str">
        <f ca="1">IFERROR(INDEX(Databas!$A$10:$BK$188,MATCH(Sammanfattning!G$5,Databas!$BH$10:$BH$188,0),MATCH($A33,Databas!$A$10:$BK$10,0)),"")</f>
        <v/>
      </c>
      <c r="H33" s="123" t="str">
        <f ca="1">IFERROR(INDEX(Databas!$A$10:$BK$188,MATCH(Sammanfattning!H$5,Databas!$BH$10:$BH$188,0),MATCH($A33,Databas!$A$10:$BK$10,0)),"")</f>
        <v/>
      </c>
      <c r="I33" s="123" t="str">
        <f ca="1">IFERROR(INDEX(Databas!$A$10:$BK$188,MATCH(Sammanfattning!I$5,Databas!$BH$10:$BH$188,0),MATCH($A33,Databas!$A$10:$BK$10,0)),"")</f>
        <v/>
      </c>
      <c r="J33" s="123" t="str">
        <f ca="1">IFERROR(INDEX(Databas!$A$10:$BK$188,MATCH(Sammanfattning!J$5,Databas!$BH$10:$BH$188,0),MATCH($A33,Databas!$A$10:$BK$10,0)),"")</f>
        <v/>
      </c>
      <c r="K33" s="123" t="str">
        <f ca="1">IFERROR(INDEX(Databas!$A$10:$BK$188,MATCH(Sammanfattning!K$5,Databas!$BH$10:$BH$188,0),MATCH($A33,Databas!$A$10:$BK$10,0)),"")</f>
        <v/>
      </c>
    </row>
    <row r="34" spans="1:11" ht="18.75" customHeight="1" outlineLevel="1" x14ac:dyDescent="0.3">
      <c r="A34" s="33" t="s">
        <v>97</v>
      </c>
      <c r="B34" s="123" t="str">
        <f>IFERROR(INDEX(Databas!$A$10:$BK$188,MATCH(Sammanfattning!B$5,Databas!$BH$10:$BH$188,0),MATCH($A34,Databas!$A$10:$BK$10,0)),"")</f>
        <v/>
      </c>
      <c r="C34" s="123" t="str">
        <f ca="1">IFERROR(INDEX(Databas!$A$10:$BK$188,MATCH(Sammanfattning!C$5,Databas!$BH$10:$BH$188,0),MATCH($A34,Databas!$A$10:$BK$10,0)),"")</f>
        <v/>
      </c>
      <c r="D34" s="123" t="str">
        <f ca="1">IFERROR(INDEX(Databas!$A$10:$BK$188,MATCH(Sammanfattning!D$5,Databas!$BH$10:$BH$188,0),MATCH($A34,Databas!$A$10:$BK$10,0)),"")</f>
        <v/>
      </c>
      <c r="E34" s="123" t="str">
        <f ca="1">IFERROR(INDEX(Databas!$A$10:$BK$188,MATCH(Sammanfattning!E$5,Databas!$BH$10:$BH$188,0),MATCH($A34,Databas!$A$10:$BK$10,0)),"")</f>
        <v/>
      </c>
      <c r="F34" s="123" t="str">
        <f ca="1">IFERROR(INDEX(Databas!$A$10:$BK$188,MATCH(Sammanfattning!F$5,Databas!$BH$10:$BH$188,0),MATCH($A34,Databas!$A$10:$BK$10,0)),"")</f>
        <v/>
      </c>
      <c r="G34" s="123" t="str">
        <f ca="1">IFERROR(INDEX(Databas!$A$10:$BK$188,MATCH(Sammanfattning!G$5,Databas!$BH$10:$BH$188,0),MATCH($A34,Databas!$A$10:$BK$10,0)),"")</f>
        <v/>
      </c>
      <c r="H34" s="123" t="str">
        <f ca="1">IFERROR(INDEX(Databas!$A$10:$BK$188,MATCH(Sammanfattning!H$5,Databas!$BH$10:$BH$188,0),MATCH($A34,Databas!$A$10:$BK$10,0)),"")</f>
        <v/>
      </c>
      <c r="I34" s="123" t="str">
        <f ca="1">IFERROR(INDEX(Databas!$A$10:$BK$188,MATCH(Sammanfattning!I$5,Databas!$BH$10:$BH$188,0),MATCH($A34,Databas!$A$10:$BK$10,0)),"")</f>
        <v/>
      </c>
      <c r="J34" s="123" t="str">
        <f ca="1">IFERROR(INDEX(Databas!$A$10:$BK$188,MATCH(Sammanfattning!J$5,Databas!$BH$10:$BH$188,0),MATCH($A34,Databas!$A$10:$BK$10,0)),"")</f>
        <v/>
      </c>
      <c r="K34" s="123" t="str">
        <f ca="1">IFERROR(INDEX(Databas!$A$10:$BK$188,MATCH(Sammanfattning!K$5,Databas!$BH$10:$BH$188,0),MATCH($A34,Databas!$A$10:$BK$10,0)),"")</f>
        <v/>
      </c>
    </row>
    <row r="35" spans="1:11" ht="18.75" customHeight="1" outlineLevel="1" x14ac:dyDescent="0.3">
      <c r="A35" s="33" t="s">
        <v>98</v>
      </c>
      <c r="B35" s="123" t="str">
        <f>IFERROR(INDEX(Databas!$A$10:$BK$188,MATCH(Sammanfattning!B$5,Databas!$BH$10:$BH$188,0),MATCH($A35,Databas!$A$10:$BK$10,0)),"")</f>
        <v/>
      </c>
      <c r="C35" s="123" t="str">
        <f ca="1">IFERROR(INDEX(Databas!$A$10:$BK$188,MATCH(Sammanfattning!C$5,Databas!$BH$10:$BH$188,0),MATCH($A35,Databas!$A$10:$BK$10,0)),"")</f>
        <v/>
      </c>
      <c r="D35" s="123" t="str">
        <f ca="1">IFERROR(INDEX(Databas!$A$10:$BK$188,MATCH(Sammanfattning!D$5,Databas!$BH$10:$BH$188,0),MATCH($A35,Databas!$A$10:$BK$10,0)),"")</f>
        <v/>
      </c>
      <c r="E35" s="123" t="str">
        <f ca="1">IFERROR(INDEX(Databas!$A$10:$BK$188,MATCH(Sammanfattning!E$5,Databas!$BH$10:$BH$188,0),MATCH($A35,Databas!$A$10:$BK$10,0)),"")</f>
        <v/>
      </c>
      <c r="F35" s="123" t="str">
        <f ca="1">IFERROR(INDEX(Databas!$A$10:$BK$188,MATCH(Sammanfattning!F$5,Databas!$BH$10:$BH$188,0),MATCH($A35,Databas!$A$10:$BK$10,0)),"")</f>
        <v/>
      </c>
      <c r="G35" s="123" t="str">
        <f ca="1">IFERROR(INDEX(Databas!$A$10:$BK$188,MATCH(Sammanfattning!G$5,Databas!$BH$10:$BH$188,0),MATCH($A35,Databas!$A$10:$BK$10,0)),"")</f>
        <v/>
      </c>
      <c r="H35" s="123" t="str">
        <f ca="1">IFERROR(INDEX(Databas!$A$10:$BK$188,MATCH(Sammanfattning!H$5,Databas!$BH$10:$BH$188,0),MATCH($A35,Databas!$A$10:$BK$10,0)),"")</f>
        <v/>
      </c>
      <c r="I35" s="123" t="str">
        <f ca="1">IFERROR(INDEX(Databas!$A$10:$BK$188,MATCH(Sammanfattning!I$5,Databas!$BH$10:$BH$188,0),MATCH($A35,Databas!$A$10:$BK$10,0)),"")</f>
        <v/>
      </c>
      <c r="J35" s="123" t="str">
        <f ca="1">IFERROR(INDEX(Databas!$A$10:$BK$188,MATCH(Sammanfattning!J$5,Databas!$BH$10:$BH$188,0),MATCH($A35,Databas!$A$10:$BK$10,0)),"")</f>
        <v/>
      </c>
      <c r="K35" s="123" t="str">
        <f ca="1">IFERROR(INDEX(Databas!$A$10:$BK$188,MATCH(Sammanfattning!K$5,Databas!$BH$10:$BH$188,0),MATCH($A35,Databas!$A$10:$BK$10,0)),"")</f>
        <v/>
      </c>
    </row>
    <row r="36" spans="1:11" ht="18.75" customHeight="1" outlineLevel="1" x14ac:dyDescent="0.3">
      <c r="A36" s="33" t="s">
        <v>103</v>
      </c>
      <c r="B36" s="123" t="str">
        <f>IFERROR(INDEX(Databas!$A$10:$BK$188,MATCH(Sammanfattning!B$5,Databas!$BH$10:$BH$188,0),MATCH($A36,Databas!$A$10:$BK$10,0)),"")</f>
        <v/>
      </c>
      <c r="C36" s="123" t="str">
        <f ca="1">IFERROR(INDEX(Databas!$A$10:$BK$188,MATCH(Sammanfattning!C$5,Databas!$BH$10:$BH$188,0),MATCH($A36,Databas!$A$10:$BK$10,0)),"")</f>
        <v/>
      </c>
      <c r="D36" s="123" t="str">
        <f ca="1">IFERROR(INDEX(Databas!$A$10:$BK$188,MATCH(Sammanfattning!D$5,Databas!$BH$10:$BH$188,0),MATCH($A36,Databas!$A$10:$BK$10,0)),"")</f>
        <v/>
      </c>
      <c r="E36" s="123" t="str">
        <f ca="1">IFERROR(INDEX(Databas!$A$10:$BK$188,MATCH(Sammanfattning!E$5,Databas!$BH$10:$BH$188,0),MATCH($A36,Databas!$A$10:$BK$10,0)),"")</f>
        <v/>
      </c>
      <c r="F36" s="123" t="str">
        <f ca="1">IFERROR(INDEX(Databas!$A$10:$BK$188,MATCH(Sammanfattning!F$5,Databas!$BH$10:$BH$188,0),MATCH($A36,Databas!$A$10:$BK$10,0)),"")</f>
        <v/>
      </c>
      <c r="G36" s="123" t="str">
        <f ca="1">IFERROR(INDEX(Databas!$A$10:$BK$188,MATCH(Sammanfattning!G$5,Databas!$BH$10:$BH$188,0),MATCH($A36,Databas!$A$10:$BK$10,0)),"")</f>
        <v/>
      </c>
      <c r="H36" s="123" t="str">
        <f ca="1">IFERROR(INDEX(Databas!$A$10:$BK$188,MATCH(Sammanfattning!H$5,Databas!$BH$10:$BH$188,0),MATCH($A36,Databas!$A$10:$BK$10,0)),"")</f>
        <v/>
      </c>
      <c r="I36" s="123" t="str">
        <f ca="1">IFERROR(INDEX(Databas!$A$10:$BK$188,MATCH(Sammanfattning!I$5,Databas!$BH$10:$BH$188,0),MATCH($A36,Databas!$A$10:$BK$10,0)),"")</f>
        <v/>
      </c>
      <c r="J36" s="123" t="str">
        <f ca="1">IFERROR(INDEX(Databas!$A$10:$BK$188,MATCH(Sammanfattning!J$5,Databas!$BH$10:$BH$188,0),MATCH($A36,Databas!$A$10:$BK$10,0)),"")</f>
        <v/>
      </c>
      <c r="K36" s="123" t="str">
        <f ca="1">IFERROR(INDEX(Databas!$A$10:$BK$188,MATCH(Sammanfattning!K$5,Databas!$BH$10:$BH$188,0),MATCH($A36,Databas!$A$10:$BK$10,0)),"")</f>
        <v/>
      </c>
    </row>
    <row r="37" spans="1:11" ht="18.75" customHeight="1" outlineLevel="1" x14ac:dyDescent="0.3">
      <c r="A37" s="33" t="s">
        <v>75</v>
      </c>
      <c r="B37" s="123" t="str">
        <f>IFERROR(INDEX(Databas!$A$10:$BK$188,MATCH(Sammanfattning!B$5,Databas!$BH$10:$BH$188,0),MATCH($A37,Databas!$A$10:$BK$10,0)),"")</f>
        <v/>
      </c>
      <c r="C37" s="123" t="str">
        <f ca="1">IFERROR(INDEX(Databas!$A$10:$BK$188,MATCH(Sammanfattning!C$5,Databas!$BH$10:$BH$188,0),MATCH($A37,Databas!$A$10:$BK$10,0)),"")</f>
        <v/>
      </c>
      <c r="D37" s="123" t="str">
        <f ca="1">IFERROR(INDEX(Databas!$A$10:$BK$188,MATCH(Sammanfattning!D$5,Databas!$BH$10:$BH$188,0),MATCH($A37,Databas!$A$10:$BK$10,0)),"")</f>
        <v/>
      </c>
      <c r="E37" s="123" t="str">
        <f ca="1">IFERROR(INDEX(Databas!$A$10:$BK$188,MATCH(Sammanfattning!E$5,Databas!$BH$10:$BH$188,0),MATCH($A37,Databas!$A$10:$BK$10,0)),"")</f>
        <v/>
      </c>
      <c r="F37" s="123" t="str">
        <f ca="1">IFERROR(INDEX(Databas!$A$10:$BK$188,MATCH(Sammanfattning!F$5,Databas!$BH$10:$BH$188,0),MATCH($A37,Databas!$A$10:$BK$10,0)),"")</f>
        <v/>
      </c>
      <c r="G37" s="123" t="str">
        <f ca="1">IFERROR(INDEX(Databas!$A$10:$BK$188,MATCH(Sammanfattning!G$5,Databas!$BH$10:$BH$188,0),MATCH($A37,Databas!$A$10:$BK$10,0)),"")</f>
        <v/>
      </c>
      <c r="H37" s="123" t="str">
        <f ca="1">IFERROR(INDEX(Databas!$A$10:$BK$188,MATCH(Sammanfattning!H$5,Databas!$BH$10:$BH$188,0),MATCH($A37,Databas!$A$10:$BK$10,0)),"")</f>
        <v/>
      </c>
      <c r="I37" s="123" t="str">
        <f ca="1">IFERROR(INDEX(Databas!$A$10:$BK$188,MATCH(Sammanfattning!I$5,Databas!$BH$10:$BH$188,0),MATCH($A37,Databas!$A$10:$BK$10,0)),"")</f>
        <v/>
      </c>
      <c r="J37" s="123" t="str">
        <f ca="1">IFERROR(INDEX(Databas!$A$10:$BK$188,MATCH(Sammanfattning!J$5,Databas!$BH$10:$BH$188,0),MATCH($A37,Databas!$A$10:$BK$10,0)),"")</f>
        <v/>
      </c>
      <c r="K37" s="123" t="str">
        <f ca="1">IFERROR(INDEX(Databas!$A$10:$BK$188,MATCH(Sammanfattning!K$5,Databas!$BH$10:$BH$188,0),MATCH($A37,Databas!$A$10:$BK$10,0)),"")</f>
        <v/>
      </c>
    </row>
    <row r="38" spans="1:11" ht="18.75" customHeight="1" outlineLevel="1" x14ac:dyDescent="0.3">
      <c r="A38" s="33" t="s">
        <v>100</v>
      </c>
      <c r="B38" s="123" t="str">
        <f>IFERROR(INDEX(Databas!$A$10:$BK$188,MATCH(Sammanfattning!B$5,Databas!$BH$10:$BH$188,0),MATCH($A38,Databas!$A$10:$BK$10,0)),"")</f>
        <v/>
      </c>
      <c r="C38" s="123" t="str">
        <f ca="1">IFERROR(INDEX(Databas!$A$10:$BK$188,MATCH(Sammanfattning!C$5,Databas!$BH$10:$BH$188,0),MATCH($A38,Databas!$A$10:$BK$10,0)),"")</f>
        <v/>
      </c>
      <c r="D38" s="123" t="str">
        <f ca="1">IFERROR(INDEX(Databas!$A$10:$BK$188,MATCH(Sammanfattning!D$5,Databas!$BH$10:$BH$188,0),MATCH($A38,Databas!$A$10:$BK$10,0)),"")</f>
        <v/>
      </c>
      <c r="E38" s="123" t="str">
        <f ca="1">IFERROR(INDEX(Databas!$A$10:$BK$188,MATCH(Sammanfattning!E$5,Databas!$BH$10:$BH$188,0),MATCH($A38,Databas!$A$10:$BK$10,0)),"")</f>
        <v/>
      </c>
      <c r="F38" s="123" t="str">
        <f ca="1">IFERROR(INDEX(Databas!$A$10:$BK$188,MATCH(Sammanfattning!F$5,Databas!$BH$10:$BH$188,0),MATCH($A38,Databas!$A$10:$BK$10,0)),"")</f>
        <v/>
      </c>
      <c r="G38" s="123" t="str">
        <f ca="1">IFERROR(INDEX(Databas!$A$10:$BK$188,MATCH(Sammanfattning!G$5,Databas!$BH$10:$BH$188,0),MATCH($A38,Databas!$A$10:$BK$10,0)),"")</f>
        <v/>
      </c>
      <c r="H38" s="123" t="str">
        <f ca="1">IFERROR(INDEX(Databas!$A$10:$BK$188,MATCH(Sammanfattning!H$5,Databas!$BH$10:$BH$188,0),MATCH($A38,Databas!$A$10:$BK$10,0)),"")</f>
        <v/>
      </c>
      <c r="I38" s="123" t="str">
        <f ca="1">IFERROR(INDEX(Databas!$A$10:$BK$188,MATCH(Sammanfattning!I$5,Databas!$BH$10:$BH$188,0),MATCH($A38,Databas!$A$10:$BK$10,0)),"")</f>
        <v/>
      </c>
      <c r="J38" s="123" t="str">
        <f ca="1">IFERROR(INDEX(Databas!$A$10:$BK$188,MATCH(Sammanfattning!J$5,Databas!$BH$10:$BH$188,0),MATCH($A38,Databas!$A$10:$BK$10,0)),"")</f>
        <v/>
      </c>
      <c r="K38" s="123" t="str">
        <f ca="1">IFERROR(INDEX(Databas!$A$10:$BK$188,MATCH(Sammanfattning!K$5,Databas!$BH$10:$BH$188,0),MATCH($A38,Databas!$A$10:$BK$10,0)),"")</f>
        <v/>
      </c>
    </row>
    <row r="39" spans="1:11" ht="18.75" customHeight="1" outlineLevel="1" x14ac:dyDescent="0.3">
      <c r="A39" s="33" t="s">
        <v>102</v>
      </c>
      <c r="B39" s="123" t="str">
        <f>IFERROR(INDEX(Databas!$A$10:$BK$188,MATCH(Sammanfattning!B$5,Databas!$BH$10:$BH$188,0),MATCH($A39,Databas!$A$10:$BK$10,0)),"")</f>
        <v/>
      </c>
      <c r="C39" s="123" t="str">
        <f ca="1">IFERROR(INDEX(Databas!$A$10:$BK$188,MATCH(Sammanfattning!C$5,Databas!$BH$10:$BH$188,0),MATCH($A39,Databas!$A$10:$BK$10,0)),"")</f>
        <v/>
      </c>
      <c r="D39" s="123" t="str">
        <f ca="1">IFERROR(INDEX(Databas!$A$10:$BK$188,MATCH(Sammanfattning!D$5,Databas!$BH$10:$BH$188,0),MATCH($A39,Databas!$A$10:$BK$10,0)),"")</f>
        <v/>
      </c>
      <c r="E39" s="123" t="str">
        <f ca="1">IFERROR(INDEX(Databas!$A$10:$BK$188,MATCH(Sammanfattning!E$5,Databas!$BH$10:$BH$188,0),MATCH($A39,Databas!$A$10:$BK$10,0)),"")</f>
        <v/>
      </c>
      <c r="F39" s="123" t="str">
        <f ca="1">IFERROR(INDEX(Databas!$A$10:$BK$188,MATCH(Sammanfattning!F$5,Databas!$BH$10:$BH$188,0),MATCH($A39,Databas!$A$10:$BK$10,0)),"")</f>
        <v/>
      </c>
      <c r="G39" s="123" t="str">
        <f ca="1">IFERROR(INDEX(Databas!$A$10:$BK$188,MATCH(Sammanfattning!G$5,Databas!$BH$10:$BH$188,0),MATCH($A39,Databas!$A$10:$BK$10,0)),"")</f>
        <v/>
      </c>
      <c r="H39" s="123" t="str">
        <f ca="1">IFERROR(INDEX(Databas!$A$10:$BK$188,MATCH(Sammanfattning!H$5,Databas!$BH$10:$BH$188,0),MATCH($A39,Databas!$A$10:$BK$10,0)),"")</f>
        <v/>
      </c>
      <c r="I39" s="123" t="str">
        <f ca="1">IFERROR(INDEX(Databas!$A$10:$BK$188,MATCH(Sammanfattning!I$5,Databas!$BH$10:$BH$188,0),MATCH($A39,Databas!$A$10:$BK$10,0)),"")</f>
        <v/>
      </c>
      <c r="J39" s="123" t="str">
        <f ca="1">IFERROR(INDEX(Databas!$A$10:$BK$188,MATCH(Sammanfattning!J$5,Databas!$BH$10:$BH$188,0),MATCH($A39,Databas!$A$10:$BK$10,0)),"")</f>
        <v/>
      </c>
      <c r="K39" s="123" t="str">
        <f ca="1">IFERROR(INDEX(Databas!$A$10:$BK$188,MATCH(Sammanfattning!K$5,Databas!$BH$10:$BH$188,0),MATCH($A39,Databas!$A$10:$BK$10,0)),"")</f>
        <v/>
      </c>
    </row>
    <row r="40" spans="1:11" ht="18.75" customHeight="1" outlineLevel="1" x14ac:dyDescent="0.3">
      <c r="A40" s="33" t="s">
        <v>99</v>
      </c>
      <c r="B40" s="123" t="str">
        <f>IFERROR(INDEX(Databas!$A$10:$BK$188,MATCH(Sammanfattning!B$5,Databas!$BH$10:$BH$188,0),MATCH($A40,Databas!$A$10:$BK$10,0)),"")</f>
        <v/>
      </c>
      <c r="C40" s="123" t="str">
        <f ca="1">IFERROR(INDEX(Databas!$A$10:$BK$188,MATCH(Sammanfattning!C$5,Databas!$BH$10:$BH$188,0),MATCH($A40,Databas!$A$10:$BK$10,0)),"")</f>
        <v/>
      </c>
      <c r="D40" s="123" t="str">
        <f ca="1">IFERROR(INDEX(Databas!$A$10:$BK$188,MATCH(Sammanfattning!D$5,Databas!$BH$10:$BH$188,0),MATCH($A40,Databas!$A$10:$BK$10,0)),"")</f>
        <v/>
      </c>
      <c r="E40" s="123" t="str">
        <f ca="1">IFERROR(INDEX(Databas!$A$10:$BK$188,MATCH(Sammanfattning!E$5,Databas!$BH$10:$BH$188,0),MATCH($A40,Databas!$A$10:$BK$10,0)),"")</f>
        <v/>
      </c>
      <c r="F40" s="123" t="str">
        <f ca="1">IFERROR(INDEX(Databas!$A$10:$BK$188,MATCH(Sammanfattning!F$5,Databas!$BH$10:$BH$188,0),MATCH($A40,Databas!$A$10:$BK$10,0)),"")</f>
        <v/>
      </c>
      <c r="G40" s="123" t="str">
        <f ca="1">IFERROR(INDEX(Databas!$A$10:$BK$188,MATCH(Sammanfattning!G$5,Databas!$BH$10:$BH$188,0),MATCH($A40,Databas!$A$10:$BK$10,0)),"")</f>
        <v/>
      </c>
      <c r="H40" s="123" t="str">
        <f ca="1">IFERROR(INDEX(Databas!$A$10:$BK$188,MATCH(Sammanfattning!H$5,Databas!$BH$10:$BH$188,0),MATCH($A40,Databas!$A$10:$BK$10,0)),"")</f>
        <v/>
      </c>
      <c r="I40" s="123" t="str">
        <f ca="1">IFERROR(INDEX(Databas!$A$10:$BK$188,MATCH(Sammanfattning!I$5,Databas!$BH$10:$BH$188,0),MATCH($A40,Databas!$A$10:$BK$10,0)),"")</f>
        <v/>
      </c>
      <c r="J40" s="123" t="str">
        <f ca="1">IFERROR(INDEX(Databas!$A$10:$BK$188,MATCH(Sammanfattning!J$5,Databas!$BH$10:$BH$188,0),MATCH($A40,Databas!$A$10:$BK$10,0)),"")</f>
        <v/>
      </c>
      <c r="K40" s="123" t="str">
        <f ca="1">IFERROR(INDEX(Databas!$A$10:$BK$188,MATCH(Sammanfattning!K$5,Databas!$BH$10:$BH$188,0),MATCH($A40,Databas!$A$10:$BK$10,0)),"")</f>
        <v/>
      </c>
    </row>
    <row r="41" spans="1:11" ht="18.75" customHeight="1" outlineLevel="1" x14ac:dyDescent="0.3">
      <c r="A41" s="33" t="s">
        <v>120</v>
      </c>
      <c r="B41" s="123" t="str">
        <f>IFERROR(INDEX(Databas!$A$10:$BK$188,MATCH(Sammanfattning!B$5,Databas!$BH$10:$BH$188,0),MATCH($A41,Databas!$A$10:$BK$10,0)),"")</f>
        <v/>
      </c>
      <c r="C41" s="123" t="str">
        <f ca="1">IFERROR(INDEX(Databas!$A$10:$BK$188,MATCH(Sammanfattning!C$5,Databas!$BH$10:$BH$188,0),MATCH($A41,Databas!$A$10:$BK$10,0)),"")</f>
        <v/>
      </c>
      <c r="D41" s="123" t="str">
        <f ca="1">IFERROR(INDEX(Databas!$A$10:$BK$188,MATCH(Sammanfattning!D$5,Databas!$BH$10:$BH$188,0),MATCH($A41,Databas!$A$10:$BK$10,0)),"")</f>
        <v/>
      </c>
      <c r="E41" s="123" t="str">
        <f ca="1">IFERROR(INDEX(Databas!$A$10:$BK$188,MATCH(Sammanfattning!E$5,Databas!$BH$10:$BH$188,0),MATCH($A41,Databas!$A$10:$BK$10,0)),"")</f>
        <v/>
      </c>
      <c r="F41" s="123" t="str">
        <f ca="1">IFERROR(INDEX(Databas!$A$10:$BK$188,MATCH(Sammanfattning!F$5,Databas!$BH$10:$BH$188,0),MATCH($A41,Databas!$A$10:$BK$10,0)),"")</f>
        <v/>
      </c>
      <c r="G41" s="123" t="str">
        <f ca="1">IFERROR(INDEX(Databas!$A$10:$BK$188,MATCH(Sammanfattning!G$5,Databas!$BH$10:$BH$188,0),MATCH($A41,Databas!$A$10:$BK$10,0)),"")</f>
        <v/>
      </c>
      <c r="H41" s="123" t="str">
        <f ca="1">IFERROR(INDEX(Databas!$A$10:$BK$188,MATCH(Sammanfattning!H$5,Databas!$BH$10:$BH$188,0),MATCH($A41,Databas!$A$10:$BK$10,0)),"")</f>
        <v/>
      </c>
      <c r="I41" s="123" t="str">
        <f ca="1">IFERROR(INDEX(Databas!$A$10:$BK$188,MATCH(Sammanfattning!I$5,Databas!$BH$10:$BH$188,0),MATCH($A41,Databas!$A$10:$BK$10,0)),"")</f>
        <v/>
      </c>
      <c r="J41" s="123" t="str">
        <f ca="1">IFERROR(INDEX(Databas!$A$10:$BK$188,MATCH(Sammanfattning!J$5,Databas!$BH$10:$BH$188,0),MATCH($A41,Databas!$A$10:$BK$10,0)),"")</f>
        <v/>
      </c>
      <c r="K41" s="123" t="str">
        <f ca="1">IFERROR(INDEX(Databas!$A$10:$BK$188,MATCH(Sammanfattning!K$5,Databas!$BH$10:$BH$188,0),MATCH($A41,Databas!$A$10:$BK$10,0)),"")</f>
        <v/>
      </c>
    </row>
    <row r="42" spans="1:11" ht="18.75" customHeight="1" outlineLevel="1" x14ac:dyDescent="0.3">
      <c r="A42" s="33" t="s">
        <v>38</v>
      </c>
      <c r="B42" s="123" t="str">
        <f>IFERROR(INDEX(Databas!$A$10:$BK$188,MATCH(Sammanfattning!B$5,Databas!$BH$10:$BH$188,0),MATCH($A42,Databas!$A$10:$BK$10,0)),"")</f>
        <v/>
      </c>
      <c r="C42" s="123" t="str">
        <f ca="1">IFERROR(INDEX(Databas!$A$10:$BK$188,MATCH(Sammanfattning!C$5,Databas!$BH$10:$BH$188,0),MATCH($A42,Databas!$A$10:$BK$10,0)),"")</f>
        <v/>
      </c>
      <c r="D42" s="123" t="str">
        <f ca="1">IFERROR(INDEX(Databas!$A$10:$BK$188,MATCH(Sammanfattning!D$5,Databas!$BH$10:$BH$188,0),MATCH($A42,Databas!$A$10:$BK$10,0)),"")</f>
        <v/>
      </c>
      <c r="E42" s="123" t="str">
        <f ca="1">IFERROR(INDEX(Databas!$A$10:$BK$188,MATCH(Sammanfattning!E$5,Databas!$BH$10:$BH$188,0),MATCH($A42,Databas!$A$10:$BK$10,0)),"")</f>
        <v/>
      </c>
      <c r="F42" s="123" t="str">
        <f ca="1">IFERROR(INDEX(Databas!$A$10:$BK$188,MATCH(Sammanfattning!F$5,Databas!$BH$10:$BH$188,0),MATCH($A42,Databas!$A$10:$BK$10,0)),"")</f>
        <v/>
      </c>
      <c r="G42" s="123" t="str">
        <f ca="1">IFERROR(INDEX(Databas!$A$10:$BK$188,MATCH(Sammanfattning!G$5,Databas!$BH$10:$BH$188,0),MATCH($A42,Databas!$A$10:$BK$10,0)),"")</f>
        <v/>
      </c>
      <c r="H42" s="123" t="str">
        <f ca="1">IFERROR(INDEX(Databas!$A$10:$BK$188,MATCH(Sammanfattning!H$5,Databas!$BH$10:$BH$188,0),MATCH($A42,Databas!$A$10:$BK$10,0)),"")</f>
        <v/>
      </c>
      <c r="I42" s="123" t="str">
        <f ca="1">IFERROR(INDEX(Databas!$A$10:$BK$188,MATCH(Sammanfattning!I$5,Databas!$BH$10:$BH$188,0),MATCH($A42,Databas!$A$10:$BK$10,0)),"")</f>
        <v/>
      </c>
      <c r="J42" s="123" t="str">
        <f ca="1">IFERROR(INDEX(Databas!$A$10:$BK$188,MATCH(Sammanfattning!J$5,Databas!$BH$10:$BH$188,0),MATCH($A42,Databas!$A$10:$BK$10,0)),"")</f>
        <v/>
      </c>
      <c r="K42" s="123" t="str">
        <f ca="1">IFERROR(INDEX(Databas!$A$10:$BK$188,MATCH(Sammanfattning!K$5,Databas!$BH$10:$BH$188,0),MATCH($A42,Databas!$A$10:$BK$10,0)),"")</f>
        <v/>
      </c>
    </row>
    <row r="43" spans="1:11" ht="18.75" customHeight="1" outlineLevel="1" x14ac:dyDescent="0.3">
      <c r="A43" s="33" t="s">
        <v>5</v>
      </c>
      <c r="B43" s="123" t="str">
        <f>IFERROR(INDEX(Databas!$A$10:$BK$188,MATCH(Sammanfattning!B$5,Databas!$BH$10:$BH$188,0),MATCH($A43,Databas!$A$10:$BK$10,0)),"")</f>
        <v/>
      </c>
      <c r="C43" s="123" t="str">
        <f ca="1">IFERROR(INDEX(Databas!$A$10:$BK$188,MATCH(Sammanfattning!C$5,Databas!$BH$10:$BH$188,0),MATCH($A43,Databas!$A$10:$BK$10,0)),"")</f>
        <v/>
      </c>
      <c r="D43" s="123" t="str">
        <f ca="1">IFERROR(INDEX(Databas!$A$10:$BK$188,MATCH(Sammanfattning!D$5,Databas!$BH$10:$BH$188,0),MATCH($A43,Databas!$A$10:$BK$10,0)),"")</f>
        <v/>
      </c>
      <c r="E43" s="123" t="str">
        <f ca="1">IFERROR(INDEX(Databas!$A$10:$BK$188,MATCH(Sammanfattning!E$5,Databas!$BH$10:$BH$188,0),MATCH($A43,Databas!$A$10:$BK$10,0)),"")</f>
        <v/>
      </c>
      <c r="F43" s="123" t="str">
        <f ca="1">IFERROR(INDEX(Databas!$A$10:$BK$188,MATCH(Sammanfattning!F$5,Databas!$BH$10:$BH$188,0),MATCH($A43,Databas!$A$10:$BK$10,0)),"")</f>
        <v/>
      </c>
      <c r="G43" s="123" t="str">
        <f ca="1">IFERROR(INDEX(Databas!$A$10:$BK$188,MATCH(Sammanfattning!G$5,Databas!$BH$10:$BH$188,0),MATCH($A43,Databas!$A$10:$BK$10,0)),"")</f>
        <v/>
      </c>
      <c r="H43" s="123" t="str">
        <f ca="1">IFERROR(INDEX(Databas!$A$10:$BK$188,MATCH(Sammanfattning!H$5,Databas!$BH$10:$BH$188,0),MATCH($A43,Databas!$A$10:$BK$10,0)),"")</f>
        <v/>
      </c>
      <c r="I43" s="123" t="str">
        <f ca="1">IFERROR(INDEX(Databas!$A$10:$BK$188,MATCH(Sammanfattning!I$5,Databas!$BH$10:$BH$188,0),MATCH($A43,Databas!$A$10:$BK$10,0)),"")</f>
        <v/>
      </c>
      <c r="J43" s="123" t="str">
        <f ca="1">IFERROR(INDEX(Databas!$A$10:$BK$188,MATCH(Sammanfattning!J$5,Databas!$BH$10:$BH$188,0),MATCH($A43,Databas!$A$10:$BK$10,0)),"")</f>
        <v/>
      </c>
      <c r="K43" s="123" t="str">
        <f ca="1">IFERROR(INDEX(Databas!$A$10:$BK$188,MATCH(Sammanfattning!K$5,Databas!$BH$10:$BH$188,0),MATCH($A43,Databas!$A$10:$BK$10,0)),"")</f>
        <v/>
      </c>
    </row>
    <row r="44" spans="1:11" ht="18.75" customHeight="1" outlineLevel="1" x14ac:dyDescent="0.3">
      <c r="A44" s="33" t="s">
        <v>36</v>
      </c>
      <c r="B44" s="123" t="str">
        <f>IFERROR(INDEX(Databas!$A$10:$BK$188,MATCH(Sammanfattning!B$5,Databas!$BH$10:$BH$188,0),MATCH($A44,Databas!$A$10:$BK$10,0)),"")</f>
        <v/>
      </c>
      <c r="C44" s="123" t="str">
        <f ca="1">IFERROR(INDEX(Databas!$A$10:$BK$188,MATCH(Sammanfattning!C$5,Databas!$BH$10:$BH$188,0),MATCH($A44,Databas!$A$10:$BK$10,0)),"")</f>
        <v/>
      </c>
      <c r="D44" s="123" t="str">
        <f ca="1">IFERROR(INDEX(Databas!$A$10:$BK$188,MATCH(Sammanfattning!D$5,Databas!$BH$10:$BH$188,0),MATCH($A44,Databas!$A$10:$BK$10,0)),"")</f>
        <v/>
      </c>
      <c r="E44" s="123" t="str">
        <f ca="1">IFERROR(INDEX(Databas!$A$10:$BK$188,MATCH(Sammanfattning!E$5,Databas!$BH$10:$BH$188,0),MATCH($A44,Databas!$A$10:$BK$10,0)),"")</f>
        <v/>
      </c>
      <c r="F44" s="123" t="str">
        <f ca="1">IFERROR(INDEX(Databas!$A$10:$BK$188,MATCH(Sammanfattning!F$5,Databas!$BH$10:$BH$188,0),MATCH($A44,Databas!$A$10:$BK$10,0)),"")</f>
        <v/>
      </c>
      <c r="G44" s="123" t="str">
        <f ca="1">IFERROR(INDEX(Databas!$A$10:$BK$188,MATCH(Sammanfattning!G$5,Databas!$BH$10:$BH$188,0),MATCH($A44,Databas!$A$10:$BK$10,0)),"")</f>
        <v/>
      </c>
      <c r="H44" s="123" t="str">
        <f ca="1">IFERROR(INDEX(Databas!$A$10:$BK$188,MATCH(Sammanfattning!H$5,Databas!$BH$10:$BH$188,0),MATCH($A44,Databas!$A$10:$BK$10,0)),"")</f>
        <v/>
      </c>
      <c r="I44" s="123" t="str">
        <f ca="1">IFERROR(INDEX(Databas!$A$10:$BK$188,MATCH(Sammanfattning!I$5,Databas!$BH$10:$BH$188,0),MATCH($A44,Databas!$A$10:$BK$10,0)),"")</f>
        <v/>
      </c>
      <c r="J44" s="123" t="str">
        <f ca="1">IFERROR(INDEX(Databas!$A$10:$BK$188,MATCH(Sammanfattning!J$5,Databas!$BH$10:$BH$188,0),MATCH($A44,Databas!$A$10:$BK$10,0)),"")</f>
        <v/>
      </c>
      <c r="K44" s="123" t="str">
        <f ca="1">IFERROR(INDEX(Databas!$A$10:$BK$188,MATCH(Sammanfattning!K$5,Databas!$BH$10:$BH$188,0),MATCH($A44,Databas!$A$10:$BK$10,0)),"")</f>
        <v/>
      </c>
    </row>
    <row r="45" spans="1:11" ht="18.75" customHeight="1" outlineLevel="1" x14ac:dyDescent="0.3">
      <c r="A45" s="33" t="s">
        <v>77</v>
      </c>
      <c r="B45" s="123" t="str">
        <f>IFERROR(INDEX(Databas!$A$10:$BK$188,MATCH(Sammanfattning!B$5,Databas!$BH$10:$BH$188,0),MATCH($A45,Databas!$A$10:$BK$10,0)),"")</f>
        <v/>
      </c>
      <c r="C45" s="123" t="str">
        <f ca="1">IFERROR(INDEX(Databas!$A$10:$BK$188,MATCH(Sammanfattning!C$5,Databas!$BH$10:$BH$188,0),MATCH($A45,Databas!$A$10:$BK$10,0)),"")</f>
        <v/>
      </c>
      <c r="D45" s="123" t="str">
        <f ca="1">IFERROR(INDEX(Databas!$A$10:$BK$188,MATCH(Sammanfattning!D$5,Databas!$BH$10:$BH$188,0),MATCH($A45,Databas!$A$10:$BK$10,0)),"")</f>
        <v/>
      </c>
      <c r="E45" s="123" t="str">
        <f ca="1">IFERROR(INDEX(Databas!$A$10:$BK$188,MATCH(Sammanfattning!E$5,Databas!$BH$10:$BH$188,0),MATCH($A45,Databas!$A$10:$BK$10,0)),"")</f>
        <v/>
      </c>
      <c r="F45" s="123" t="str">
        <f ca="1">IFERROR(INDEX(Databas!$A$10:$BK$188,MATCH(Sammanfattning!F$5,Databas!$BH$10:$BH$188,0),MATCH($A45,Databas!$A$10:$BK$10,0)),"")</f>
        <v/>
      </c>
      <c r="G45" s="123" t="str">
        <f ca="1">IFERROR(INDEX(Databas!$A$10:$BK$188,MATCH(Sammanfattning!G$5,Databas!$BH$10:$BH$188,0),MATCH($A45,Databas!$A$10:$BK$10,0)),"")</f>
        <v/>
      </c>
      <c r="H45" s="123" t="str">
        <f ca="1">IFERROR(INDEX(Databas!$A$10:$BK$188,MATCH(Sammanfattning!H$5,Databas!$BH$10:$BH$188,0),MATCH($A45,Databas!$A$10:$BK$10,0)),"")</f>
        <v/>
      </c>
      <c r="I45" s="123" t="str">
        <f ca="1">IFERROR(INDEX(Databas!$A$10:$BK$188,MATCH(Sammanfattning!I$5,Databas!$BH$10:$BH$188,0),MATCH($A45,Databas!$A$10:$BK$10,0)),"")</f>
        <v/>
      </c>
      <c r="J45" s="123" t="str">
        <f ca="1">IFERROR(INDEX(Databas!$A$10:$BK$188,MATCH(Sammanfattning!J$5,Databas!$BH$10:$BH$188,0),MATCH($A45,Databas!$A$10:$BK$10,0)),"")</f>
        <v/>
      </c>
      <c r="K45" s="123" t="str">
        <f ca="1">IFERROR(INDEX(Databas!$A$10:$BK$188,MATCH(Sammanfattning!K$5,Databas!$BH$10:$BH$188,0),MATCH($A45,Databas!$A$10:$BK$10,0)),"")</f>
        <v/>
      </c>
    </row>
    <row r="46" spans="1:11" ht="18.75" customHeight="1" outlineLevel="1" x14ac:dyDescent="0.3">
      <c r="A46" s="33" t="s">
        <v>37</v>
      </c>
      <c r="B46" s="123" t="str">
        <f>IFERROR(INDEX(Databas!$A$10:$BK$188,MATCH(Sammanfattning!B$5,Databas!$BH$10:$BH$188,0),MATCH($A46,Databas!$A$10:$BK$10,0)),"")</f>
        <v/>
      </c>
      <c r="C46" s="123" t="str">
        <f ca="1">IFERROR(INDEX(Databas!$A$10:$BK$188,MATCH(Sammanfattning!C$5,Databas!$BH$10:$BH$188,0),MATCH($A46,Databas!$A$10:$BK$10,0)),"")</f>
        <v/>
      </c>
      <c r="D46" s="123" t="str">
        <f ca="1">IFERROR(INDEX(Databas!$A$10:$BK$188,MATCH(Sammanfattning!D$5,Databas!$BH$10:$BH$188,0),MATCH($A46,Databas!$A$10:$BK$10,0)),"")</f>
        <v/>
      </c>
      <c r="E46" s="123" t="str">
        <f ca="1">IFERROR(INDEX(Databas!$A$10:$BK$188,MATCH(Sammanfattning!E$5,Databas!$BH$10:$BH$188,0),MATCH($A46,Databas!$A$10:$BK$10,0)),"")</f>
        <v/>
      </c>
      <c r="F46" s="123" t="str">
        <f ca="1">IFERROR(INDEX(Databas!$A$10:$BK$188,MATCH(Sammanfattning!F$5,Databas!$BH$10:$BH$188,0),MATCH($A46,Databas!$A$10:$BK$10,0)),"")</f>
        <v/>
      </c>
      <c r="G46" s="123" t="str">
        <f ca="1">IFERROR(INDEX(Databas!$A$10:$BK$188,MATCH(Sammanfattning!G$5,Databas!$BH$10:$BH$188,0),MATCH($A46,Databas!$A$10:$BK$10,0)),"")</f>
        <v/>
      </c>
      <c r="H46" s="123" t="str">
        <f ca="1">IFERROR(INDEX(Databas!$A$10:$BK$188,MATCH(Sammanfattning!H$5,Databas!$BH$10:$BH$188,0),MATCH($A46,Databas!$A$10:$BK$10,0)),"")</f>
        <v/>
      </c>
      <c r="I46" s="123" t="str">
        <f ca="1">IFERROR(INDEX(Databas!$A$10:$BK$188,MATCH(Sammanfattning!I$5,Databas!$BH$10:$BH$188,0),MATCH($A46,Databas!$A$10:$BK$10,0)),"")</f>
        <v/>
      </c>
      <c r="J46" s="123" t="str">
        <f ca="1">IFERROR(INDEX(Databas!$A$10:$BK$188,MATCH(Sammanfattning!J$5,Databas!$BH$10:$BH$188,0),MATCH($A46,Databas!$A$10:$BK$10,0)),"")</f>
        <v/>
      </c>
      <c r="K46" s="123" t="str">
        <f ca="1">IFERROR(INDEX(Databas!$A$10:$BK$188,MATCH(Sammanfattning!K$5,Databas!$BH$10:$BH$188,0),MATCH($A46,Databas!$A$10:$BK$10,0)),"")</f>
        <v/>
      </c>
    </row>
    <row r="47" spans="1:11" ht="18.75" customHeight="1" outlineLevel="1" x14ac:dyDescent="0.3">
      <c r="A47" s="33" t="s">
        <v>3</v>
      </c>
      <c r="B47" s="123" t="str">
        <f>IFERROR(INDEX(Databas!$A$10:$BK$188,MATCH(Sammanfattning!B$5,Databas!$BH$10:$BH$188,0),MATCH($A47,Databas!$A$10:$BK$10,0)),"")</f>
        <v/>
      </c>
      <c r="C47" s="123" t="str">
        <f ca="1">IFERROR(INDEX(Databas!$A$10:$BK$188,MATCH(Sammanfattning!C$5,Databas!$BH$10:$BH$188,0),MATCH($A47,Databas!$A$10:$BK$10,0)),"")</f>
        <v/>
      </c>
      <c r="D47" s="123" t="str">
        <f ca="1">IFERROR(INDEX(Databas!$A$10:$BK$188,MATCH(Sammanfattning!D$5,Databas!$BH$10:$BH$188,0),MATCH($A47,Databas!$A$10:$BK$10,0)),"")</f>
        <v/>
      </c>
      <c r="E47" s="123" t="str">
        <f ca="1">IFERROR(INDEX(Databas!$A$10:$BK$188,MATCH(Sammanfattning!E$5,Databas!$BH$10:$BH$188,0),MATCH($A47,Databas!$A$10:$BK$10,0)),"")</f>
        <v/>
      </c>
      <c r="F47" s="123" t="str">
        <f ca="1">IFERROR(INDEX(Databas!$A$10:$BK$188,MATCH(Sammanfattning!F$5,Databas!$BH$10:$BH$188,0),MATCH($A47,Databas!$A$10:$BK$10,0)),"")</f>
        <v/>
      </c>
      <c r="G47" s="123" t="str">
        <f ca="1">IFERROR(INDEX(Databas!$A$10:$BK$188,MATCH(Sammanfattning!G$5,Databas!$BH$10:$BH$188,0),MATCH($A47,Databas!$A$10:$BK$10,0)),"")</f>
        <v/>
      </c>
      <c r="H47" s="123" t="str">
        <f ca="1">IFERROR(INDEX(Databas!$A$10:$BK$188,MATCH(Sammanfattning!H$5,Databas!$BH$10:$BH$188,0),MATCH($A47,Databas!$A$10:$BK$10,0)),"")</f>
        <v/>
      </c>
      <c r="I47" s="123" t="str">
        <f ca="1">IFERROR(INDEX(Databas!$A$10:$BK$188,MATCH(Sammanfattning!I$5,Databas!$BH$10:$BH$188,0),MATCH($A47,Databas!$A$10:$BK$10,0)),"")</f>
        <v/>
      </c>
      <c r="J47" s="123" t="str">
        <f ca="1">IFERROR(INDEX(Databas!$A$10:$BK$188,MATCH(Sammanfattning!J$5,Databas!$BH$10:$BH$188,0),MATCH($A47,Databas!$A$10:$BK$10,0)),"")</f>
        <v/>
      </c>
      <c r="K47" s="123" t="str">
        <f ca="1">IFERROR(INDEX(Databas!$A$10:$BK$188,MATCH(Sammanfattning!K$5,Databas!$BH$10:$BH$188,0),MATCH($A47,Databas!$A$10:$BK$10,0)),"")</f>
        <v/>
      </c>
    </row>
    <row r="48" spans="1:11" ht="18.75" customHeight="1" outlineLevel="1" x14ac:dyDescent="0.3">
      <c r="A48" s="33" t="s">
        <v>39</v>
      </c>
      <c r="B48" s="123" t="str">
        <f>IFERROR(INDEX(Databas!$A$10:$BK$188,MATCH(Sammanfattning!B$5,Databas!$BH$10:$BH$188,0),MATCH($A48,Databas!$A$10:$BK$10,0)),"")</f>
        <v/>
      </c>
      <c r="C48" s="123" t="str">
        <f ca="1">IFERROR(INDEX(Databas!$A$10:$BK$188,MATCH(Sammanfattning!C$5,Databas!$BH$10:$BH$188,0),MATCH($A48,Databas!$A$10:$BK$10,0)),"")</f>
        <v/>
      </c>
      <c r="D48" s="123" t="str">
        <f ca="1">IFERROR(INDEX(Databas!$A$10:$BK$188,MATCH(Sammanfattning!D$5,Databas!$BH$10:$BH$188,0),MATCH($A48,Databas!$A$10:$BK$10,0)),"")</f>
        <v/>
      </c>
      <c r="E48" s="123" t="str">
        <f ca="1">IFERROR(INDEX(Databas!$A$10:$BK$188,MATCH(Sammanfattning!E$5,Databas!$BH$10:$BH$188,0),MATCH($A48,Databas!$A$10:$BK$10,0)),"")</f>
        <v/>
      </c>
      <c r="F48" s="123" t="str">
        <f ca="1">IFERROR(INDEX(Databas!$A$10:$BK$188,MATCH(Sammanfattning!F$5,Databas!$BH$10:$BH$188,0),MATCH($A48,Databas!$A$10:$BK$10,0)),"")</f>
        <v/>
      </c>
      <c r="G48" s="123" t="str">
        <f ca="1">IFERROR(INDEX(Databas!$A$10:$BK$188,MATCH(Sammanfattning!G$5,Databas!$BH$10:$BH$188,0),MATCH($A48,Databas!$A$10:$BK$10,0)),"")</f>
        <v/>
      </c>
      <c r="H48" s="123" t="str">
        <f ca="1">IFERROR(INDEX(Databas!$A$10:$BK$188,MATCH(Sammanfattning!H$5,Databas!$BH$10:$BH$188,0),MATCH($A48,Databas!$A$10:$BK$10,0)),"")</f>
        <v/>
      </c>
      <c r="I48" s="123" t="str">
        <f ca="1">IFERROR(INDEX(Databas!$A$10:$BK$188,MATCH(Sammanfattning!I$5,Databas!$BH$10:$BH$188,0),MATCH($A48,Databas!$A$10:$BK$10,0)),"")</f>
        <v/>
      </c>
      <c r="J48" s="123" t="str">
        <f ca="1">IFERROR(INDEX(Databas!$A$10:$BK$188,MATCH(Sammanfattning!J$5,Databas!$BH$10:$BH$188,0),MATCH($A48,Databas!$A$10:$BK$10,0)),"")</f>
        <v/>
      </c>
      <c r="K48" s="123" t="str">
        <f ca="1">IFERROR(INDEX(Databas!$A$10:$BK$188,MATCH(Sammanfattning!K$5,Databas!$BH$10:$BH$188,0),MATCH($A48,Databas!$A$10:$BK$10,0)),"")</f>
        <v/>
      </c>
    </row>
    <row r="49" spans="1:11" ht="18.75" customHeight="1" outlineLevel="1" x14ac:dyDescent="0.3">
      <c r="A49" s="33" t="s">
        <v>40</v>
      </c>
      <c r="B49" s="123" t="str">
        <f>IFERROR(INDEX(Databas!$A$10:$BK$188,MATCH(Sammanfattning!B$5,Databas!$BH$10:$BH$188,0),MATCH($A49,Databas!$A$10:$BK$10,0)),"")</f>
        <v/>
      </c>
      <c r="C49" s="123" t="str">
        <f ca="1">IFERROR(INDEX(Databas!$A$10:$BK$188,MATCH(Sammanfattning!C$5,Databas!$BH$10:$BH$188,0),MATCH($A49,Databas!$A$10:$BK$10,0)),"")</f>
        <v/>
      </c>
      <c r="D49" s="123" t="str">
        <f ca="1">IFERROR(INDEX(Databas!$A$10:$BK$188,MATCH(Sammanfattning!D$5,Databas!$BH$10:$BH$188,0),MATCH($A49,Databas!$A$10:$BK$10,0)),"")</f>
        <v/>
      </c>
      <c r="E49" s="123" t="str">
        <f ca="1">IFERROR(INDEX(Databas!$A$10:$BK$188,MATCH(Sammanfattning!E$5,Databas!$BH$10:$BH$188,0),MATCH($A49,Databas!$A$10:$BK$10,0)),"")</f>
        <v/>
      </c>
      <c r="F49" s="123" t="str">
        <f ca="1">IFERROR(INDEX(Databas!$A$10:$BK$188,MATCH(Sammanfattning!F$5,Databas!$BH$10:$BH$188,0),MATCH($A49,Databas!$A$10:$BK$10,0)),"")</f>
        <v/>
      </c>
      <c r="G49" s="123" t="str">
        <f ca="1">IFERROR(INDEX(Databas!$A$10:$BK$188,MATCH(Sammanfattning!G$5,Databas!$BH$10:$BH$188,0),MATCH($A49,Databas!$A$10:$BK$10,0)),"")</f>
        <v/>
      </c>
      <c r="H49" s="123" t="str">
        <f ca="1">IFERROR(INDEX(Databas!$A$10:$BK$188,MATCH(Sammanfattning!H$5,Databas!$BH$10:$BH$188,0),MATCH($A49,Databas!$A$10:$BK$10,0)),"")</f>
        <v/>
      </c>
      <c r="I49" s="123" t="str">
        <f ca="1">IFERROR(INDEX(Databas!$A$10:$BK$188,MATCH(Sammanfattning!I$5,Databas!$BH$10:$BH$188,0),MATCH($A49,Databas!$A$10:$BK$10,0)),"")</f>
        <v/>
      </c>
      <c r="J49" s="123" t="str">
        <f ca="1">IFERROR(INDEX(Databas!$A$10:$BK$188,MATCH(Sammanfattning!J$5,Databas!$BH$10:$BH$188,0),MATCH($A49,Databas!$A$10:$BK$10,0)),"")</f>
        <v/>
      </c>
      <c r="K49" s="123" t="str">
        <f ca="1">IFERROR(INDEX(Databas!$A$10:$BK$188,MATCH(Sammanfattning!K$5,Databas!$BH$10:$BH$188,0),MATCH($A49,Databas!$A$10:$BK$10,0)),"")</f>
        <v/>
      </c>
    </row>
    <row r="50" spans="1:11" ht="18.75" customHeight="1" outlineLevel="1" x14ac:dyDescent="0.3">
      <c r="A50" s="33" t="s">
        <v>41</v>
      </c>
      <c r="B50" s="123" t="str">
        <f>IFERROR(INDEX(Databas!$A$10:$BK$188,MATCH(Sammanfattning!B$5,Databas!$BH$10:$BH$188,0),MATCH($A50,Databas!$A$10:$BK$10,0)),"")</f>
        <v/>
      </c>
      <c r="C50" s="123" t="str">
        <f ca="1">IFERROR(INDEX(Databas!$A$10:$BK$188,MATCH(Sammanfattning!C$5,Databas!$BH$10:$BH$188,0),MATCH($A50,Databas!$A$10:$BK$10,0)),"")</f>
        <v/>
      </c>
      <c r="D50" s="123" t="str">
        <f ca="1">IFERROR(INDEX(Databas!$A$10:$BK$188,MATCH(Sammanfattning!D$5,Databas!$BH$10:$BH$188,0),MATCH($A50,Databas!$A$10:$BK$10,0)),"")</f>
        <v/>
      </c>
      <c r="E50" s="123" t="str">
        <f ca="1">IFERROR(INDEX(Databas!$A$10:$BK$188,MATCH(Sammanfattning!E$5,Databas!$BH$10:$BH$188,0),MATCH($A50,Databas!$A$10:$BK$10,0)),"")</f>
        <v/>
      </c>
      <c r="F50" s="123" t="str">
        <f ca="1">IFERROR(INDEX(Databas!$A$10:$BK$188,MATCH(Sammanfattning!F$5,Databas!$BH$10:$BH$188,0),MATCH($A50,Databas!$A$10:$BK$10,0)),"")</f>
        <v/>
      </c>
      <c r="G50" s="123" t="str">
        <f ca="1">IFERROR(INDEX(Databas!$A$10:$BK$188,MATCH(Sammanfattning!G$5,Databas!$BH$10:$BH$188,0),MATCH($A50,Databas!$A$10:$BK$10,0)),"")</f>
        <v/>
      </c>
      <c r="H50" s="123" t="str">
        <f ca="1">IFERROR(INDEX(Databas!$A$10:$BK$188,MATCH(Sammanfattning!H$5,Databas!$BH$10:$BH$188,0),MATCH($A50,Databas!$A$10:$BK$10,0)),"")</f>
        <v/>
      </c>
      <c r="I50" s="123" t="str">
        <f ca="1">IFERROR(INDEX(Databas!$A$10:$BK$188,MATCH(Sammanfattning!I$5,Databas!$BH$10:$BH$188,0),MATCH($A50,Databas!$A$10:$BK$10,0)),"")</f>
        <v/>
      </c>
      <c r="J50" s="123" t="str">
        <f ca="1">IFERROR(INDEX(Databas!$A$10:$BK$188,MATCH(Sammanfattning!J$5,Databas!$BH$10:$BH$188,0),MATCH($A50,Databas!$A$10:$BK$10,0)),"")</f>
        <v/>
      </c>
      <c r="K50" s="123" t="str">
        <f ca="1">IFERROR(INDEX(Databas!$A$10:$BK$188,MATCH(Sammanfattning!K$5,Databas!$BH$10:$BH$188,0),MATCH($A50,Databas!$A$10:$BK$10,0)),"")</f>
        <v/>
      </c>
    </row>
    <row r="51" spans="1:11" ht="18.75" customHeight="1" outlineLevel="1" x14ac:dyDescent="0.3">
      <c r="A51" s="33" t="s">
        <v>12</v>
      </c>
      <c r="B51" s="123" t="str">
        <f>IFERROR(INDEX(Databas!$A$10:$BK$188,MATCH(Sammanfattning!B$5,Databas!$BH$10:$BH$188,0),MATCH($A51,Databas!$A$10:$BK$10,0)),"")</f>
        <v/>
      </c>
      <c r="C51" s="123" t="str">
        <f ca="1">IFERROR(INDEX(Databas!$A$10:$BK$188,MATCH(Sammanfattning!C$5,Databas!$BH$10:$BH$188,0),MATCH($A51,Databas!$A$10:$BK$10,0)),"")</f>
        <v/>
      </c>
      <c r="D51" s="123" t="str">
        <f ca="1">IFERROR(INDEX(Databas!$A$10:$BK$188,MATCH(Sammanfattning!D$5,Databas!$BH$10:$BH$188,0),MATCH($A51,Databas!$A$10:$BK$10,0)),"")</f>
        <v/>
      </c>
      <c r="E51" s="123" t="str">
        <f ca="1">IFERROR(INDEX(Databas!$A$10:$BK$188,MATCH(Sammanfattning!E$5,Databas!$BH$10:$BH$188,0),MATCH($A51,Databas!$A$10:$BK$10,0)),"")</f>
        <v/>
      </c>
      <c r="F51" s="123" t="str">
        <f ca="1">IFERROR(INDEX(Databas!$A$10:$BK$188,MATCH(Sammanfattning!F$5,Databas!$BH$10:$BH$188,0),MATCH($A51,Databas!$A$10:$BK$10,0)),"")</f>
        <v/>
      </c>
      <c r="G51" s="123" t="str">
        <f ca="1">IFERROR(INDEX(Databas!$A$10:$BK$188,MATCH(Sammanfattning!G$5,Databas!$BH$10:$BH$188,0),MATCH($A51,Databas!$A$10:$BK$10,0)),"")</f>
        <v/>
      </c>
      <c r="H51" s="123" t="str">
        <f ca="1">IFERROR(INDEX(Databas!$A$10:$BK$188,MATCH(Sammanfattning!H$5,Databas!$BH$10:$BH$188,0),MATCH($A51,Databas!$A$10:$BK$10,0)),"")</f>
        <v/>
      </c>
      <c r="I51" s="123" t="str">
        <f ca="1">IFERROR(INDEX(Databas!$A$10:$BK$188,MATCH(Sammanfattning!I$5,Databas!$BH$10:$BH$188,0),MATCH($A51,Databas!$A$10:$BK$10,0)),"")</f>
        <v/>
      </c>
      <c r="J51" s="123" t="str">
        <f ca="1">IFERROR(INDEX(Databas!$A$10:$BK$188,MATCH(Sammanfattning!J$5,Databas!$BH$10:$BH$188,0),MATCH($A51,Databas!$A$10:$BK$10,0)),"")</f>
        <v/>
      </c>
      <c r="K51" s="123" t="str">
        <f ca="1">IFERROR(INDEX(Databas!$A$10:$BK$188,MATCH(Sammanfattning!K$5,Databas!$BH$10:$BH$188,0),MATCH($A51,Databas!$A$10:$BK$10,0)),"")</f>
        <v/>
      </c>
    </row>
    <row r="52" spans="1:11" ht="18.75" customHeight="1" outlineLevel="1" x14ac:dyDescent="0.3">
      <c r="A52" s="33" t="s">
        <v>8</v>
      </c>
      <c r="B52" s="123" t="str">
        <f>IFERROR(INDEX(Databas!$A$10:$BK$188,MATCH(Sammanfattning!B$5,Databas!$BH$10:$BH$188,0),MATCH($A52,Databas!$A$10:$BK$10,0)),"")</f>
        <v/>
      </c>
      <c r="C52" s="123" t="str">
        <f ca="1">IFERROR(INDEX(Databas!$A$10:$BK$188,MATCH(Sammanfattning!C$5,Databas!$BH$10:$BH$188,0),MATCH($A52,Databas!$A$10:$BK$10,0)),"")</f>
        <v/>
      </c>
      <c r="D52" s="123" t="str">
        <f ca="1">IFERROR(INDEX(Databas!$A$10:$BK$188,MATCH(Sammanfattning!D$5,Databas!$BH$10:$BH$188,0),MATCH($A52,Databas!$A$10:$BK$10,0)),"")</f>
        <v/>
      </c>
      <c r="E52" s="123" t="str">
        <f ca="1">IFERROR(INDEX(Databas!$A$10:$BK$188,MATCH(Sammanfattning!E$5,Databas!$BH$10:$BH$188,0),MATCH($A52,Databas!$A$10:$BK$10,0)),"")</f>
        <v/>
      </c>
      <c r="F52" s="123" t="str">
        <f ca="1">IFERROR(INDEX(Databas!$A$10:$BK$188,MATCH(Sammanfattning!F$5,Databas!$BH$10:$BH$188,0),MATCH($A52,Databas!$A$10:$BK$10,0)),"")</f>
        <v/>
      </c>
      <c r="G52" s="123" t="str">
        <f ca="1">IFERROR(INDEX(Databas!$A$10:$BK$188,MATCH(Sammanfattning!G$5,Databas!$BH$10:$BH$188,0),MATCH($A52,Databas!$A$10:$BK$10,0)),"")</f>
        <v/>
      </c>
      <c r="H52" s="123" t="str">
        <f ca="1">IFERROR(INDEX(Databas!$A$10:$BK$188,MATCH(Sammanfattning!H$5,Databas!$BH$10:$BH$188,0),MATCH($A52,Databas!$A$10:$BK$10,0)),"")</f>
        <v/>
      </c>
      <c r="I52" s="123" t="str">
        <f ca="1">IFERROR(INDEX(Databas!$A$10:$BK$188,MATCH(Sammanfattning!I$5,Databas!$BH$10:$BH$188,0),MATCH($A52,Databas!$A$10:$BK$10,0)),"")</f>
        <v/>
      </c>
      <c r="J52" s="123" t="str">
        <f ca="1">IFERROR(INDEX(Databas!$A$10:$BK$188,MATCH(Sammanfattning!J$5,Databas!$BH$10:$BH$188,0),MATCH($A52,Databas!$A$10:$BK$10,0)),"")</f>
        <v/>
      </c>
      <c r="K52" s="123" t="str">
        <f ca="1">IFERROR(INDEX(Databas!$A$10:$BK$188,MATCH(Sammanfattning!K$5,Databas!$BH$10:$BH$188,0),MATCH($A52,Databas!$A$10:$BK$10,0)),"")</f>
        <v/>
      </c>
    </row>
    <row r="53" spans="1:11" ht="18.75" customHeight="1" outlineLevel="1" x14ac:dyDescent="0.3">
      <c r="A53" s="33" t="s">
        <v>9</v>
      </c>
      <c r="B53" s="123" t="str">
        <f>IFERROR(INDEX(Databas!$A$10:$BK$188,MATCH(Sammanfattning!B$5,Databas!$BH$10:$BH$188,0),MATCH($A53,Databas!$A$10:$BK$10,0)),"")</f>
        <v/>
      </c>
      <c r="C53" s="123" t="str">
        <f ca="1">IFERROR(INDEX(Databas!$A$10:$BK$188,MATCH(Sammanfattning!C$5,Databas!$BH$10:$BH$188,0),MATCH($A53,Databas!$A$10:$BK$10,0)),"")</f>
        <v/>
      </c>
      <c r="D53" s="123" t="str">
        <f ca="1">IFERROR(INDEX(Databas!$A$10:$BK$188,MATCH(Sammanfattning!D$5,Databas!$BH$10:$BH$188,0),MATCH($A53,Databas!$A$10:$BK$10,0)),"")</f>
        <v/>
      </c>
      <c r="E53" s="123" t="str">
        <f ca="1">IFERROR(INDEX(Databas!$A$10:$BK$188,MATCH(Sammanfattning!E$5,Databas!$BH$10:$BH$188,0),MATCH($A53,Databas!$A$10:$BK$10,0)),"")</f>
        <v/>
      </c>
      <c r="F53" s="123" t="str">
        <f ca="1">IFERROR(INDEX(Databas!$A$10:$BK$188,MATCH(Sammanfattning!F$5,Databas!$BH$10:$BH$188,0),MATCH($A53,Databas!$A$10:$BK$10,0)),"")</f>
        <v/>
      </c>
      <c r="G53" s="123" t="str">
        <f ca="1">IFERROR(INDEX(Databas!$A$10:$BK$188,MATCH(Sammanfattning!G$5,Databas!$BH$10:$BH$188,0),MATCH($A53,Databas!$A$10:$BK$10,0)),"")</f>
        <v/>
      </c>
      <c r="H53" s="123" t="str">
        <f ca="1">IFERROR(INDEX(Databas!$A$10:$BK$188,MATCH(Sammanfattning!H$5,Databas!$BH$10:$BH$188,0),MATCH($A53,Databas!$A$10:$BK$10,0)),"")</f>
        <v/>
      </c>
      <c r="I53" s="123" t="str">
        <f ca="1">IFERROR(INDEX(Databas!$A$10:$BK$188,MATCH(Sammanfattning!I$5,Databas!$BH$10:$BH$188,0),MATCH($A53,Databas!$A$10:$BK$10,0)),"")</f>
        <v/>
      </c>
      <c r="J53" s="123" t="str">
        <f ca="1">IFERROR(INDEX(Databas!$A$10:$BK$188,MATCH(Sammanfattning!J$5,Databas!$BH$10:$BH$188,0),MATCH($A53,Databas!$A$10:$BK$10,0)),"")</f>
        <v/>
      </c>
      <c r="K53" s="123" t="str">
        <f ca="1">IFERROR(INDEX(Databas!$A$10:$BK$188,MATCH(Sammanfattning!K$5,Databas!$BH$10:$BH$188,0),MATCH($A53,Databas!$A$10:$BK$10,0)),"")</f>
        <v/>
      </c>
    </row>
    <row r="54" spans="1:11" ht="18.75" customHeight="1" outlineLevel="1" x14ac:dyDescent="0.3">
      <c r="A54" s="33" t="s">
        <v>10</v>
      </c>
      <c r="B54" s="123" t="str">
        <f>IFERROR(INDEX(Databas!$A$10:$BK$188,MATCH(Sammanfattning!B$5,Databas!$BH$10:$BH$188,0),MATCH($A54,Databas!$A$10:$BK$10,0)),"")</f>
        <v/>
      </c>
      <c r="C54" s="123" t="str">
        <f ca="1">IFERROR(INDEX(Databas!$A$10:$BK$188,MATCH(Sammanfattning!C$5,Databas!$BH$10:$BH$188,0),MATCH($A54,Databas!$A$10:$BK$10,0)),"")</f>
        <v/>
      </c>
      <c r="D54" s="123" t="str">
        <f ca="1">IFERROR(INDEX(Databas!$A$10:$BK$188,MATCH(Sammanfattning!D$5,Databas!$BH$10:$BH$188,0),MATCH($A54,Databas!$A$10:$BK$10,0)),"")</f>
        <v/>
      </c>
      <c r="E54" s="123" t="str">
        <f ca="1">IFERROR(INDEX(Databas!$A$10:$BK$188,MATCH(Sammanfattning!E$5,Databas!$BH$10:$BH$188,0),MATCH($A54,Databas!$A$10:$BK$10,0)),"")</f>
        <v/>
      </c>
      <c r="F54" s="123" t="str">
        <f ca="1">IFERROR(INDEX(Databas!$A$10:$BK$188,MATCH(Sammanfattning!F$5,Databas!$BH$10:$BH$188,0),MATCH($A54,Databas!$A$10:$BK$10,0)),"")</f>
        <v/>
      </c>
      <c r="G54" s="123" t="str">
        <f ca="1">IFERROR(INDEX(Databas!$A$10:$BK$188,MATCH(Sammanfattning!G$5,Databas!$BH$10:$BH$188,0),MATCH($A54,Databas!$A$10:$BK$10,0)),"")</f>
        <v/>
      </c>
      <c r="H54" s="123" t="str">
        <f ca="1">IFERROR(INDEX(Databas!$A$10:$BK$188,MATCH(Sammanfattning!H$5,Databas!$BH$10:$BH$188,0),MATCH($A54,Databas!$A$10:$BK$10,0)),"")</f>
        <v/>
      </c>
      <c r="I54" s="123" t="str">
        <f ca="1">IFERROR(INDEX(Databas!$A$10:$BK$188,MATCH(Sammanfattning!I$5,Databas!$BH$10:$BH$188,0),MATCH($A54,Databas!$A$10:$BK$10,0)),"")</f>
        <v/>
      </c>
      <c r="J54" s="123" t="str">
        <f ca="1">IFERROR(INDEX(Databas!$A$10:$BK$188,MATCH(Sammanfattning!J$5,Databas!$BH$10:$BH$188,0),MATCH($A54,Databas!$A$10:$BK$10,0)),"")</f>
        <v/>
      </c>
      <c r="K54" s="123" t="str">
        <f ca="1">IFERROR(INDEX(Databas!$A$10:$BK$188,MATCH(Sammanfattning!K$5,Databas!$BH$10:$BH$188,0),MATCH($A54,Databas!$A$10:$BK$10,0)),"")</f>
        <v/>
      </c>
    </row>
    <row r="55" spans="1:11" ht="18.75" customHeight="1" outlineLevel="1" x14ac:dyDescent="0.3">
      <c r="A55" s="33" t="s">
        <v>104</v>
      </c>
      <c r="B55" s="123" t="str">
        <f>IFERROR(INDEX(Databas!$A$10:$BK$188,MATCH(Sammanfattning!B$5,Databas!$BH$10:$BH$188,0),MATCH($A55,Databas!$A$10:$BK$10,0)),"")</f>
        <v/>
      </c>
      <c r="C55" s="123" t="str">
        <f ca="1">IFERROR(INDEX(Databas!$A$10:$BK$188,MATCH(Sammanfattning!C$5,Databas!$BH$10:$BH$188,0),MATCH($A55,Databas!$A$10:$BK$10,0)),"")</f>
        <v/>
      </c>
      <c r="D55" s="123" t="str">
        <f ca="1">IFERROR(INDEX(Databas!$A$10:$BK$188,MATCH(Sammanfattning!D$5,Databas!$BH$10:$BH$188,0),MATCH($A55,Databas!$A$10:$BK$10,0)),"")</f>
        <v/>
      </c>
      <c r="E55" s="123" t="str">
        <f ca="1">IFERROR(INDEX(Databas!$A$10:$BK$188,MATCH(Sammanfattning!E$5,Databas!$BH$10:$BH$188,0),MATCH($A55,Databas!$A$10:$BK$10,0)),"")</f>
        <v/>
      </c>
      <c r="F55" s="123" t="str">
        <f ca="1">IFERROR(INDEX(Databas!$A$10:$BK$188,MATCH(Sammanfattning!F$5,Databas!$BH$10:$BH$188,0),MATCH($A55,Databas!$A$10:$BK$10,0)),"")</f>
        <v/>
      </c>
      <c r="G55" s="123" t="str">
        <f ca="1">IFERROR(INDEX(Databas!$A$10:$BK$188,MATCH(Sammanfattning!G$5,Databas!$BH$10:$BH$188,0),MATCH($A55,Databas!$A$10:$BK$10,0)),"")</f>
        <v/>
      </c>
      <c r="H55" s="123" t="str">
        <f ca="1">IFERROR(INDEX(Databas!$A$10:$BK$188,MATCH(Sammanfattning!H$5,Databas!$BH$10:$BH$188,0),MATCH($A55,Databas!$A$10:$BK$10,0)),"")</f>
        <v/>
      </c>
      <c r="I55" s="123" t="str">
        <f ca="1">IFERROR(INDEX(Databas!$A$10:$BK$188,MATCH(Sammanfattning!I$5,Databas!$BH$10:$BH$188,0),MATCH($A55,Databas!$A$10:$BK$10,0)),"")</f>
        <v/>
      </c>
      <c r="J55" s="123" t="str">
        <f ca="1">IFERROR(INDEX(Databas!$A$10:$BK$188,MATCH(Sammanfattning!J$5,Databas!$BH$10:$BH$188,0),MATCH($A55,Databas!$A$10:$BK$10,0)),"")</f>
        <v/>
      </c>
      <c r="K55" s="123" t="str">
        <f ca="1">IFERROR(INDEX(Databas!$A$10:$BK$188,MATCH(Sammanfattning!K$5,Databas!$BH$10:$BH$188,0),MATCH($A55,Databas!$A$10:$BK$10,0)),"")</f>
        <v/>
      </c>
    </row>
    <row r="56" spans="1:11" ht="18.75" customHeight="1" outlineLevel="1" x14ac:dyDescent="0.3">
      <c r="A56" s="35"/>
      <c r="B56" s="123"/>
      <c r="C56" s="123"/>
      <c r="D56" s="123"/>
      <c r="E56" s="123"/>
      <c r="F56" s="123"/>
      <c r="G56" s="123"/>
      <c r="H56" s="123"/>
      <c r="I56" s="123"/>
      <c r="J56" s="123"/>
      <c r="K56" s="123"/>
    </row>
    <row r="57" spans="1:11" ht="18.75" customHeight="1" outlineLevel="1" x14ac:dyDescent="0.3">
      <c r="A57" s="36" t="s">
        <v>508</v>
      </c>
      <c r="B57" s="123" t="str">
        <f>IFERROR(INDEX(Databas!$A$10:$BK$188,MATCH(Sammanfattning!B$5,Databas!$BH$10:$BH$188,0),MATCH("Pris",Databas!$A$10:$BK$10,0)),"")</f>
        <v/>
      </c>
      <c r="C57" s="123" t="str">
        <f ca="1">IFERROR(INDEX(Databas!$A$10:$BK$188,MATCH(Sammanfattning!C$5,Databas!$BH$10:$BH$188,0),MATCH("Pris",Databas!$A$10:$BK$10,0)),"")</f>
        <v/>
      </c>
      <c r="D57" s="123" t="str">
        <f ca="1">IFERROR(INDEX(Databas!$A$10:$BK$188,MATCH(Sammanfattning!D$5,Databas!$BH$10:$BH$188,0),MATCH("Pris",Databas!$A$10:$BK$10,0)),"")</f>
        <v/>
      </c>
      <c r="E57" s="123" t="str">
        <f ca="1">IFERROR(INDEX(Databas!$A$10:$BK$188,MATCH(Sammanfattning!E$5,Databas!$BH$10:$BH$188,0),MATCH("Pris",Databas!$A$10:$BK$10,0)),"")</f>
        <v/>
      </c>
      <c r="F57" s="123" t="str">
        <f ca="1">IFERROR(INDEX(Databas!$A$10:$BK$188,MATCH(Sammanfattning!F$5,Databas!$BH$10:$BH$188,0),MATCH("Pris",Databas!$A$10:$BK$10,0)),"")</f>
        <v/>
      </c>
      <c r="G57" s="123" t="str">
        <f ca="1">IFERROR(INDEX(Databas!$A$10:$BK$188,MATCH(Sammanfattning!G$5,Databas!$BH$10:$BH$188,0),MATCH("Pris",Databas!$A$10:$BK$10,0)),"")</f>
        <v/>
      </c>
      <c r="H57" s="123" t="str">
        <f ca="1">IFERROR(INDEX(Databas!$A$10:$BK$188,MATCH(Sammanfattning!H$5,Databas!$BH$10:$BH$188,0),MATCH("Pris",Databas!$A$10:$BK$10,0)),"")</f>
        <v/>
      </c>
      <c r="I57" s="123" t="str">
        <f ca="1">IFERROR(INDEX(Databas!$A$10:$BK$188,MATCH(Sammanfattning!I$5,Databas!$BH$10:$BH$188,0),MATCH("Pris",Databas!$A$10:$BK$10,0)),"")</f>
        <v/>
      </c>
      <c r="J57" s="123" t="str">
        <f ca="1">IFERROR(INDEX(Databas!$A$10:$BK$188,MATCH(Sammanfattning!J$5,Databas!$BH$10:$BH$188,0),MATCH("Pris",Databas!$A$10:$BK$10,0)),"")</f>
        <v/>
      </c>
      <c r="K57" s="123" t="str">
        <f ca="1">IFERROR(INDEX(Databas!$A$10:$BK$188,MATCH(Sammanfattning!K$5,Databas!$BH$10:$BH$188,0),MATCH("Pris",Databas!$A$10:$BK$10,0)),"")</f>
        <v/>
      </c>
    </row>
    <row r="58" spans="1:11" ht="18.75" customHeight="1" outlineLevel="1" x14ac:dyDescent="0.3">
      <c r="B58" s="124"/>
      <c r="C58" s="124"/>
      <c r="D58" s="124"/>
      <c r="E58" s="124"/>
      <c r="F58" s="124"/>
      <c r="G58" s="124"/>
      <c r="H58" s="124"/>
      <c r="I58" s="124"/>
      <c r="J58" s="124"/>
      <c r="K58" s="124"/>
    </row>
    <row r="59" spans="1:11" ht="18.75" customHeight="1" outlineLevel="1" x14ac:dyDescent="0.3">
      <c r="A59" s="37" t="s">
        <v>236</v>
      </c>
      <c r="B59" s="124"/>
      <c r="C59" s="124"/>
      <c r="D59" s="124"/>
      <c r="E59" s="124"/>
      <c r="F59" s="124"/>
      <c r="G59" s="124"/>
      <c r="H59" s="124"/>
      <c r="I59" s="124"/>
      <c r="J59" s="124"/>
      <c r="K59" s="124"/>
    </row>
    <row r="60" spans="1:11" ht="36.75" customHeight="1" outlineLevel="1" x14ac:dyDescent="0.3">
      <c r="A60" s="38" t="s">
        <v>234</v>
      </c>
      <c r="B60" s="125" t="str" cm="1">
        <f t="array" ref="B60">IFERROR(IF(IFERROR(INDEX('Bärbara datorer (A)'!$D:$D,B$4-ROW($A$75)+ROW(B55),0),"")="","Ej Valt",INDEX('Bärbara datorer (A)'!$F:$F,B$4-ROW($A$75)+ROW(B55),0)),"")</f>
        <v>Ej Valt</v>
      </c>
      <c r="C60" s="125" t="str" cm="1">
        <f t="array" aca="1" ref="C60" ca="1">IFERROR(IF(IFERROR(INDEX('Bärbara datorer (A)'!$D:$D,C$4-ROW($A$75)+ROW(C55),0),"")="","Ej Valt",INDEX('Bärbara datorer (A)'!$F:$F,C$4-ROW($A$75)+ROW(C55),0)),"")</f>
        <v>Ej Valt</v>
      </c>
      <c r="D60" s="125" t="str" cm="1">
        <f t="array" aca="1" ref="D60" ca="1">IFERROR(IF(IFERROR(INDEX('Bärbara datorer (A)'!$D:$D,D$4-ROW($A$75)+ROW(D55),0),"")="","Ej Valt",INDEX('Bärbara datorer (A)'!$F:$F,D$4-ROW($A$75)+ROW(D55),0)),"")</f>
        <v>Ej Valt</v>
      </c>
      <c r="E60" s="125" t="str" cm="1">
        <f t="array" aca="1" ref="E60" ca="1">IFERROR(IF(IFERROR(INDEX('Bärbara datorer (A)'!$D:$D,E$4-ROW($A$75)+ROW(E55),0),"")="","Ej Valt",INDEX('Bärbara datorer (A)'!$F:$F,E$4-ROW($A$75)+ROW(E55),0)),"")</f>
        <v>Ej Valt</v>
      </c>
      <c r="F60" s="125" t="str" cm="1">
        <f t="array" aca="1" ref="F60" ca="1">IFERROR(IF(IFERROR(INDEX('Bärbara datorer (A)'!$D:$D,F$4-ROW($A$75)+ROW(F55),0),"")="","Ej Valt",INDEX('Bärbara datorer (A)'!$F:$F,F$4-ROW($A$75)+ROW(F55),0)),"")</f>
        <v>Ej Valt</v>
      </c>
      <c r="G60" s="125" t="str" cm="1">
        <f t="array" aca="1" ref="G60" ca="1">IFERROR(IF(IFERROR(INDEX('Bärbara datorer (A)'!$D:$D,G$4-ROW($A$75)+ROW(G55),0),"")="","Ej Valt",INDEX('Bärbara datorer (A)'!$F:$F,G$4-ROW($A$75)+ROW(G55),0)),"")</f>
        <v>Ej Valt</v>
      </c>
      <c r="H60" s="125" t="str" cm="1">
        <f t="array" aca="1" ref="H60" ca="1">IFERROR(IF(IFERROR(INDEX('Bärbara datorer (A)'!$D:$D,H$4-ROW($A$75)+ROW(H55),0),"")="","Ej Valt",INDEX('Bärbara datorer (A)'!$F:$F,H$4-ROW($A$75)+ROW(H55),0)),"")</f>
        <v>Ej Valt</v>
      </c>
      <c r="I60" s="125" t="str" cm="1">
        <f t="array" aca="1" ref="I60" ca="1">IFERROR(IF(IFERROR(INDEX('Bärbara datorer (A)'!$D:$D,I$4-ROW($A$75)+ROW(I55),0),"")="","Ej Valt",INDEX('Bärbara datorer (A)'!$F:$F,I$4-ROW($A$75)+ROW(I55),0)),"")</f>
        <v>Ej Valt</v>
      </c>
      <c r="J60" s="125" t="str" cm="1">
        <f t="array" aca="1" ref="J60" ca="1">IFERROR(IF(IFERROR(INDEX('Bärbara datorer (A)'!$D:$D,J$4-ROW($A$75)+ROW(J55),0),"")="","Ej Valt",INDEX('Bärbara datorer (A)'!$F:$F,J$4-ROW($A$75)+ROW(J55),0)),"")</f>
        <v>Ej Valt</v>
      </c>
      <c r="K60" s="125" t="str" cm="1">
        <f t="array" aca="1" ref="K60" ca="1">IFERROR(IF(IFERROR(INDEX('Bärbara datorer (A)'!$D:$D,K$4-ROW($A$75)+ROW(K55),0),"")="","Ej Valt",INDEX('Bärbara datorer (A)'!$F:$F,K$4-ROW($A$75)+ROW(K55),0)),"")</f>
        <v>Ej Valt</v>
      </c>
    </row>
    <row r="61" spans="1:11" ht="36.75" customHeight="1" outlineLevel="1" x14ac:dyDescent="0.3">
      <c r="A61" s="38" t="s">
        <v>340</v>
      </c>
      <c r="B61" s="125" t="str" cm="1">
        <f t="array" ref="B61">IFERROR(IF(IFERROR(INDEX('Bärbara datorer (A)'!$D:$D,B$4-ROW($A$75)+ROW(B56),0),"")="","-",INDEX('Bärbara datorer (A)'!$F:$F,B$4-ROW($A$75)+ROW(B56),0)),"")</f>
        <v>-</v>
      </c>
      <c r="C61" s="125" t="str" cm="1">
        <f t="array" aca="1" ref="C61" ca="1">IFERROR(IF(IFERROR(INDEX('Bärbara datorer (A)'!$D:$D,C$4-ROW($A$75)+ROW(C56),0),"")="","-",INDEX('Bärbara datorer (A)'!$F:$F,C$4-ROW($A$75)+ROW(C56),0)),"")</f>
        <v/>
      </c>
      <c r="D61" s="125" t="str" cm="1">
        <f t="array" aca="1" ref="D61" ca="1">IFERROR(IF(IFERROR(INDEX('Bärbara datorer (A)'!$D:$D,D$4-ROW($A$75)+ROW(D56),0),"")="","-",INDEX('Bärbara datorer (A)'!$F:$F,D$4-ROW($A$75)+ROW(D56),0)),"")</f>
        <v>-</v>
      </c>
      <c r="E61" s="125" t="str" cm="1">
        <f t="array" aca="1" ref="E61" ca="1">IFERROR(IF(IFERROR(INDEX('Bärbara datorer (A)'!$D:$D,E$4-ROW($A$75)+ROW(E56),0),"")="","-",INDEX('Bärbara datorer (A)'!$F:$F,E$4-ROW($A$75)+ROW(E56),0)),"")</f>
        <v>-</v>
      </c>
      <c r="F61" s="125" t="str" cm="1">
        <f t="array" aca="1" ref="F61" ca="1">IFERROR(IF(IFERROR(INDEX('Bärbara datorer (A)'!$D:$D,F$4-ROW($A$75)+ROW(F56),0),"")="","-",INDEX('Bärbara datorer (A)'!$F:$F,F$4-ROW($A$75)+ROW(F56),0)),"")</f>
        <v>-</v>
      </c>
      <c r="G61" s="125" t="str" cm="1">
        <f t="array" aca="1" ref="G61" ca="1">IFERROR(IF(IFERROR(INDEX('Bärbara datorer (A)'!$D:$D,G$4-ROW($A$75)+ROW(G56),0),"")="","-",INDEX('Bärbara datorer (A)'!$F:$F,G$4-ROW($A$75)+ROW(G56),0)),"")</f>
        <v>-</v>
      </c>
      <c r="H61" s="125" t="str" cm="1">
        <f t="array" aca="1" ref="H61" ca="1">IFERROR(IF(IFERROR(INDEX('Bärbara datorer (A)'!$D:$D,H$4-ROW($A$75)+ROW(H56),0),"")="","-",INDEX('Bärbara datorer (A)'!$F:$F,H$4-ROW($A$75)+ROW(H56),0)),"")</f>
        <v>-</v>
      </c>
      <c r="I61" s="125" t="str" cm="1">
        <f t="array" aca="1" ref="I61" ca="1">IFERROR(IF(IFERROR(INDEX('Bärbara datorer (A)'!$D:$D,I$4-ROW($A$75)+ROW(I56),0),"")="","-",INDEX('Bärbara datorer (A)'!$F:$F,I$4-ROW($A$75)+ROW(I56),0)),"")</f>
        <v>-</v>
      </c>
      <c r="J61" s="125" t="str" cm="1">
        <f t="array" aca="1" ref="J61" ca="1">IFERROR(IF(IFERROR(INDEX('Bärbara datorer (A)'!$D:$D,J$4-ROW($A$75)+ROW(J56),0),"")="","-",INDEX('Bärbara datorer (A)'!$F:$F,J$4-ROW($A$75)+ROW(J56),0)),"")</f>
        <v>-</v>
      </c>
      <c r="K61" s="125" t="str" cm="1">
        <f t="array" aca="1" ref="K61" ca="1">IFERROR(IF(IFERROR(INDEX('Bärbara datorer (A)'!$D:$D,K$4-ROW($A$75)+ROW(K56),0),"")="","-",INDEX('Bärbara datorer (A)'!$F:$F,K$4-ROW($A$75)+ROW(K56),0)),"")</f>
        <v>-</v>
      </c>
    </row>
    <row r="62" spans="1:11" ht="36.75" customHeight="1" outlineLevel="1" x14ac:dyDescent="0.3">
      <c r="A62" s="38" t="s">
        <v>345</v>
      </c>
      <c r="B62" s="125" t="str" cm="1">
        <f t="array" ref="B62">IFERROR(IF(IFERROR(INDEX('Bärbara datorer (A)'!$D:$D,B$4-ROW($A$75)+ROW(B57),0),"")="","-",INDEX('Bärbara datorer (A)'!$F:$F,B$4-ROW($A$75)+ROW(B57),0)),"")</f>
        <v>-</v>
      </c>
      <c r="C62" s="125" t="str" cm="1">
        <f t="array" aca="1" ref="C62" ca="1">IFERROR(IF(IFERROR(INDEX('Bärbara datorer (A)'!$D:$D,C$4-ROW($A$75)+ROW(C57),0),"")="","-",INDEX('Bärbara datorer (A)'!$F:$F,C$4-ROW($A$75)+ROW(C57),0)),"")</f>
        <v/>
      </c>
      <c r="D62" s="125" t="str" cm="1">
        <f t="array" aca="1" ref="D62" ca="1">IFERROR(IF(IFERROR(INDEX('Bärbara datorer (A)'!$D:$D,D$4-ROW($A$75)+ROW(D57),0),"")="","-",INDEX('Bärbara datorer (A)'!$F:$F,D$4-ROW($A$75)+ROW(D57),0)),"")</f>
        <v>-</v>
      </c>
      <c r="E62" s="125" t="str" cm="1">
        <f t="array" aca="1" ref="E62" ca="1">IFERROR(IF(IFERROR(INDEX('Bärbara datorer (A)'!$D:$D,E$4-ROW($A$75)+ROW(E57),0),"")="","-",INDEX('Bärbara datorer (A)'!$F:$F,E$4-ROW($A$75)+ROW(E57),0)),"")</f>
        <v>-</v>
      </c>
      <c r="F62" s="125" t="str" cm="1">
        <f t="array" aca="1" ref="F62" ca="1">IFERROR(IF(IFERROR(INDEX('Bärbara datorer (A)'!$D:$D,F$4-ROW($A$75)+ROW(F57),0),"")="","-",INDEX('Bärbara datorer (A)'!$F:$F,F$4-ROW($A$75)+ROW(F57),0)),"")</f>
        <v>-</v>
      </c>
      <c r="G62" s="125" t="str" cm="1">
        <f t="array" aca="1" ref="G62" ca="1">IFERROR(IF(IFERROR(INDEX('Bärbara datorer (A)'!$D:$D,G$4-ROW($A$75)+ROW(G57),0),"")="","-",INDEX('Bärbara datorer (A)'!$F:$F,G$4-ROW($A$75)+ROW(G57),0)),"")</f>
        <v>-</v>
      </c>
      <c r="H62" s="125" t="str" cm="1">
        <f t="array" aca="1" ref="H62" ca="1">IFERROR(IF(IFERROR(INDEX('Bärbara datorer (A)'!$D:$D,H$4-ROW($A$75)+ROW(H57),0),"")="","-",INDEX('Bärbara datorer (A)'!$F:$F,H$4-ROW($A$75)+ROW(H57),0)),"")</f>
        <v>-</v>
      </c>
      <c r="I62" s="125" t="str" cm="1">
        <f t="array" aca="1" ref="I62" ca="1">IFERROR(IF(IFERROR(INDEX('Bärbara datorer (A)'!$D:$D,I$4-ROW($A$75)+ROW(I57),0),"")="","-",INDEX('Bärbara datorer (A)'!$F:$F,I$4-ROW($A$75)+ROW(I57),0)),"")</f>
        <v>-</v>
      </c>
      <c r="J62" s="125" t="str" cm="1">
        <f t="array" aca="1" ref="J62" ca="1">IFERROR(IF(IFERROR(INDEX('Bärbara datorer (A)'!$D:$D,J$4-ROW($A$75)+ROW(J57),0),"")="","-",INDEX('Bärbara datorer (A)'!$F:$F,J$4-ROW($A$75)+ROW(J57),0)),"")</f>
        <v>-</v>
      </c>
      <c r="K62" s="125" t="str" cm="1">
        <f t="array" aca="1" ref="K62" ca="1">IFERROR(IF(IFERROR(INDEX('Bärbara datorer (A)'!$D:$D,K$4-ROW($A$75)+ROW(K57),0),"")="","-",INDEX('Bärbara datorer (A)'!$F:$F,K$4-ROW($A$75)+ROW(K57),0)),"")</f>
        <v>-</v>
      </c>
    </row>
    <row r="63" spans="1:11" ht="36.75" customHeight="1" outlineLevel="1" x14ac:dyDescent="0.3">
      <c r="A63" s="38" t="s">
        <v>267</v>
      </c>
      <c r="B63" s="125" t="str" cm="1">
        <f t="array" ref="B63">IFERROR(IF(IFERROR(INDEX('Bärbara datorer (A)'!$D:$D,B$4-ROW($A$75)+ROW(B58),0),"")="","Ej Valt",INDEX('Bärbara datorer (A)'!$F:$F,B$4-ROW($A$75)+ROW(B58),0)),"")</f>
        <v>Ej Valt</v>
      </c>
      <c r="C63" s="125" t="str" cm="1">
        <f t="array" aca="1" ref="C63" ca="1">IFERROR(IF(IFERROR(INDEX('Bärbara datorer (A)'!$D:$D,C$4-ROW($A$75)+ROW(C58),0),"")="","Ej Valt",INDEX('Bärbara datorer (A)'!$F:$F,C$4-ROW($A$75)+ROW(C58),0)),"")</f>
        <v>Ej Valt</v>
      </c>
      <c r="D63" s="125" t="str" cm="1">
        <f t="array" aca="1" ref="D63" ca="1">IFERROR(IF(IFERROR(INDEX('Bärbara datorer (A)'!$D:$D,D$4-ROW($A$75)+ROW(D58),0),"")="","Ej Valt",INDEX('Bärbara datorer (A)'!$F:$F,D$4-ROW($A$75)+ROW(D58),0)),"")</f>
        <v>Ej Valt</v>
      </c>
      <c r="E63" s="125" t="str" cm="1">
        <f t="array" aca="1" ref="E63" ca="1">IFERROR(IF(IFERROR(INDEX('Bärbara datorer (A)'!$D:$D,E$4-ROW($A$75)+ROW(E58),0),"")="","Ej Valt",INDEX('Bärbara datorer (A)'!$F:$F,E$4-ROW($A$75)+ROW(E58),0)),"")</f>
        <v>Ej Valt</v>
      </c>
      <c r="F63" s="125" t="str" cm="1">
        <f t="array" aca="1" ref="F63" ca="1">IFERROR(IF(IFERROR(INDEX('Bärbara datorer (A)'!$D:$D,F$4-ROW($A$75)+ROW(F58),0),"")="","Ej Valt",INDEX('Bärbara datorer (A)'!$F:$F,F$4-ROW($A$75)+ROW(F58),0)),"")</f>
        <v>Ej Valt</v>
      </c>
      <c r="G63" s="125" t="str" cm="1">
        <f t="array" aca="1" ref="G63" ca="1">IFERROR(IF(IFERROR(INDEX('Bärbara datorer (A)'!$D:$D,G$4-ROW($A$75)+ROW(G58),0),"")="","Ej Valt",INDEX('Bärbara datorer (A)'!$F:$F,G$4-ROW($A$75)+ROW(G58),0)),"")</f>
        <v>Ej Valt</v>
      </c>
      <c r="H63" s="125" t="str" cm="1">
        <f t="array" aca="1" ref="H63" ca="1">IFERROR(IF(IFERROR(INDEX('Bärbara datorer (A)'!$D:$D,H$4-ROW($A$75)+ROW(H58),0),"")="","Ej Valt",INDEX('Bärbara datorer (A)'!$F:$F,H$4-ROW($A$75)+ROW(H58),0)),"")</f>
        <v>Ej Valt</v>
      </c>
      <c r="I63" s="125" t="str" cm="1">
        <f t="array" aca="1" ref="I63" ca="1">IFERROR(IF(IFERROR(INDEX('Bärbara datorer (A)'!$D:$D,I$4-ROW($A$75)+ROW(I58),0),"")="","Ej Valt",INDEX('Bärbara datorer (A)'!$F:$F,I$4-ROW($A$75)+ROW(I58),0)),"")</f>
        <v>Ej Valt</v>
      </c>
      <c r="J63" s="125" t="str" cm="1">
        <f t="array" aca="1" ref="J63" ca="1">IFERROR(IF(IFERROR(INDEX('Bärbara datorer (A)'!$D:$D,J$4-ROW($A$75)+ROW(J58),0),"")="","Ej Valt",INDEX('Bärbara datorer (A)'!$F:$F,J$4-ROW($A$75)+ROW(J58),0)),"")</f>
        <v>Ej Valt</v>
      </c>
      <c r="K63" s="125" t="str" cm="1">
        <f t="array" aca="1" ref="K63" ca="1">IFERROR(IF(IFERROR(INDEX('Bärbara datorer (A)'!$D:$D,K$4-ROW($A$75)+ROW(K58),0),"")="","Ej Valt",INDEX('Bärbara datorer (A)'!$F:$F,K$4-ROW($A$75)+ROW(K58),0)),"")</f>
        <v>Ej Valt</v>
      </c>
    </row>
    <row r="64" spans="1:11" ht="36.75" customHeight="1" outlineLevel="1" x14ac:dyDescent="0.3">
      <c r="A64" s="38" t="s">
        <v>341</v>
      </c>
      <c r="B64" s="125" t="str" cm="1">
        <f t="array" ref="B64">IFERROR(IF(IFERROR(INDEX('Bärbara datorer (A)'!$D:$D,B$4-ROW($A$75)+ROW(B59),0),"")="","-",INDEX('Bärbara datorer (A)'!$F:$F,B$4-ROW($A$75)+ROW(B59),0)),"")</f>
        <v>-</v>
      </c>
      <c r="C64" s="125" t="str" cm="1">
        <f t="array" aca="1" ref="C64" ca="1">IFERROR(IF(IFERROR(INDEX('Bärbara datorer (A)'!$D:$D,C$4-ROW($A$75)+ROW(C59),0),"")="","-",INDEX('Bärbara datorer (A)'!$F:$F,C$4-ROW($A$75)+ROW(C59),0)),"")</f>
        <v/>
      </c>
      <c r="D64" s="125" t="str" cm="1">
        <f t="array" aca="1" ref="D64" ca="1">IFERROR(IF(IFERROR(INDEX('Bärbara datorer (A)'!$D:$D,D$4-ROW($A$75)+ROW(D59),0),"")="","-",INDEX('Bärbara datorer (A)'!$F:$F,D$4-ROW($A$75)+ROW(D59),0)),"")</f>
        <v>-</v>
      </c>
      <c r="E64" s="125" t="str" cm="1">
        <f t="array" aca="1" ref="E64" ca="1">IFERROR(IF(IFERROR(INDEX('Bärbara datorer (A)'!$D:$D,E$4-ROW($A$75)+ROW(E59),0),"")="","-",INDEX('Bärbara datorer (A)'!$F:$F,E$4-ROW($A$75)+ROW(E59),0)),"")</f>
        <v>-</v>
      </c>
      <c r="F64" s="125" t="str" cm="1">
        <f t="array" aca="1" ref="F64" ca="1">IFERROR(IF(IFERROR(INDEX('Bärbara datorer (A)'!$D:$D,F$4-ROW($A$75)+ROW(F59),0),"")="","-",INDEX('Bärbara datorer (A)'!$F:$F,F$4-ROW($A$75)+ROW(F59),0)),"")</f>
        <v>-</v>
      </c>
      <c r="G64" s="125" t="str" cm="1">
        <f t="array" aca="1" ref="G64" ca="1">IFERROR(IF(IFERROR(INDEX('Bärbara datorer (A)'!$D:$D,G$4-ROW($A$75)+ROW(G59),0),"")="","-",INDEX('Bärbara datorer (A)'!$F:$F,G$4-ROW($A$75)+ROW(G59),0)),"")</f>
        <v>-</v>
      </c>
      <c r="H64" s="125" t="str" cm="1">
        <f t="array" aca="1" ref="H64" ca="1">IFERROR(IF(IFERROR(INDEX('Bärbara datorer (A)'!$D:$D,H$4-ROW($A$75)+ROW(H59),0),"")="","-",INDEX('Bärbara datorer (A)'!$F:$F,H$4-ROW($A$75)+ROW(H59),0)),"")</f>
        <v>-</v>
      </c>
      <c r="I64" s="125" t="str" cm="1">
        <f t="array" aca="1" ref="I64" ca="1">IFERROR(IF(IFERROR(INDEX('Bärbara datorer (A)'!$D:$D,I$4-ROW($A$75)+ROW(I59),0),"")="","-",INDEX('Bärbara datorer (A)'!$F:$F,I$4-ROW($A$75)+ROW(I59),0)),"")</f>
        <v>-</v>
      </c>
      <c r="J64" s="125" t="str" cm="1">
        <f t="array" aca="1" ref="J64" ca="1">IFERROR(IF(IFERROR(INDEX('Bärbara datorer (A)'!$D:$D,J$4-ROW($A$75)+ROW(J59),0),"")="","-",INDEX('Bärbara datorer (A)'!$F:$F,J$4-ROW($A$75)+ROW(J59),0)),"")</f>
        <v>-</v>
      </c>
      <c r="K64" s="125" t="str" cm="1">
        <f t="array" aca="1" ref="K64" ca="1">IFERROR(IF(IFERROR(INDEX('Bärbara datorer (A)'!$D:$D,K$4-ROW($A$75)+ROW(K59),0),"")="","-",INDEX('Bärbara datorer (A)'!$F:$F,K$4-ROW($A$75)+ROW(K59),0)),"")</f>
        <v>-</v>
      </c>
    </row>
    <row r="65" spans="1:11" ht="36.75" customHeight="1" outlineLevel="1" x14ac:dyDescent="0.3">
      <c r="A65" s="38" t="s">
        <v>346</v>
      </c>
      <c r="B65" s="125" t="str" cm="1">
        <f t="array" ref="B65">IFERROR(IF(IFERROR(INDEX('Bärbara datorer (A)'!$D:$D,B$4-ROW($A$75)+ROW(B60),0),"")="","-",INDEX('Bärbara datorer (A)'!$F:$F,B$4-ROW($A$75)+ROW(B60),0)),"")</f>
        <v>-</v>
      </c>
      <c r="C65" s="125" t="str" cm="1">
        <f t="array" aca="1" ref="C65" ca="1">IFERROR(IF(IFERROR(INDEX('Bärbara datorer (A)'!$D:$D,C$4-ROW($A$75)+ROW(C60),0),"")="","-",INDEX('Bärbara datorer (A)'!$F:$F,C$4-ROW($A$75)+ROW(C60),0)),"")</f>
        <v/>
      </c>
      <c r="D65" s="125" t="str" cm="1">
        <f t="array" aca="1" ref="D65" ca="1">IFERROR(IF(IFERROR(INDEX('Bärbara datorer (A)'!$D:$D,D$4-ROW($A$75)+ROW(D60),0),"")="","-",INDEX('Bärbara datorer (A)'!$F:$F,D$4-ROW($A$75)+ROW(D60),0)),"")</f>
        <v>-</v>
      </c>
      <c r="E65" s="125" t="str" cm="1">
        <f t="array" aca="1" ref="E65" ca="1">IFERROR(IF(IFERROR(INDEX('Bärbara datorer (A)'!$D:$D,E$4-ROW($A$75)+ROW(E60),0),"")="","-",INDEX('Bärbara datorer (A)'!$F:$F,E$4-ROW($A$75)+ROW(E60),0)),"")</f>
        <v>-</v>
      </c>
      <c r="F65" s="125" t="str" cm="1">
        <f t="array" aca="1" ref="F65" ca="1">IFERROR(IF(IFERROR(INDEX('Bärbara datorer (A)'!$D:$D,F$4-ROW($A$75)+ROW(F60),0),"")="","-",INDEX('Bärbara datorer (A)'!$F:$F,F$4-ROW($A$75)+ROW(F60),0)),"")</f>
        <v>-</v>
      </c>
      <c r="G65" s="125" t="str" cm="1">
        <f t="array" aca="1" ref="G65" ca="1">IFERROR(IF(IFERROR(INDEX('Bärbara datorer (A)'!$D:$D,G$4-ROW($A$75)+ROW(G60),0),"")="","-",INDEX('Bärbara datorer (A)'!$F:$F,G$4-ROW($A$75)+ROW(G60),0)),"")</f>
        <v>-</v>
      </c>
      <c r="H65" s="125" t="str" cm="1">
        <f t="array" aca="1" ref="H65" ca="1">IFERROR(IF(IFERROR(INDEX('Bärbara datorer (A)'!$D:$D,H$4-ROW($A$75)+ROW(H60),0),"")="","-",INDEX('Bärbara datorer (A)'!$F:$F,H$4-ROW($A$75)+ROW(H60),0)),"")</f>
        <v>-</v>
      </c>
      <c r="I65" s="125" t="str" cm="1">
        <f t="array" aca="1" ref="I65" ca="1">IFERROR(IF(IFERROR(INDEX('Bärbara datorer (A)'!$D:$D,I$4-ROW($A$75)+ROW(I60),0),"")="","-",INDEX('Bärbara datorer (A)'!$F:$F,I$4-ROW($A$75)+ROW(I60),0)),"")</f>
        <v>-</v>
      </c>
      <c r="J65" s="125" t="str" cm="1">
        <f t="array" aca="1" ref="J65" ca="1">IFERROR(IF(IFERROR(INDEX('Bärbara datorer (A)'!$D:$D,J$4-ROW($A$75)+ROW(J60),0),"")="","-",INDEX('Bärbara datorer (A)'!$F:$F,J$4-ROW($A$75)+ROW(J60),0)),"")</f>
        <v>-</v>
      </c>
      <c r="K65" s="125" t="str" cm="1">
        <f t="array" aca="1" ref="K65" ca="1">IFERROR(IF(IFERROR(INDEX('Bärbara datorer (A)'!$D:$D,K$4-ROW($A$75)+ROW(K60),0),"")="","-",INDEX('Bärbara datorer (A)'!$F:$F,K$4-ROW($A$75)+ROW(K60),0)),"")</f>
        <v>-</v>
      </c>
    </row>
    <row r="66" spans="1:11" ht="36.75" customHeight="1" outlineLevel="1" x14ac:dyDescent="0.3">
      <c r="A66" s="38" t="s">
        <v>270</v>
      </c>
      <c r="B66" s="125" t="str" cm="1">
        <f t="array" ref="B66">IFERROR(IF(IFERROR(INDEX('Bärbara datorer (A)'!$D:$D,B$4-ROW($A$75)+ROW(B61),0),"")="","Ej Valt",INDEX('Bärbara datorer (A)'!$F:$F,B$4-ROW($A$75)+ROW(B61),0)),"")</f>
        <v>Ej Valt</v>
      </c>
      <c r="C66" s="125" t="str" cm="1">
        <f t="array" aca="1" ref="C66" ca="1">IFERROR(IF(IFERROR(INDEX('Bärbara datorer (A)'!$D:$D,C$4-ROW($A$75)+ROW(C61),0),"")="","Ej Valt",INDEX('Bärbara datorer (A)'!$F:$F,C$4-ROW($A$75)+ROW(C61),0)),"")</f>
        <v>Ej Valt</v>
      </c>
      <c r="D66" s="125" t="str" cm="1">
        <f t="array" aca="1" ref="D66" ca="1">IFERROR(IF(IFERROR(INDEX('Bärbara datorer (A)'!$D:$D,D$4-ROW($A$75)+ROW(D61),0),"")="","Ej Valt",INDEX('Bärbara datorer (A)'!$F:$F,D$4-ROW($A$75)+ROW(D61),0)),"")</f>
        <v>Ej Valt</v>
      </c>
      <c r="E66" s="125" t="str" cm="1">
        <f t="array" aca="1" ref="E66" ca="1">IFERROR(IF(IFERROR(INDEX('Bärbara datorer (A)'!$D:$D,E$4-ROW($A$75)+ROW(E61),0),"")="","Ej Valt",INDEX('Bärbara datorer (A)'!$F:$F,E$4-ROW($A$75)+ROW(E61),0)),"")</f>
        <v>Ej Valt</v>
      </c>
      <c r="F66" s="125" t="str" cm="1">
        <f t="array" aca="1" ref="F66" ca="1">IFERROR(IF(IFERROR(INDEX('Bärbara datorer (A)'!$D:$D,F$4-ROW($A$75)+ROW(F61),0),"")="","Ej Valt",INDEX('Bärbara datorer (A)'!$F:$F,F$4-ROW($A$75)+ROW(F61),0)),"")</f>
        <v>Ej Valt</v>
      </c>
      <c r="G66" s="125" t="str" cm="1">
        <f t="array" aca="1" ref="G66" ca="1">IFERROR(IF(IFERROR(INDEX('Bärbara datorer (A)'!$D:$D,G$4-ROW($A$75)+ROW(G61),0),"")="","Ej Valt",INDEX('Bärbara datorer (A)'!$F:$F,G$4-ROW($A$75)+ROW(G61),0)),"")</f>
        <v>Ej Valt</v>
      </c>
      <c r="H66" s="125" t="str" cm="1">
        <f t="array" aca="1" ref="H66" ca="1">IFERROR(IF(IFERROR(INDEX('Bärbara datorer (A)'!$D:$D,H$4-ROW($A$75)+ROW(H61),0),"")="","Ej Valt",INDEX('Bärbara datorer (A)'!$F:$F,H$4-ROW($A$75)+ROW(H61),0)),"")</f>
        <v>Ej Valt</v>
      </c>
      <c r="I66" s="125" t="str" cm="1">
        <f t="array" aca="1" ref="I66" ca="1">IFERROR(IF(IFERROR(INDEX('Bärbara datorer (A)'!$D:$D,I$4-ROW($A$75)+ROW(I61),0),"")="","Ej Valt",INDEX('Bärbara datorer (A)'!$F:$F,I$4-ROW($A$75)+ROW(I61),0)),"")</f>
        <v>Ej Valt</v>
      </c>
      <c r="J66" s="125" t="str" cm="1">
        <f t="array" aca="1" ref="J66" ca="1">IFERROR(IF(IFERROR(INDEX('Bärbara datorer (A)'!$D:$D,J$4-ROW($A$75)+ROW(J61),0),"")="","Ej Valt",INDEX('Bärbara datorer (A)'!$F:$F,J$4-ROW($A$75)+ROW(J61),0)),"")</f>
        <v>Ej Valt</v>
      </c>
      <c r="K66" s="125" t="str" cm="1">
        <f t="array" aca="1" ref="K66" ca="1">IFERROR(IF(IFERROR(INDEX('Bärbara datorer (A)'!$D:$D,K$4-ROW($A$75)+ROW(K61),0),"")="","Ej Valt",INDEX('Bärbara datorer (A)'!$F:$F,K$4-ROW($A$75)+ROW(K61),0)),"")</f>
        <v>Ej Valt</v>
      </c>
    </row>
    <row r="67" spans="1:11" ht="36.75" customHeight="1" outlineLevel="1" x14ac:dyDescent="0.3">
      <c r="A67" s="38" t="s">
        <v>342</v>
      </c>
      <c r="B67" s="125" t="str" cm="1">
        <f t="array" ref="B67">IFERROR(IF(IFERROR(INDEX('Bärbara datorer (A)'!$D:$D,B$4-ROW($A$75)+ROW(B62),0),"")="","-",INDEX('Bärbara datorer (A)'!$F:$F,B$4-ROW($A$75)+ROW(B62),0)),"")</f>
        <v>-</v>
      </c>
      <c r="C67" s="125" t="str" cm="1">
        <f t="array" aca="1" ref="C67" ca="1">IFERROR(IF(IFERROR(INDEX('Bärbara datorer (A)'!$D:$D,C$4-ROW($A$75)+ROW(C62),0),"")="","-",INDEX('Bärbara datorer (A)'!$F:$F,C$4-ROW($A$75)+ROW(C62),0)),"")</f>
        <v/>
      </c>
      <c r="D67" s="125" t="str" cm="1">
        <f t="array" aca="1" ref="D67" ca="1">IFERROR(IF(IFERROR(INDEX('Bärbara datorer (A)'!$D:$D,D$4-ROW($A$75)+ROW(D62),0),"")="","-",INDEX('Bärbara datorer (A)'!$F:$F,D$4-ROW($A$75)+ROW(D62),0)),"")</f>
        <v>-</v>
      </c>
      <c r="E67" s="125" t="str" cm="1">
        <f t="array" aca="1" ref="E67" ca="1">IFERROR(IF(IFERROR(INDEX('Bärbara datorer (A)'!$D:$D,E$4-ROW($A$75)+ROW(E62),0),"")="","-",INDEX('Bärbara datorer (A)'!$F:$F,E$4-ROW($A$75)+ROW(E62),0)),"")</f>
        <v>-</v>
      </c>
      <c r="F67" s="125" t="str" cm="1">
        <f t="array" aca="1" ref="F67" ca="1">IFERROR(IF(IFERROR(INDEX('Bärbara datorer (A)'!$D:$D,F$4-ROW($A$75)+ROW(F62),0),"")="","-",INDEX('Bärbara datorer (A)'!$F:$F,F$4-ROW($A$75)+ROW(F62),0)),"")</f>
        <v>-</v>
      </c>
      <c r="G67" s="125" t="str" cm="1">
        <f t="array" aca="1" ref="G67" ca="1">IFERROR(IF(IFERROR(INDEX('Bärbara datorer (A)'!$D:$D,G$4-ROW($A$75)+ROW(G62),0),"")="","-",INDEX('Bärbara datorer (A)'!$F:$F,G$4-ROW($A$75)+ROW(G62),0)),"")</f>
        <v>-</v>
      </c>
      <c r="H67" s="125" t="str" cm="1">
        <f t="array" aca="1" ref="H67" ca="1">IFERROR(IF(IFERROR(INDEX('Bärbara datorer (A)'!$D:$D,H$4-ROW($A$75)+ROW(H62),0),"")="","-",INDEX('Bärbara datorer (A)'!$F:$F,H$4-ROW($A$75)+ROW(H62),0)),"")</f>
        <v>-</v>
      </c>
      <c r="I67" s="125" t="str" cm="1">
        <f t="array" aca="1" ref="I67" ca="1">IFERROR(IF(IFERROR(INDEX('Bärbara datorer (A)'!$D:$D,I$4-ROW($A$75)+ROW(I62),0),"")="","-",INDEX('Bärbara datorer (A)'!$F:$F,I$4-ROW($A$75)+ROW(I62),0)),"")</f>
        <v>-</v>
      </c>
      <c r="J67" s="125" t="str" cm="1">
        <f t="array" aca="1" ref="J67" ca="1">IFERROR(IF(IFERROR(INDEX('Bärbara datorer (A)'!$D:$D,J$4-ROW($A$75)+ROW(J62),0),"")="","-",INDEX('Bärbara datorer (A)'!$F:$F,J$4-ROW($A$75)+ROW(J62),0)),"")</f>
        <v>-</v>
      </c>
      <c r="K67" s="125" t="str" cm="1">
        <f t="array" aca="1" ref="K67" ca="1">IFERROR(IF(IFERROR(INDEX('Bärbara datorer (A)'!$D:$D,K$4-ROW($A$75)+ROW(K62),0),"")="","-",INDEX('Bärbara datorer (A)'!$F:$F,K$4-ROW($A$75)+ROW(K62),0)),"")</f>
        <v>-</v>
      </c>
    </row>
    <row r="68" spans="1:11" ht="36.75" customHeight="1" outlineLevel="1" x14ac:dyDescent="0.3">
      <c r="A68" s="38" t="s">
        <v>347</v>
      </c>
      <c r="B68" s="125" t="str" cm="1">
        <f t="array" ref="B68">IFERROR(IF(IFERROR(INDEX('Bärbara datorer (A)'!$D:$D,B$4-ROW($A$75)+ROW(B63),0),"")="","-",INDEX('Bärbara datorer (A)'!$F:$F,B$4-ROW($A$75)+ROW(B63),0)),"")</f>
        <v>-</v>
      </c>
      <c r="C68" s="125" t="str" cm="1">
        <f t="array" aca="1" ref="C68" ca="1">IFERROR(IF(IFERROR(INDEX('Bärbara datorer (A)'!$D:$D,C$4-ROW($A$75)+ROW(C63),0),"")="","-",INDEX('Bärbara datorer (A)'!$F:$F,C$4-ROW($A$75)+ROW(C63),0)),"")</f>
        <v/>
      </c>
      <c r="D68" s="125" t="str" cm="1">
        <f t="array" aca="1" ref="D68" ca="1">IFERROR(IF(IFERROR(INDEX('Bärbara datorer (A)'!$D:$D,D$4-ROW($A$75)+ROW(D63),0),"")="","-",INDEX('Bärbara datorer (A)'!$F:$F,D$4-ROW($A$75)+ROW(D63),0)),"")</f>
        <v>-</v>
      </c>
      <c r="E68" s="125" t="str" cm="1">
        <f t="array" aca="1" ref="E68" ca="1">IFERROR(IF(IFERROR(INDEX('Bärbara datorer (A)'!$D:$D,E$4-ROW($A$75)+ROW(E63),0),"")="","-",INDEX('Bärbara datorer (A)'!$F:$F,E$4-ROW($A$75)+ROW(E63),0)),"")</f>
        <v>-</v>
      </c>
      <c r="F68" s="125" t="str" cm="1">
        <f t="array" aca="1" ref="F68" ca="1">IFERROR(IF(IFERROR(INDEX('Bärbara datorer (A)'!$D:$D,F$4-ROW($A$75)+ROW(F63),0),"")="","-",INDEX('Bärbara datorer (A)'!$F:$F,F$4-ROW($A$75)+ROW(F63),0)),"")</f>
        <v>-</v>
      </c>
      <c r="G68" s="125" t="str" cm="1">
        <f t="array" aca="1" ref="G68" ca="1">IFERROR(IF(IFERROR(INDEX('Bärbara datorer (A)'!$D:$D,G$4-ROW($A$75)+ROW(G63),0),"")="","-",INDEX('Bärbara datorer (A)'!$F:$F,G$4-ROW($A$75)+ROW(G63),0)),"")</f>
        <v>-</v>
      </c>
      <c r="H68" s="125" t="str" cm="1">
        <f t="array" aca="1" ref="H68" ca="1">IFERROR(IF(IFERROR(INDEX('Bärbara datorer (A)'!$D:$D,H$4-ROW($A$75)+ROW(H63),0),"")="","-",INDEX('Bärbara datorer (A)'!$F:$F,H$4-ROW($A$75)+ROW(H63),0)),"")</f>
        <v>-</v>
      </c>
      <c r="I68" s="125" t="str" cm="1">
        <f t="array" aca="1" ref="I68" ca="1">IFERROR(IF(IFERROR(INDEX('Bärbara datorer (A)'!$D:$D,I$4-ROW($A$75)+ROW(I63),0),"")="","-",INDEX('Bärbara datorer (A)'!$F:$F,I$4-ROW($A$75)+ROW(I63),0)),"")</f>
        <v>-</v>
      </c>
      <c r="J68" s="125" t="str" cm="1">
        <f t="array" aca="1" ref="J68" ca="1">IFERROR(IF(IFERROR(INDEX('Bärbara datorer (A)'!$D:$D,J$4-ROW($A$75)+ROW(J63),0),"")="","-",INDEX('Bärbara datorer (A)'!$F:$F,J$4-ROW($A$75)+ROW(J63),0)),"")</f>
        <v>-</v>
      </c>
      <c r="K68" s="125" t="str" cm="1">
        <f t="array" aca="1" ref="K68" ca="1">IFERROR(IF(IFERROR(INDEX('Bärbara datorer (A)'!$D:$D,K$4-ROW($A$75)+ROW(K63),0),"")="","-",INDEX('Bärbara datorer (A)'!$F:$F,K$4-ROW($A$75)+ROW(K63),0)),"")</f>
        <v>-</v>
      </c>
    </row>
    <row r="69" spans="1:11" ht="36.75" customHeight="1" outlineLevel="1" x14ac:dyDescent="0.3">
      <c r="A69" s="38" t="s">
        <v>235</v>
      </c>
      <c r="B69" s="125" t="str" cm="1">
        <f t="array" ref="B69">IFERROR(IF(IFERROR(INDEX('Bärbara datorer (A)'!$D:$D,B$4-ROW($A$75)+ROW(B64),0),"")="","Ej Valt",INDEX('Bärbara datorer (A)'!$F:$F,B$4-ROW($A$75)+ROW(B64),0)),"")</f>
        <v>Ej Valt</v>
      </c>
      <c r="C69" s="125" t="str" cm="1">
        <f t="array" aca="1" ref="C69" ca="1">IFERROR(IF(IFERROR(INDEX('Bärbara datorer (A)'!$D:$D,C$4-ROW($A$75)+ROW(C64),0),"")="","Ej Valt",INDEX('Bärbara datorer (A)'!$F:$F,C$4-ROW($A$75)+ROW(C64),0)),"")</f>
        <v>Ej Valt</v>
      </c>
      <c r="D69" s="125" t="str" cm="1">
        <f t="array" aca="1" ref="D69" ca="1">IFERROR(IF(IFERROR(INDEX('Bärbara datorer (A)'!$D:$D,D$4-ROW($A$75)+ROW(D64),0),"")="","Ej Valt",INDEX('Bärbara datorer (A)'!$F:$F,D$4-ROW($A$75)+ROW(D64),0)),"")</f>
        <v>Ej Valt</v>
      </c>
      <c r="E69" s="125" t="str" cm="1">
        <f t="array" aca="1" ref="E69" ca="1">IFERROR(IF(IFERROR(INDEX('Bärbara datorer (A)'!$D:$D,E$4-ROW($A$75)+ROW(E64),0),"")="","Ej Valt",INDEX('Bärbara datorer (A)'!$F:$F,E$4-ROW($A$75)+ROW(E64),0)),"")</f>
        <v>Ej Valt</v>
      </c>
      <c r="F69" s="125" t="str" cm="1">
        <f t="array" aca="1" ref="F69" ca="1">IFERROR(IF(IFERROR(INDEX('Bärbara datorer (A)'!$D:$D,F$4-ROW($A$75)+ROW(F64),0),"")="","Ej Valt",INDEX('Bärbara datorer (A)'!$F:$F,F$4-ROW($A$75)+ROW(F64),0)),"")</f>
        <v>Ej Valt</v>
      </c>
      <c r="G69" s="125" t="str" cm="1">
        <f t="array" aca="1" ref="G69" ca="1">IFERROR(IF(IFERROR(INDEX('Bärbara datorer (A)'!$D:$D,G$4-ROW($A$75)+ROW(G64),0),"")="","Ej Valt",INDEX('Bärbara datorer (A)'!$F:$F,G$4-ROW($A$75)+ROW(G64),0)),"")</f>
        <v>Ej Valt</v>
      </c>
      <c r="H69" s="125" t="str" cm="1">
        <f t="array" aca="1" ref="H69" ca="1">IFERROR(IF(IFERROR(INDEX('Bärbara datorer (A)'!$D:$D,H$4-ROW($A$75)+ROW(H64),0),"")="","Ej Valt",INDEX('Bärbara datorer (A)'!$F:$F,H$4-ROW($A$75)+ROW(H64),0)),"")</f>
        <v>Ej Valt</v>
      </c>
      <c r="I69" s="125" t="str" cm="1">
        <f t="array" aca="1" ref="I69" ca="1">IFERROR(IF(IFERROR(INDEX('Bärbara datorer (A)'!$D:$D,I$4-ROW($A$75)+ROW(I64),0),"")="","Ej Valt",INDEX('Bärbara datorer (A)'!$F:$F,I$4-ROW($A$75)+ROW(I64),0)),"")</f>
        <v>Ej Valt</v>
      </c>
      <c r="J69" s="125" t="str" cm="1">
        <f t="array" aca="1" ref="J69" ca="1">IFERROR(IF(IFERROR(INDEX('Bärbara datorer (A)'!$D:$D,J$4-ROW($A$75)+ROW(J64),0),"")="","Ej Valt",INDEX('Bärbara datorer (A)'!$F:$F,J$4-ROW($A$75)+ROW(J64),0)),"")</f>
        <v>Ej Valt</v>
      </c>
      <c r="K69" s="125" t="str" cm="1">
        <f t="array" aca="1" ref="K69" ca="1">IFERROR(IF(IFERROR(INDEX('Bärbara datorer (A)'!$D:$D,K$4-ROW($A$75)+ROW(K64),0),"")="","Ej Valt",INDEX('Bärbara datorer (A)'!$F:$F,K$4-ROW($A$75)+ROW(K64),0)),"")</f>
        <v>Ej Valt</v>
      </c>
    </row>
    <row r="70" spans="1:11" ht="36.75" customHeight="1" outlineLevel="1" x14ac:dyDescent="0.3">
      <c r="A70" s="38" t="s">
        <v>343</v>
      </c>
      <c r="B70" s="125" t="str" cm="1">
        <f t="array" ref="B70">IFERROR(IF(IFERROR(INDEX('Bärbara datorer (A)'!$D:$D,B$4-ROW($A$75)+ROW(B65),0),"")="","-",INDEX('Bärbara datorer (A)'!$F:$F,B$4-ROW($A$75)+ROW(B65),0)),"")</f>
        <v>-</v>
      </c>
      <c r="C70" s="125" t="str" cm="1">
        <f t="array" aca="1" ref="C70" ca="1">IFERROR(IF(IFERROR(INDEX('Bärbara datorer (A)'!$D:$D,C$4-ROW($A$75)+ROW(C65),0),"")="","-",INDEX('Bärbara datorer (A)'!$F:$F,C$4-ROW($A$75)+ROW(C65),0)),"")</f>
        <v>-</v>
      </c>
      <c r="D70" s="125" t="str" cm="1">
        <f t="array" aca="1" ref="D70" ca="1">IFERROR(IF(IFERROR(INDEX('Bärbara datorer (A)'!$D:$D,D$4-ROW($A$75)+ROW(D65),0),"")="","-",INDEX('Bärbara datorer (A)'!$F:$F,D$4-ROW($A$75)+ROW(D65),0)),"")</f>
        <v>-</v>
      </c>
      <c r="E70" s="125" t="str" cm="1">
        <f t="array" aca="1" ref="E70" ca="1">IFERROR(IF(IFERROR(INDEX('Bärbara datorer (A)'!$D:$D,E$4-ROW($A$75)+ROW(E65),0),"")="","-",INDEX('Bärbara datorer (A)'!$F:$F,E$4-ROW($A$75)+ROW(E65),0)),"")</f>
        <v>-</v>
      </c>
      <c r="F70" s="125" t="str" cm="1">
        <f t="array" aca="1" ref="F70" ca="1">IFERROR(IF(IFERROR(INDEX('Bärbara datorer (A)'!$D:$D,F$4-ROW($A$75)+ROW(F65),0),"")="","-",INDEX('Bärbara datorer (A)'!$F:$F,F$4-ROW($A$75)+ROW(F65),0)),"")</f>
        <v>-</v>
      </c>
      <c r="G70" s="125" t="str" cm="1">
        <f t="array" aca="1" ref="G70" ca="1">IFERROR(IF(IFERROR(INDEX('Bärbara datorer (A)'!$D:$D,G$4-ROW($A$75)+ROW(G65),0),"")="","-",INDEX('Bärbara datorer (A)'!$F:$F,G$4-ROW($A$75)+ROW(G65),0)),"")</f>
        <v>-</v>
      </c>
      <c r="H70" s="125" t="str" cm="1">
        <f t="array" aca="1" ref="H70" ca="1">IFERROR(IF(IFERROR(INDEX('Bärbara datorer (A)'!$D:$D,H$4-ROW($A$75)+ROW(H65),0),"")="","-",INDEX('Bärbara datorer (A)'!$F:$F,H$4-ROW($A$75)+ROW(H65),0)),"")</f>
        <v>-</v>
      </c>
      <c r="I70" s="125" t="str" cm="1">
        <f t="array" aca="1" ref="I70" ca="1">IFERROR(IF(IFERROR(INDEX('Bärbara datorer (A)'!$D:$D,I$4-ROW($A$75)+ROW(I65),0),"")="","-",INDEX('Bärbara datorer (A)'!$F:$F,I$4-ROW($A$75)+ROW(I65),0)),"")</f>
        <v>-</v>
      </c>
      <c r="J70" s="125" t="str" cm="1">
        <f t="array" aca="1" ref="J70" ca="1">IFERROR(IF(IFERROR(INDEX('Bärbara datorer (A)'!$D:$D,J$4-ROW($A$75)+ROW(J65),0),"")="","-",INDEX('Bärbara datorer (A)'!$F:$F,J$4-ROW($A$75)+ROW(J65),0)),"")</f>
        <v>-</v>
      </c>
      <c r="K70" s="125" t="str" cm="1">
        <f t="array" aca="1" ref="K70" ca="1">IFERROR(IF(IFERROR(INDEX('Bärbara datorer (A)'!$D:$D,K$4-ROW($A$75)+ROW(K65),0),"")="","-",INDEX('Bärbara datorer (A)'!$F:$F,K$4-ROW($A$75)+ROW(K65),0)),"")</f>
        <v>-</v>
      </c>
    </row>
    <row r="71" spans="1:11" ht="36.75" customHeight="1" outlineLevel="1" x14ac:dyDescent="0.3">
      <c r="A71" s="38" t="s">
        <v>348</v>
      </c>
      <c r="B71" s="125" t="str" cm="1">
        <f t="array" ref="B71">IFERROR(IF(IFERROR(INDEX('Bärbara datorer (A)'!$D:$D,B$4-ROW($A$75)+ROW(B66),0),"")="","-",INDEX('Bärbara datorer (A)'!$F:$F,B$4-ROW($A$75)+ROW(B66),0)),"")</f>
        <v>-</v>
      </c>
      <c r="C71" s="125" t="str" cm="1">
        <f t="array" aca="1" ref="C71" ca="1">IFERROR(IF(IFERROR(INDEX('Bärbara datorer (A)'!$D:$D,C$4-ROW($A$75)+ROW(C66),0),"")="","-",INDEX('Bärbara datorer (A)'!$F:$F,C$4-ROW($A$75)+ROW(C66),0)),"")</f>
        <v>-</v>
      </c>
      <c r="D71" s="125" t="str" cm="1">
        <f t="array" aca="1" ref="D71" ca="1">IFERROR(IF(IFERROR(INDEX('Bärbara datorer (A)'!$D:$D,D$4-ROW($A$75)+ROW(D66),0),"")="","-",INDEX('Bärbara datorer (A)'!$F:$F,D$4-ROW($A$75)+ROW(D66),0)),"")</f>
        <v>-</v>
      </c>
      <c r="E71" s="125" t="str" cm="1">
        <f t="array" aca="1" ref="E71" ca="1">IFERROR(IF(IFERROR(INDEX('Bärbara datorer (A)'!$D:$D,E$4-ROW($A$75)+ROW(E66),0),"")="","-",INDEX('Bärbara datorer (A)'!$F:$F,E$4-ROW($A$75)+ROW(E66),0)),"")</f>
        <v>-</v>
      </c>
      <c r="F71" s="125" t="str" cm="1">
        <f t="array" aca="1" ref="F71" ca="1">IFERROR(IF(IFERROR(INDEX('Bärbara datorer (A)'!$D:$D,F$4-ROW($A$75)+ROW(F66),0),"")="","-",INDEX('Bärbara datorer (A)'!$F:$F,F$4-ROW($A$75)+ROW(F66),0)),"")</f>
        <v>-</v>
      </c>
      <c r="G71" s="125" t="str" cm="1">
        <f t="array" aca="1" ref="G71" ca="1">IFERROR(IF(IFERROR(INDEX('Bärbara datorer (A)'!$D:$D,G$4-ROW($A$75)+ROW(G66),0),"")="","-",INDEX('Bärbara datorer (A)'!$F:$F,G$4-ROW($A$75)+ROW(G66),0)),"")</f>
        <v>-</v>
      </c>
      <c r="H71" s="125" t="str" cm="1">
        <f t="array" aca="1" ref="H71" ca="1">IFERROR(IF(IFERROR(INDEX('Bärbara datorer (A)'!$D:$D,H$4-ROW($A$75)+ROW(H66),0),"")="","-",INDEX('Bärbara datorer (A)'!$F:$F,H$4-ROW($A$75)+ROW(H66),0)),"")</f>
        <v>-</v>
      </c>
      <c r="I71" s="125" t="str" cm="1">
        <f t="array" aca="1" ref="I71" ca="1">IFERROR(IF(IFERROR(INDEX('Bärbara datorer (A)'!$D:$D,I$4-ROW($A$75)+ROW(I66),0),"")="","-",INDEX('Bärbara datorer (A)'!$F:$F,I$4-ROW($A$75)+ROW(I66),0)),"")</f>
        <v>-</v>
      </c>
      <c r="J71" s="125" t="str" cm="1">
        <f t="array" aca="1" ref="J71" ca="1">IFERROR(IF(IFERROR(INDEX('Bärbara datorer (A)'!$D:$D,J$4-ROW($A$75)+ROW(J66),0),"")="","-",INDEX('Bärbara datorer (A)'!$F:$F,J$4-ROW($A$75)+ROW(J66),0)),"")</f>
        <v>-</v>
      </c>
      <c r="K71" s="125" t="str" cm="1">
        <f t="array" aca="1" ref="K71" ca="1">IFERROR(IF(IFERROR(INDEX('Bärbara datorer (A)'!$D:$D,K$4-ROW($A$75)+ROW(K66),0),"")="","-",INDEX('Bärbara datorer (A)'!$F:$F,K$4-ROW($A$75)+ROW(K66),0)),"")</f>
        <v>-</v>
      </c>
    </row>
    <row r="72" spans="1:11" ht="36.75" customHeight="1" outlineLevel="1" x14ac:dyDescent="0.3">
      <c r="A72" s="38" t="s">
        <v>262</v>
      </c>
      <c r="B72" s="125" t="str" cm="1">
        <f t="array" ref="B72">IFERROR(IF(IFERROR(INDEX('Bärbara datorer (A)'!$D:$D,B$4-ROW($A$75)+ROW(B68),0),"")="","Ej Valt",INDEX('Bärbara datorer (A)'!$F:$F,B$4-ROW($A$75)+ROW(B68),0)),"")</f>
        <v>Ej Valt</v>
      </c>
      <c r="C72" s="125" t="str" cm="1">
        <f t="array" aca="1" ref="C72" ca="1">IFERROR(IF(IFERROR(INDEX('Bärbara datorer (A)'!$D:$D,C$4-ROW($A$75)+ROW(C68),0),"")="","Ej Valt",INDEX('Bärbara datorer (A)'!$F:$F,C$4-ROW($A$75)+ROW(C68),0)),"")</f>
        <v>Ej Valt</v>
      </c>
      <c r="D72" s="125" t="str" cm="1">
        <f t="array" aca="1" ref="D72" ca="1">IFERROR(IF(IFERROR(INDEX('Bärbara datorer (A)'!$D:$D,D$4-ROW($A$75)+ROW(D68),0),"")="","Ej Valt",INDEX('Bärbara datorer (A)'!$F:$F,D$4-ROW($A$75)+ROW(D68),0)),"")</f>
        <v>Ej Valt</v>
      </c>
      <c r="E72" s="125" t="str" cm="1">
        <f t="array" aca="1" ref="E72" ca="1">IFERROR(IF(IFERROR(INDEX('Bärbara datorer (A)'!$D:$D,E$4-ROW($A$75)+ROW(E68),0),"")="","Ej Valt",INDEX('Bärbara datorer (A)'!$F:$F,E$4-ROW($A$75)+ROW(E68),0)),"")</f>
        <v>Ej Valt</v>
      </c>
      <c r="F72" s="125" t="str" cm="1">
        <f t="array" aca="1" ref="F72" ca="1">IFERROR(IF(IFERROR(INDEX('Bärbara datorer (A)'!$D:$D,F$4-ROW($A$75)+ROW(F68),0),"")="","Ej Valt",INDEX('Bärbara datorer (A)'!$F:$F,F$4-ROW($A$75)+ROW(F68),0)),"")</f>
        <v>Ej Valt</v>
      </c>
      <c r="G72" s="125" t="str" cm="1">
        <f t="array" aca="1" ref="G72" ca="1">IFERROR(IF(IFERROR(INDEX('Bärbara datorer (A)'!$D:$D,G$4-ROW($A$75)+ROW(G68),0),"")="","Ej Valt",INDEX('Bärbara datorer (A)'!$F:$F,G$4-ROW($A$75)+ROW(G68),0)),"")</f>
        <v>Ej Valt</v>
      </c>
      <c r="H72" s="125" t="str" cm="1">
        <f t="array" aca="1" ref="H72" ca="1">IFERROR(IF(IFERROR(INDEX('Bärbara datorer (A)'!$D:$D,H$4-ROW($A$75)+ROW(H68),0),"")="","Ej Valt",INDEX('Bärbara datorer (A)'!$F:$F,H$4-ROW($A$75)+ROW(H68),0)),"")</f>
        <v>Ej Valt</v>
      </c>
      <c r="I72" s="125" t="str" cm="1">
        <f t="array" aca="1" ref="I72" ca="1">IFERROR(IF(IFERROR(INDEX('Bärbara datorer (A)'!$D:$D,I$4-ROW($A$75)+ROW(I68),0),"")="","Ej Valt",INDEX('Bärbara datorer (A)'!$F:$F,I$4-ROW($A$75)+ROW(I68),0)),"")</f>
        <v>Ej Valt</v>
      </c>
      <c r="J72" s="125" t="str" cm="1">
        <f t="array" aca="1" ref="J72" ca="1">IFERROR(IF(IFERROR(INDEX('Bärbara datorer (A)'!$D:$D,J$4-ROW($A$75)+ROW(J68),0),"")="","Ej Valt",INDEX('Bärbara datorer (A)'!$F:$F,J$4-ROW($A$75)+ROW(J68),0)),"")</f>
        <v>Ej Valt</v>
      </c>
      <c r="K72" s="125" t="str" cm="1">
        <f t="array" aca="1" ref="K72" ca="1">IFERROR(IF(IFERROR(INDEX('Bärbara datorer (A)'!$D:$D,K$4-ROW($A$75)+ROW(K68),0),"")="","Ej Valt",INDEX('Bärbara datorer (A)'!$F:$F,K$4-ROW($A$75)+ROW(K68),0)),"")</f>
        <v>Ej Valt</v>
      </c>
    </row>
    <row r="73" spans="1:11" ht="36.75" customHeight="1" outlineLevel="1" x14ac:dyDescent="0.3">
      <c r="A73" s="38" t="s">
        <v>263</v>
      </c>
      <c r="B73" s="125" t="str" cm="1">
        <f t="array" ref="B73">IFERROR(IF(IFERROR(INDEX('Bärbara datorer (A)'!$D:$D,B$4-ROW($A$75)+ROW(B69),0),"")="","Ej Valt",INDEX('Bärbara datorer (A)'!$F:$F,B$4-ROW($A$75)+ROW(B69),0)),"")</f>
        <v>Ej Valt</v>
      </c>
      <c r="C73" s="125" t="str" cm="1">
        <f t="array" aca="1" ref="C73" ca="1">IFERROR(IF(IFERROR(INDEX('Bärbara datorer (A)'!$D:$D,C$4-ROW($A$75)+ROW(C69),0),"")="","Ej Valt",INDEX('Bärbara datorer (A)'!$F:$F,C$4-ROW($A$75)+ROW(C69),0)),"")</f>
        <v>Ej Valt</v>
      </c>
      <c r="D73" s="125" t="str" cm="1">
        <f t="array" aca="1" ref="D73" ca="1">IFERROR(IF(IFERROR(INDEX('Bärbara datorer (A)'!$D:$D,D$4-ROW($A$75)+ROW(D69),0),"")="","Ej Valt",INDEX('Bärbara datorer (A)'!$F:$F,D$4-ROW($A$75)+ROW(D69),0)),"")</f>
        <v>Ej Valt</v>
      </c>
      <c r="E73" s="125" t="str" cm="1">
        <f t="array" aca="1" ref="E73" ca="1">IFERROR(IF(IFERROR(INDEX('Bärbara datorer (A)'!$D:$D,E$4-ROW($A$75)+ROW(E69),0),"")="","Ej Valt",INDEX('Bärbara datorer (A)'!$F:$F,E$4-ROW($A$75)+ROW(E69),0)),"")</f>
        <v>Ej Valt</v>
      </c>
      <c r="F73" s="125" t="str" cm="1">
        <f t="array" aca="1" ref="F73" ca="1">IFERROR(IF(IFERROR(INDEX('Bärbara datorer (A)'!$D:$D,F$4-ROW($A$75)+ROW(F69),0),"")="","Ej Valt",INDEX('Bärbara datorer (A)'!$F:$F,F$4-ROW($A$75)+ROW(F69),0)),"")</f>
        <v>Ej Valt</v>
      </c>
      <c r="G73" s="125" t="str" cm="1">
        <f t="array" aca="1" ref="G73" ca="1">IFERROR(IF(IFERROR(INDEX('Bärbara datorer (A)'!$D:$D,G$4-ROW($A$75)+ROW(G69),0),"")="","Ej Valt",INDEX('Bärbara datorer (A)'!$F:$F,G$4-ROW($A$75)+ROW(G69),0)),"")</f>
        <v>Ej Valt</v>
      </c>
      <c r="H73" s="125" t="str" cm="1">
        <f t="array" aca="1" ref="H73" ca="1">IFERROR(IF(IFERROR(INDEX('Bärbara datorer (A)'!$D:$D,H$4-ROW($A$75)+ROW(H69),0),"")="","Ej Valt",INDEX('Bärbara datorer (A)'!$F:$F,H$4-ROW($A$75)+ROW(H69),0)),"")</f>
        <v>Ej Valt</v>
      </c>
      <c r="I73" s="125" t="str" cm="1">
        <f t="array" aca="1" ref="I73" ca="1">IFERROR(IF(IFERROR(INDEX('Bärbara datorer (A)'!$D:$D,I$4-ROW($A$75)+ROW(I69),0),"")="","Ej Valt",INDEX('Bärbara datorer (A)'!$F:$F,I$4-ROW($A$75)+ROW(I69),0)),"")</f>
        <v>Ej Valt</v>
      </c>
      <c r="J73" s="125" t="str" cm="1">
        <f t="array" aca="1" ref="J73" ca="1">IFERROR(IF(IFERROR(INDEX('Bärbara datorer (A)'!$D:$D,J$4-ROW($A$75)+ROW(J69),0),"")="","Ej Valt",INDEX('Bärbara datorer (A)'!$F:$F,J$4-ROW($A$75)+ROW(J69),0)),"")</f>
        <v>Ej Valt</v>
      </c>
      <c r="K73" s="125" t="str" cm="1">
        <f t="array" aca="1" ref="K73" ca="1">IFERROR(IF(IFERROR(INDEX('Bärbara datorer (A)'!$D:$D,K$4-ROW($A$75)+ROW(K69),0),"")="","Ej Valt",INDEX('Bärbara datorer (A)'!$F:$F,K$4-ROW($A$75)+ROW(K69),0)),"")</f>
        <v>Ej Valt</v>
      </c>
    </row>
    <row r="74" spans="1:11" ht="36.75" customHeight="1" outlineLevel="1" x14ac:dyDescent="0.3">
      <c r="A74" s="38" t="s">
        <v>264</v>
      </c>
      <c r="B74" s="125" t="str" cm="1">
        <f t="array" ref="B74">IFERROR(IF(IFERROR(INDEX('Bärbara datorer (A)'!$D:$D,B$4-ROW($A$75)+ROW(B70),0),"")="","Ej Valt",INDEX('Bärbara datorer (A)'!$F:$F,B$4-ROW($A$75)+ROW(B70),0)),"")</f>
        <v>Ej Valt</v>
      </c>
      <c r="C74" s="125" t="str" cm="1">
        <f t="array" aca="1" ref="C74" ca="1">IFERROR(IF(IFERROR(INDEX('Bärbara datorer (A)'!$D:$D,C$4-ROW($A$75)+ROW(C70),0),"")="","Ej Valt",INDEX('Bärbara datorer (A)'!$F:$F,C$4-ROW($A$75)+ROW(C70),0)),"")</f>
        <v>Ej Valt</v>
      </c>
      <c r="D74" s="125" t="str" cm="1">
        <f t="array" aca="1" ref="D74" ca="1">IFERROR(IF(IFERROR(INDEX('Bärbara datorer (A)'!$D:$D,D$4-ROW($A$75)+ROW(D70),0),"")="","Ej Valt",INDEX('Bärbara datorer (A)'!$F:$F,D$4-ROW($A$75)+ROW(D70),0)),"")</f>
        <v>Ej Valt</v>
      </c>
      <c r="E74" s="125" t="str" cm="1">
        <f t="array" aca="1" ref="E74" ca="1">IFERROR(IF(IFERROR(INDEX('Bärbara datorer (A)'!$D:$D,E$4-ROW($A$75)+ROW(E70),0),"")="","Ej Valt",INDEX('Bärbara datorer (A)'!$F:$F,E$4-ROW($A$75)+ROW(E70),0)),"")</f>
        <v>Ej Valt</v>
      </c>
      <c r="F74" s="125" t="str" cm="1">
        <f t="array" aca="1" ref="F74" ca="1">IFERROR(IF(IFERROR(INDEX('Bärbara datorer (A)'!$D:$D,F$4-ROW($A$75)+ROW(F70),0),"")="","Ej Valt",INDEX('Bärbara datorer (A)'!$F:$F,F$4-ROW($A$75)+ROW(F70),0)),"")</f>
        <v>Ej Valt</v>
      </c>
      <c r="G74" s="125" t="str" cm="1">
        <f t="array" aca="1" ref="G74" ca="1">IFERROR(IF(IFERROR(INDEX('Bärbara datorer (A)'!$D:$D,G$4-ROW($A$75)+ROW(G70),0),"")="","Ej Valt",INDEX('Bärbara datorer (A)'!$F:$F,G$4-ROW($A$75)+ROW(G70),0)),"")</f>
        <v>Ej Valt</v>
      </c>
      <c r="H74" s="125" t="str" cm="1">
        <f t="array" aca="1" ref="H74" ca="1">IFERROR(IF(IFERROR(INDEX('Bärbara datorer (A)'!$D:$D,H$4-ROW($A$75)+ROW(H70),0),"")="","Ej Valt",INDEX('Bärbara datorer (A)'!$F:$F,H$4-ROW($A$75)+ROW(H70),0)),"")</f>
        <v>Ej Valt</v>
      </c>
      <c r="I74" s="125" t="str" cm="1">
        <f t="array" aca="1" ref="I74" ca="1">IFERROR(IF(IFERROR(INDEX('Bärbara datorer (A)'!$D:$D,I$4-ROW($A$75)+ROW(I70),0),"")="","Ej Valt",INDEX('Bärbara datorer (A)'!$F:$F,I$4-ROW($A$75)+ROW(I70),0)),"")</f>
        <v>Ej Valt</v>
      </c>
      <c r="J74" s="125" t="str" cm="1">
        <f t="array" aca="1" ref="J74" ca="1">IFERROR(IF(IFERROR(INDEX('Bärbara datorer (A)'!$D:$D,J$4-ROW($A$75)+ROW(J70),0),"")="","Ej Valt",INDEX('Bärbara datorer (A)'!$F:$F,J$4-ROW($A$75)+ROW(J70),0)),"")</f>
        <v>Ej Valt</v>
      </c>
      <c r="K74" s="125" t="str" cm="1">
        <f t="array" aca="1" ref="K74" ca="1">IFERROR(IF(IFERROR(INDEX('Bärbara datorer (A)'!$D:$D,K$4-ROW($A$75)+ROW(K70),0),"")="","Ej Valt",INDEX('Bärbara datorer (A)'!$F:$F,K$4-ROW($A$75)+ROW(K70),0)),"")</f>
        <v>Ej Valt</v>
      </c>
    </row>
    <row r="75" spans="1:11" ht="36.75" customHeight="1" outlineLevel="1" x14ac:dyDescent="0.3">
      <c r="A75" s="38" t="s">
        <v>269</v>
      </c>
      <c r="B75" s="125" t="str" cm="1">
        <f t="array" ref="B75">IFERROR(IF(IFERROR(INDEX('Bärbara datorer (A)'!$D:$D,B$4-ROW($A$75)+ROW(B71),0),"")="","Ej Valt",INDEX('Bärbara datorer (A)'!$F:$F,B$4-ROW($A$75)+ROW(B71),0)),"")</f>
        <v>Ej Valt</v>
      </c>
      <c r="C75" s="125" t="str" cm="1">
        <f t="array" aca="1" ref="C75" ca="1">IFERROR(IF(IFERROR(INDEX('Bärbara datorer (A)'!$D:$D,C$4-ROW($A$75)+ROW(C71),0),"")="","Ej Valt",INDEX('Bärbara datorer (A)'!$F:$F,C$4-ROW($A$75)+ROW(C71),0)),"")</f>
        <v>Ej Valt</v>
      </c>
      <c r="D75" s="125" t="str" cm="1">
        <f t="array" aca="1" ref="D75" ca="1">IFERROR(IF(IFERROR(INDEX('Bärbara datorer (A)'!$D:$D,D$4-ROW($A$75)+ROW(D71),0),"")="","Ej Valt",INDEX('Bärbara datorer (A)'!$F:$F,D$4-ROW($A$75)+ROW(D71),0)),"")</f>
        <v>Ej Valt</v>
      </c>
      <c r="E75" s="125" t="str" cm="1">
        <f t="array" aca="1" ref="E75" ca="1">IFERROR(IF(IFERROR(INDEX('Bärbara datorer (A)'!$D:$D,E$4-ROW($A$75)+ROW(E71),0),"")="","Ej Valt",INDEX('Bärbara datorer (A)'!$F:$F,E$4-ROW($A$75)+ROW(E71),0)),"")</f>
        <v>Ej Valt</v>
      </c>
      <c r="F75" s="125" t="str" cm="1">
        <f t="array" aca="1" ref="F75" ca="1">IFERROR(IF(IFERROR(INDEX('Bärbara datorer (A)'!$D:$D,F$4-ROW($A$75)+ROW(F71),0),"")="","Ej Valt",INDEX('Bärbara datorer (A)'!$F:$F,F$4-ROW($A$75)+ROW(F71),0)),"")</f>
        <v>Ej Valt</v>
      </c>
      <c r="G75" s="125" t="str" cm="1">
        <f t="array" aca="1" ref="G75" ca="1">IFERROR(IF(IFERROR(INDEX('Bärbara datorer (A)'!$D:$D,G$4-ROW($A$75)+ROW(G71),0),"")="","Ej Valt",INDEX('Bärbara datorer (A)'!$F:$F,G$4-ROW($A$75)+ROW(G71),0)),"")</f>
        <v>Ej Valt</v>
      </c>
      <c r="H75" s="125" t="str" cm="1">
        <f t="array" aca="1" ref="H75" ca="1">IFERROR(IF(IFERROR(INDEX('Bärbara datorer (A)'!$D:$D,H$4-ROW($A$75)+ROW(H71),0),"")="","Ej Valt",INDEX('Bärbara datorer (A)'!$F:$F,H$4-ROW($A$75)+ROW(H71),0)),"")</f>
        <v>Ej Valt</v>
      </c>
      <c r="I75" s="125" t="str" cm="1">
        <f t="array" aca="1" ref="I75" ca="1">IFERROR(IF(IFERROR(INDEX('Bärbara datorer (A)'!$D:$D,I$4-ROW($A$75)+ROW(I71),0),"")="","Ej Valt",INDEX('Bärbara datorer (A)'!$F:$F,I$4-ROW($A$75)+ROW(I71),0)),"")</f>
        <v>Ej Valt</v>
      </c>
      <c r="J75" s="125" t="str" cm="1">
        <f t="array" aca="1" ref="J75" ca="1">IFERROR(IF(IFERROR(INDEX('Bärbara datorer (A)'!$D:$D,J$4-ROW($A$75)+ROW(J71),0),"")="","Ej Valt",INDEX('Bärbara datorer (A)'!$F:$F,J$4-ROW($A$75)+ROW(J71),0)),"")</f>
        <v>Ej Valt</v>
      </c>
      <c r="K75" s="125" t="str" cm="1">
        <f t="array" aca="1" ref="K75" ca="1">IFERROR(IF(IFERROR(INDEX('Bärbara datorer (A)'!$D:$D,K$4-ROW($A$75)+ROW(K71),0),"")="","Ej Valt",INDEX('Bärbara datorer (A)'!$F:$F,K$4-ROW($A$75)+ROW(K71),0)),"")</f>
        <v>Ej Valt</v>
      </c>
    </row>
    <row r="76" spans="1:11" ht="18.75" customHeight="1" outlineLevel="1" x14ac:dyDescent="0.3">
      <c r="A76" s="35"/>
      <c r="B76" s="125"/>
      <c r="C76" s="125"/>
      <c r="D76" s="125"/>
      <c r="E76" s="125"/>
      <c r="F76" s="125"/>
      <c r="G76" s="125"/>
      <c r="H76" s="125"/>
      <c r="I76" s="125"/>
      <c r="J76" s="125"/>
      <c r="K76" s="125"/>
    </row>
    <row r="77" spans="1:11" ht="18.75" customHeight="1" outlineLevel="1" x14ac:dyDescent="0.3">
      <c r="A77" s="39" t="s">
        <v>507</v>
      </c>
      <c r="B77" s="125" t="str">
        <f t="shared" ref="B77:K77" si="1">IF(SUM(B57:B75)=0,"",SUM(B57:B75))</f>
        <v/>
      </c>
      <c r="C77" s="125" t="str">
        <f t="shared" ca="1" si="1"/>
        <v/>
      </c>
      <c r="D77" s="125" t="str">
        <f t="shared" ca="1" si="1"/>
        <v/>
      </c>
      <c r="E77" s="125" t="str">
        <f t="shared" ca="1" si="1"/>
        <v/>
      </c>
      <c r="F77" s="125" t="str">
        <f t="shared" ca="1" si="1"/>
        <v/>
      </c>
      <c r="G77" s="125" t="str">
        <f t="shared" ca="1" si="1"/>
        <v/>
      </c>
      <c r="H77" s="125" t="str">
        <f t="shared" ca="1" si="1"/>
        <v/>
      </c>
      <c r="I77" s="125" t="str">
        <f t="shared" ca="1" si="1"/>
        <v/>
      </c>
      <c r="J77" s="125" t="str">
        <f t="shared" ca="1" si="1"/>
        <v/>
      </c>
      <c r="K77" s="125" t="str">
        <f t="shared" ca="1" si="1"/>
        <v/>
      </c>
    </row>
    <row r="78" spans="1:11" ht="18.75" customHeight="1" outlineLevel="1" x14ac:dyDescent="0.3">
      <c r="A78" s="39" t="s">
        <v>121</v>
      </c>
      <c r="B78" s="125" cm="1">
        <f t="array" ref="B78">IFERROR(INDEX('Bärbara datorer (A)'!$D:$D,B4,0),"fel")</f>
        <v>0</v>
      </c>
      <c r="C78" s="125" cm="1">
        <f t="array" aca="1" ref="C78" ca="1">IFERROR(INDEX('Bärbara datorer (A)'!$D:$D,C4,0),"")</f>
        <v>0</v>
      </c>
      <c r="D78" s="125" cm="1">
        <f t="array" aca="1" ref="D78" ca="1">IFERROR(INDEX('Bärbara datorer (A)'!$D:$D,D4,0),"")</f>
        <v>0</v>
      </c>
      <c r="E78" s="125" cm="1">
        <f t="array" aca="1" ref="E78" ca="1">IFERROR(INDEX('Bärbara datorer (A)'!$D:$D,E4,0),"")</f>
        <v>0</v>
      </c>
      <c r="F78" s="125" cm="1">
        <f t="array" aca="1" ref="F78" ca="1">IFERROR(INDEX('Bärbara datorer (A)'!$D:$D,F4,0),"")</f>
        <v>0</v>
      </c>
      <c r="G78" s="125" cm="1">
        <f t="array" aca="1" ref="G78" ca="1">IFERROR(INDEX('Bärbara datorer (A)'!$D:$D,G4,0),"")</f>
        <v>0</v>
      </c>
      <c r="H78" s="125" cm="1">
        <f t="array" aca="1" ref="H78" ca="1">IFERROR(INDEX('Bärbara datorer (A)'!$D:$D,H4,0),"")</f>
        <v>0</v>
      </c>
      <c r="I78" s="125" cm="1">
        <f t="array" aca="1" ref="I78" ca="1">IFERROR(INDEX('Bärbara datorer (A)'!$D:$D,I4,0),"")</f>
        <v>0</v>
      </c>
      <c r="J78" s="125" cm="1">
        <f t="array" aca="1" ref="J78" ca="1">IFERROR(INDEX('Bärbara datorer (A)'!$D:$D,J4,0),"")</f>
        <v>0</v>
      </c>
      <c r="K78" s="125" cm="1">
        <f t="array" aca="1" ref="K78" ca="1">IFERROR(INDEX('Bärbara datorer (A)'!$D:$D,K4,0),"")</f>
        <v>0</v>
      </c>
    </row>
    <row r="79" spans="1:11" ht="18.75" customHeight="1" outlineLevel="1" x14ac:dyDescent="0.3">
      <c r="A79" s="39" t="s">
        <v>277</v>
      </c>
      <c r="B79" s="125" t="str">
        <f t="shared" ref="B79" si="2">IFERROR(B77*B78,"")</f>
        <v/>
      </c>
      <c r="C79" s="125" t="str">
        <f t="shared" ref="C79:K79" ca="1" si="3">IFERROR(C77*C78,"")</f>
        <v/>
      </c>
      <c r="D79" s="125" t="str">
        <f t="shared" ca="1" si="3"/>
        <v/>
      </c>
      <c r="E79" s="125" t="str">
        <f t="shared" ca="1" si="3"/>
        <v/>
      </c>
      <c r="F79" s="125" t="str">
        <f t="shared" ca="1" si="3"/>
        <v/>
      </c>
      <c r="G79" s="125" t="str">
        <f t="shared" ca="1" si="3"/>
        <v/>
      </c>
      <c r="H79" s="125" t="str">
        <f t="shared" ca="1" si="3"/>
        <v/>
      </c>
      <c r="I79" s="125" t="str">
        <f t="shared" ca="1" si="3"/>
        <v/>
      </c>
      <c r="J79" s="125" t="str">
        <f t="shared" ca="1" si="3"/>
        <v/>
      </c>
      <c r="K79" s="125" t="str">
        <f t="shared" ca="1" si="3"/>
        <v/>
      </c>
    </row>
    <row r="80" spans="1:11" ht="22.5" customHeight="1" x14ac:dyDescent="0.3"/>
    <row r="81" spans="1:11" ht="29.25" hidden="1" customHeight="1" x14ac:dyDescent="0.3">
      <c r="B81" s="28" t="s">
        <v>485</v>
      </c>
      <c r="C81" s="28" t="s">
        <v>486</v>
      </c>
      <c r="D81" s="28" t="s">
        <v>487</v>
      </c>
      <c r="E81" s="28" t="s">
        <v>488</v>
      </c>
      <c r="F81" s="28" t="s">
        <v>489</v>
      </c>
      <c r="G81" s="28" t="s">
        <v>490</v>
      </c>
      <c r="H81" s="28" t="s">
        <v>491</v>
      </c>
      <c r="I81" s="28" t="s">
        <v>492</v>
      </c>
      <c r="J81" s="28" t="s">
        <v>493</v>
      </c>
      <c r="K81" s="28" t="s">
        <v>494</v>
      </c>
    </row>
    <row r="82" spans="1:11" ht="29.25" hidden="1" customHeight="1" x14ac:dyDescent="0.3">
      <c r="B82" s="28" t="s">
        <v>253</v>
      </c>
      <c r="C82" s="28" t="s">
        <v>254</v>
      </c>
      <c r="D82" s="28" t="s">
        <v>255</v>
      </c>
      <c r="E82" s="28" t="s">
        <v>256</v>
      </c>
      <c r="F82" s="28" t="s">
        <v>257</v>
      </c>
      <c r="G82" s="28" t="s">
        <v>258</v>
      </c>
      <c r="H82" s="28" t="s">
        <v>358</v>
      </c>
      <c r="I82" s="28" t="s">
        <v>359</v>
      </c>
      <c r="J82" s="28" t="s">
        <v>360</v>
      </c>
      <c r="K82" s="28" t="s">
        <v>361</v>
      </c>
    </row>
    <row r="83" spans="1:11" ht="29.25" hidden="1" customHeight="1" x14ac:dyDescent="0.3">
      <c r="B83" s="28">
        <f ca="1">IFERROR(MATCH(B82,'Bärbara datorer (B)'!$B:$B,0),"")</f>
        <v>9</v>
      </c>
      <c r="C83" s="28">
        <f ca="1">IFERROR(MATCH(C82,'Bärbara datorer (B)'!$B:$B,0),"")</f>
        <v>51</v>
      </c>
      <c r="D83" s="28">
        <f ca="1">IFERROR(MATCH(D82,'Bärbara datorer (B)'!$B:$B,0),"")</f>
        <v>93</v>
      </c>
      <c r="E83" s="28">
        <f ca="1">IFERROR(MATCH(E82,'Bärbara datorer (B)'!$B:$B,0),"")</f>
        <v>135</v>
      </c>
      <c r="F83" s="28">
        <f ca="1">IFERROR(MATCH(F82,'Bärbara datorer (B)'!$B:$B,0),"")</f>
        <v>178</v>
      </c>
      <c r="G83" s="28">
        <f ca="1">IFERROR(MATCH(G82,'Bärbara datorer (B)'!$B:$B,0),"")</f>
        <v>221</v>
      </c>
      <c r="H83" s="28">
        <f ca="1">IFERROR(MATCH(H82,'Bärbara datorer (B)'!$B:$B,0),"")</f>
        <v>263</v>
      </c>
      <c r="I83" s="28">
        <f ca="1">IFERROR(MATCH(I82,'Bärbara datorer (B)'!$B:$B,0),"")</f>
        <v>306</v>
      </c>
      <c r="J83" s="28">
        <f ca="1">IFERROR(MATCH(J82,'Bärbara datorer (B)'!$B:$B,0),"")</f>
        <v>348</v>
      </c>
      <c r="K83" s="28">
        <f ca="1">IFERROR(MATCH(K82,'Bärbara datorer (B)'!$B:$B,0),"")</f>
        <v>391</v>
      </c>
    </row>
    <row r="84" spans="1:11" ht="29.25" hidden="1" customHeight="1" x14ac:dyDescent="0.3">
      <c r="B84" s="28">
        <f ca="1">IFERROR(36+B83,"")</f>
        <v>45</v>
      </c>
      <c r="C84" s="28">
        <f t="shared" ref="C84:K84" ca="1" si="4">IFERROR(36+C83,"")</f>
        <v>87</v>
      </c>
      <c r="D84" s="28">
        <f t="shared" ca="1" si="4"/>
        <v>129</v>
      </c>
      <c r="E84" s="28">
        <f t="shared" ca="1" si="4"/>
        <v>171</v>
      </c>
      <c r="F84" s="28">
        <f t="shared" ca="1" si="4"/>
        <v>214</v>
      </c>
      <c r="G84" s="28">
        <f t="shared" ca="1" si="4"/>
        <v>257</v>
      </c>
      <c r="H84" s="28">
        <f t="shared" ca="1" si="4"/>
        <v>299</v>
      </c>
      <c r="I84" s="28">
        <f t="shared" ca="1" si="4"/>
        <v>342</v>
      </c>
      <c r="J84" s="28">
        <f t="shared" ca="1" si="4"/>
        <v>384</v>
      </c>
      <c r="K84" s="28">
        <f t="shared" ca="1" si="4"/>
        <v>427</v>
      </c>
    </row>
    <row r="85" spans="1:11" ht="29.25" hidden="1" customHeight="1" x14ac:dyDescent="0.3">
      <c r="B85" s="28" t="str" cm="1">
        <f t="array" aca="1" ref="B85" ca="1">IFERROR(IF(B141=0,"",INDEX('Bärbara datorer (B)'!$F:$F,B83-2,0)),"")</f>
        <v/>
      </c>
      <c r="C85" s="28" t="str" cm="1">
        <f t="array" aca="1" ref="C85" ca="1">IFERROR(IF(C141=0,"",INDEX('Bärbara datorer (B)'!$F:$F,C83-2,0)),"")</f>
        <v/>
      </c>
      <c r="D85" s="28" t="str" cm="1">
        <f t="array" aca="1" ref="D85" ca="1">IFERROR(IF(D141=0,"",INDEX('Bärbara datorer (B)'!$F:$F,D83-2,0)),"")</f>
        <v/>
      </c>
      <c r="E85" s="28" t="str" cm="1">
        <f t="array" aca="1" ref="E85" ca="1">IFERROR(IF(E141=0,"",INDEX('Bärbara datorer (B)'!$F:$F,E83-2,0)),"")</f>
        <v/>
      </c>
      <c r="F85" s="28" t="str" cm="1">
        <f t="array" aca="1" ref="F85" ca="1">IFERROR(IF(F141=0,"",INDEX('Bärbara datorer (B)'!$F:$F,F83-2,0)),"")</f>
        <v/>
      </c>
      <c r="G85" s="28" t="str" cm="1">
        <f t="array" aca="1" ref="G85" ca="1">IFERROR(IF(G141=0,"",INDEX('Bärbara datorer (B)'!$F:$F,G83-2,0)),"")</f>
        <v/>
      </c>
      <c r="H85" s="28" t="str" cm="1">
        <f t="array" aca="1" ref="H85" ca="1">IFERROR(IF(H141=0,"",INDEX('Bärbara datorer (B)'!$F:$F,H83-2,0)),"")</f>
        <v/>
      </c>
      <c r="I85" s="28" t="str" cm="1">
        <f t="array" aca="1" ref="I85" ca="1">IFERROR(IF(I141=0,"",INDEX('Bärbara datorer (B)'!$F:$F,I83-2,0)),"")</f>
        <v/>
      </c>
      <c r="J85" s="28" t="str" cm="1">
        <f t="array" aca="1" ref="J85" ca="1">IFERROR(IF(J141=0,"",INDEX('Bärbara datorer (B)'!$F:$F,J83-2,0)),"")</f>
        <v/>
      </c>
      <c r="K85" s="28" t="str" cm="1">
        <f t="array" aca="1" ref="K85" ca="1">IFERROR(IF(K141=0,"",INDEX('Bärbara datorer (B)'!$F:$F,K83-2,0)),"")</f>
        <v/>
      </c>
    </row>
    <row r="86" spans="1:11" ht="29.25" hidden="1" customHeight="1" x14ac:dyDescent="0.3"/>
    <row r="87" spans="1:11" ht="22.5" customHeight="1" x14ac:dyDescent="0.3"/>
    <row r="88" spans="1:11" ht="18.75" customHeight="1" x14ac:dyDescent="0.3">
      <c r="A88" s="31" t="s">
        <v>458</v>
      </c>
      <c r="B88" s="28" t="str">
        <f ca="1">"Antal varianter : "&amp; 10 - COUNTBLANK(B90:K90)</f>
        <v>Antal varianter : 0</v>
      </c>
      <c r="C88" s="28" t="str">
        <f ca="1">"Antal: "&amp;SUM(B141:K141)</f>
        <v>Antal: 0</v>
      </c>
    </row>
    <row r="89" spans="1:11" ht="18.75" customHeight="1" outlineLevel="1" x14ac:dyDescent="0.3">
      <c r="A89" s="111"/>
    </row>
    <row r="90" spans="1:11" ht="18.75" customHeight="1" outlineLevel="1" x14ac:dyDescent="0.3">
      <c r="A90" s="40" t="s">
        <v>107</v>
      </c>
      <c r="B90" s="122" t="str">
        <f ca="1">IFERROR(IF(""=INDEX(Databas!$A$10:$BK$188,MATCH(Sammanfattning!B$85,Databas!$BH$10:$BH$188,0),MATCH($A90,Databas!$A$10:$BK$10,0)),"",B81),"")</f>
        <v/>
      </c>
      <c r="C90" s="122" t="str">
        <f ca="1">IFERROR(IF(""=INDEX(Databas!$A$10:$BK$188,MATCH(Sammanfattning!C$85,Databas!$BH$10:$BH$188,0),MATCH($A90,Databas!$A$10:$BK$10,0)),"",C81),"")</f>
        <v/>
      </c>
      <c r="D90" s="122" t="str">
        <f ca="1">IFERROR(IF(""=INDEX(Databas!$A$10:$BK$188,MATCH(Sammanfattning!D$85,Databas!$BH$10:$BH$188,0),MATCH($A90,Databas!$A$10:$BK$10,0)),"",D81),"")</f>
        <v/>
      </c>
      <c r="E90" s="122" t="str">
        <f ca="1">IFERROR(IF(""=INDEX(Databas!$A$10:$BK$188,MATCH(Sammanfattning!E$85,Databas!$BH$10:$BH$188,0),MATCH($A90,Databas!$A$10:$BK$10,0)),"",E81),"")</f>
        <v/>
      </c>
      <c r="F90" s="122" t="str">
        <f ca="1">IFERROR(IF(""=INDEX(Databas!$A$10:$BK$188,MATCH(Sammanfattning!F$85,Databas!$BH$10:$BH$188,0),MATCH($A90,Databas!$A$10:$BK$10,0)),"",F81),"")</f>
        <v/>
      </c>
      <c r="G90" s="122" t="str">
        <f ca="1">IFERROR(IF(""=INDEX(Databas!$A$10:$BK$188,MATCH(Sammanfattning!G$85,Databas!$BH$10:$BH$188,0),MATCH($A90,Databas!$A$10:$BK$10,0)),"",G81),"")</f>
        <v/>
      </c>
      <c r="H90" s="122" t="str">
        <f ca="1">IFERROR(IF(""=INDEX(Databas!$A$10:$BK$188,MATCH(Sammanfattning!H$85,Databas!$BH$10:$BH$188,0),MATCH($A90,Databas!$A$10:$BK$10,0)),"",H81),"")</f>
        <v/>
      </c>
      <c r="I90" s="122" t="str">
        <f ca="1">IFERROR(IF(""=INDEX(Databas!$A$10:$BK$188,MATCH(Sammanfattning!I$85,Databas!$BH$10:$BH$188,0),MATCH($A90,Databas!$A$10:$BK$10,0)),"",I81),"")</f>
        <v/>
      </c>
      <c r="J90" s="122" t="str">
        <f ca="1">IFERROR(IF(""=INDEX(Databas!$A$10:$BK$188,MATCH(Sammanfattning!J$85,Databas!$BH$10:$BH$188,0),MATCH($A90,Databas!$A$10:$BK$10,0)),"",J81),"")</f>
        <v/>
      </c>
      <c r="K90" s="122" t="str">
        <f ca="1">IFERROR(IF(""=INDEX(Databas!$A$10:$BK$188,MATCH(Sammanfattning!K$85,Databas!$BH$10:$BH$188,0),MATCH($A90,Databas!$A$10:$BK$10,0)),"",K81),"")</f>
        <v/>
      </c>
    </row>
    <row r="91" spans="1:11" ht="18.75" customHeight="1" outlineLevel="1" x14ac:dyDescent="0.3">
      <c r="A91" s="33" t="s">
        <v>6</v>
      </c>
      <c r="B91" s="123" t="str">
        <f ca="1">IFERROR(INDEX(Databas!$A$10:$BK$188,MATCH(Sammanfattning!B$85,Databas!$BH$10:$BH$188,0),MATCH($A91,Databas!$A$10:$BK$10,0)),"")</f>
        <v/>
      </c>
      <c r="C91" s="123" t="str">
        <f ca="1">IFERROR(INDEX(Databas!$A$10:$BK$188,MATCH(Sammanfattning!C$85,Databas!$BH$10:$BH$188,0),MATCH($A91,Databas!$A$10:$BK$10,0)),"")</f>
        <v/>
      </c>
      <c r="D91" s="123" t="str">
        <f ca="1">IFERROR(INDEX(Databas!$A$10:$BK$188,MATCH(Sammanfattning!D$85,Databas!$BH$10:$BH$188,0),MATCH($A91,Databas!$A$10:$BK$10,0)),"")</f>
        <v/>
      </c>
      <c r="E91" s="123" t="str">
        <f ca="1">IFERROR(INDEX(Databas!$A$10:$BK$188,MATCH(Sammanfattning!E$85,Databas!$BH$10:$BH$188,0),MATCH($A91,Databas!$A$10:$BK$10,0)),"")</f>
        <v/>
      </c>
      <c r="F91" s="123" t="str">
        <f ca="1">IFERROR(INDEX(Databas!$A$10:$BK$188,MATCH(Sammanfattning!F$85,Databas!$BH$10:$BH$188,0),MATCH($A91,Databas!$A$10:$BK$10,0)),"")</f>
        <v/>
      </c>
      <c r="G91" s="123" t="str">
        <f ca="1">IFERROR(INDEX(Databas!$A$10:$BK$188,MATCH(Sammanfattning!G$85,Databas!$BH$10:$BH$188,0),MATCH($A91,Databas!$A$10:$BK$10,0)),"")</f>
        <v/>
      </c>
      <c r="H91" s="123" t="str">
        <f ca="1">IFERROR(INDEX(Databas!$A$10:$BK$188,MATCH(Sammanfattning!H$85,Databas!$BH$10:$BH$188,0),MATCH($A91,Databas!$A$10:$BK$10,0)),"")</f>
        <v/>
      </c>
      <c r="I91" s="123" t="str">
        <f ca="1">IFERROR(INDEX(Databas!$A$10:$BK$188,MATCH(Sammanfattning!I$85,Databas!$BH$10:$BH$188,0),MATCH($A91,Databas!$A$10:$BK$10,0)),"")</f>
        <v/>
      </c>
      <c r="J91" s="123" t="str">
        <f ca="1">IFERROR(INDEX(Databas!$A$10:$BK$188,MATCH(Sammanfattning!J$85,Databas!$BH$10:$BH$188,0),MATCH($A91,Databas!$A$10:$BK$10,0)),"")</f>
        <v/>
      </c>
      <c r="K91" s="123" t="str">
        <f ca="1">IFERROR(INDEX(Databas!$A$10:$BK$188,MATCH(Sammanfattning!K$85,Databas!$BH$10:$BH$188,0),MATCH($A91,Databas!$A$10:$BK$10,0)),"")</f>
        <v/>
      </c>
    </row>
    <row r="92" spans="1:11" ht="18.75" customHeight="1" outlineLevel="1" x14ac:dyDescent="0.3">
      <c r="A92" s="33" t="s">
        <v>51</v>
      </c>
      <c r="B92" s="123" t="str">
        <f ca="1">IFERROR(INDEX(Databas!$A$10:$BK$188,MATCH(Sammanfattning!B$85,Databas!$BH$10:$BH$188,0),MATCH($A92,Databas!$A$10:$BK$10,0)),"")</f>
        <v/>
      </c>
      <c r="C92" s="123" t="str">
        <f ca="1">IFERROR(INDEX(Databas!$A$10:$BK$188,MATCH(Sammanfattning!C$85,Databas!$BH$10:$BH$188,0),MATCH($A92,Databas!$A$10:$BK$10,0)),"")</f>
        <v/>
      </c>
      <c r="D92" s="123" t="str">
        <f ca="1">IFERROR(INDEX(Databas!$A$10:$BK$188,MATCH(Sammanfattning!D$85,Databas!$BH$10:$BH$188,0),MATCH($A92,Databas!$A$10:$BK$10,0)),"")</f>
        <v/>
      </c>
      <c r="E92" s="123" t="str">
        <f ca="1">IFERROR(INDEX(Databas!$A$10:$BK$188,MATCH(Sammanfattning!E$85,Databas!$BH$10:$BH$188,0),MATCH($A92,Databas!$A$10:$BK$10,0)),"")</f>
        <v/>
      </c>
      <c r="F92" s="123" t="str">
        <f ca="1">IFERROR(INDEX(Databas!$A$10:$BK$188,MATCH(Sammanfattning!F$85,Databas!$BH$10:$BH$188,0),MATCH($A92,Databas!$A$10:$BK$10,0)),"")</f>
        <v/>
      </c>
      <c r="G92" s="123" t="str">
        <f ca="1">IFERROR(INDEX(Databas!$A$10:$BK$188,MATCH(Sammanfattning!G$85,Databas!$BH$10:$BH$188,0),MATCH($A92,Databas!$A$10:$BK$10,0)),"")</f>
        <v/>
      </c>
      <c r="H92" s="123" t="str">
        <f ca="1">IFERROR(INDEX(Databas!$A$10:$BK$188,MATCH(Sammanfattning!H$85,Databas!$BH$10:$BH$188,0),MATCH($A92,Databas!$A$10:$BK$10,0)),"")</f>
        <v/>
      </c>
      <c r="I92" s="123" t="str">
        <f ca="1">IFERROR(INDEX(Databas!$A$10:$BK$188,MATCH(Sammanfattning!I$85,Databas!$BH$10:$BH$188,0),MATCH($A92,Databas!$A$10:$BK$10,0)),"")</f>
        <v/>
      </c>
      <c r="J92" s="123" t="str">
        <f ca="1">IFERROR(INDEX(Databas!$A$10:$BK$188,MATCH(Sammanfattning!J$85,Databas!$BH$10:$BH$188,0),MATCH($A92,Databas!$A$10:$BK$10,0)),"")</f>
        <v/>
      </c>
      <c r="K92" s="123" t="str">
        <f ca="1">IFERROR(INDEX(Databas!$A$10:$BK$188,MATCH(Sammanfattning!K$85,Databas!$BH$10:$BH$188,0),MATCH($A92,Databas!$A$10:$BK$10,0)),"")</f>
        <v/>
      </c>
    </row>
    <row r="93" spans="1:11" ht="18.75" customHeight="1" outlineLevel="1" x14ac:dyDescent="0.3">
      <c r="A93" s="33" t="s">
        <v>52</v>
      </c>
      <c r="B93" s="123" t="str">
        <f ca="1">IFERROR(INDEX(Databas!$A$10:$BK$188,MATCH(Sammanfattning!B$85,Databas!$BH$10:$BH$188,0),MATCH($A93,Databas!$A$10:$BK$10,0)),"")</f>
        <v/>
      </c>
      <c r="C93" s="123" t="str">
        <f ca="1">IFERROR(INDEX(Databas!$A$10:$BK$188,MATCH(Sammanfattning!C$85,Databas!$BH$10:$BH$188,0),MATCH($A93,Databas!$A$10:$BK$10,0)),"")</f>
        <v/>
      </c>
      <c r="D93" s="123" t="str">
        <f ca="1">IFERROR(INDEX(Databas!$A$10:$BK$188,MATCH(Sammanfattning!D$85,Databas!$BH$10:$BH$188,0),MATCH($A93,Databas!$A$10:$BK$10,0)),"")</f>
        <v/>
      </c>
      <c r="E93" s="123" t="str">
        <f ca="1">IFERROR(INDEX(Databas!$A$10:$BK$188,MATCH(Sammanfattning!E$85,Databas!$BH$10:$BH$188,0),MATCH($A93,Databas!$A$10:$BK$10,0)),"")</f>
        <v/>
      </c>
      <c r="F93" s="123" t="str">
        <f ca="1">IFERROR(INDEX(Databas!$A$10:$BK$188,MATCH(Sammanfattning!F$85,Databas!$BH$10:$BH$188,0),MATCH($A93,Databas!$A$10:$BK$10,0)),"")</f>
        <v/>
      </c>
      <c r="G93" s="123" t="str">
        <f ca="1">IFERROR(INDEX(Databas!$A$10:$BK$188,MATCH(Sammanfattning!G$85,Databas!$BH$10:$BH$188,0),MATCH($A93,Databas!$A$10:$BK$10,0)),"")</f>
        <v/>
      </c>
      <c r="H93" s="123" t="str">
        <f ca="1">IFERROR(INDEX(Databas!$A$10:$BK$188,MATCH(Sammanfattning!H$85,Databas!$BH$10:$BH$188,0),MATCH($A93,Databas!$A$10:$BK$10,0)),"")</f>
        <v/>
      </c>
      <c r="I93" s="123" t="str">
        <f ca="1">IFERROR(INDEX(Databas!$A$10:$BK$188,MATCH(Sammanfattning!I$85,Databas!$BH$10:$BH$188,0),MATCH($A93,Databas!$A$10:$BK$10,0)),"")</f>
        <v/>
      </c>
      <c r="J93" s="123" t="str">
        <f ca="1">IFERROR(INDEX(Databas!$A$10:$BK$188,MATCH(Sammanfattning!J$85,Databas!$BH$10:$BH$188,0),MATCH($A93,Databas!$A$10:$BK$10,0)),"")</f>
        <v/>
      </c>
      <c r="K93" s="123" t="str">
        <f ca="1">IFERROR(INDEX(Databas!$A$10:$BK$188,MATCH(Sammanfattning!K$85,Databas!$BH$10:$BH$188,0),MATCH($A93,Databas!$A$10:$BK$10,0)),"")</f>
        <v/>
      </c>
    </row>
    <row r="94" spans="1:11" ht="18.75" customHeight="1" outlineLevel="1" x14ac:dyDescent="0.3">
      <c r="A94" s="33" t="s">
        <v>11</v>
      </c>
      <c r="B94" s="123" t="str">
        <f ca="1">IFERROR(INDEX(Databas!$A$10:$BK$188,MATCH(Sammanfattning!B$85,Databas!$BH$10:$BH$188,0),MATCH($A94,Databas!$A$10:$BK$10,0)),"")</f>
        <v/>
      </c>
      <c r="C94" s="123" t="str">
        <f ca="1">IFERROR(INDEX(Databas!$A$10:$BK$188,MATCH(Sammanfattning!C$85,Databas!$BH$10:$BH$188,0),MATCH($A94,Databas!$A$10:$BK$10,0)),"")</f>
        <v/>
      </c>
      <c r="D94" s="123" t="str">
        <f ca="1">IFERROR(INDEX(Databas!$A$10:$BK$188,MATCH(Sammanfattning!D$85,Databas!$BH$10:$BH$188,0),MATCH($A94,Databas!$A$10:$BK$10,0)),"")</f>
        <v/>
      </c>
      <c r="E94" s="123" t="str">
        <f ca="1">IFERROR(INDEX(Databas!$A$10:$BK$188,MATCH(Sammanfattning!E$85,Databas!$BH$10:$BH$188,0),MATCH($A94,Databas!$A$10:$BK$10,0)),"")</f>
        <v/>
      </c>
      <c r="F94" s="123" t="str">
        <f ca="1">IFERROR(INDEX(Databas!$A$10:$BK$188,MATCH(Sammanfattning!F$85,Databas!$BH$10:$BH$188,0),MATCH($A94,Databas!$A$10:$BK$10,0)),"")</f>
        <v/>
      </c>
      <c r="G94" s="123" t="str">
        <f ca="1">IFERROR(INDEX(Databas!$A$10:$BK$188,MATCH(Sammanfattning!G$85,Databas!$BH$10:$BH$188,0),MATCH($A94,Databas!$A$10:$BK$10,0)),"")</f>
        <v/>
      </c>
      <c r="H94" s="123" t="str">
        <f ca="1">IFERROR(INDEX(Databas!$A$10:$BK$188,MATCH(Sammanfattning!H$85,Databas!$BH$10:$BH$188,0),MATCH($A94,Databas!$A$10:$BK$10,0)),"")</f>
        <v/>
      </c>
      <c r="I94" s="123" t="str">
        <f ca="1">IFERROR(INDEX(Databas!$A$10:$BK$188,MATCH(Sammanfattning!I$85,Databas!$BH$10:$BH$188,0),MATCH($A94,Databas!$A$10:$BK$10,0)),"")</f>
        <v/>
      </c>
      <c r="J94" s="123" t="str">
        <f ca="1">IFERROR(INDEX(Databas!$A$10:$BK$188,MATCH(Sammanfattning!J$85,Databas!$BH$10:$BH$188,0),MATCH($A94,Databas!$A$10:$BK$10,0)),"")</f>
        <v/>
      </c>
      <c r="K94" s="123" t="str">
        <f ca="1">IFERROR(INDEX(Databas!$A$10:$BK$188,MATCH(Sammanfattning!K$85,Databas!$BH$10:$BH$188,0),MATCH($A94,Databas!$A$10:$BK$10,0)),"")</f>
        <v/>
      </c>
    </row>
    <row r="95" spans="1:11" ht="18.75" customHeight="1" outlineLevel="1" x14ac:dyDescent="0.3">
      <c r="A95" s="33" t="s">
        <v>0</v>
      </c>
      <c r="B95" s="123" t="str">
        <f ca="1">IFERROR(INDEX(Databas!$A$10:$BK$188,MATCH(Sammanfattning!B$85,Databas!$BH$10:$BH$188,0),MATCH($A95,Databas!$A$10:$BK$10,0)),"")</f>
        <v/>
      </c>
      <c r="C95" s="123" t="str">
        <f ca="1">IFERROR(INDEX(Databas!$A$10:$BK$188,MATCH(Sammanfattning!C$85,Databas!$BH$10:$BH$188,0),MATCH($A95,Databas!$A$10:$BK$10,0)),"")</f>
        <v/>
      </c>
      <c r="D95" s="123" t="str">
        <f ca="1">IFERROR(INDEX(Databas!$A$10:$BK$188,MATCH(Sammanfattning!D$85,Databas!$BH$10:$BH$188,0),MATCH($A95,Databas!$A$10:$BK$10,0)),"")</f>
        <v/>
      </c>
      <c r="E95" s="123" t="str">
        <f ca="1">IFERROR(INDEX(Databas!$A$10:$BK$188,MATCH(Sammanfattning!E$85,Databas!$BH$10:$BH$188,0),MATCH($A95,Databas!$A$10:$BK$10,0)),"")</f>
        <v/>
      </c>
      <c r="F95" s="123" t="str">
        <f ca="1">IFERROR(INDEX(Databas!$A$10:$BK$188,MATCH(Sammanfattning!F$85,Databas!$BH$10:$BH$188,0),MATCH($A95,Databas!$A$10:$BK$10,0)),"")</f>
        <v/>
      </c>
      <c r="G95" s="123" t="str">
        <f ca="1">IFERROR(INDEX(Databas!$A$10:$BK$188,MATCH(Sammanfattning!G$85,Databas!$BH$10:$BH$188,0),MATCH($A95,Databas!$A$10:$BK$10,0)),"")</f>
        <v/>
      </c>
      <c r="H95" s="123" t="str">
        <f ca="1">IFERROR(INDEX(Databas!$A$10:$BK$188,MATCH(Sammanfattning!H$85,Databas!$BH$10:$BH$188,0),MATCH($A95,Databas!$A$10:$BK$10,0)),"")</f>
        <v/>
      </c>
      <c r="I95" s="123" t="str">
        <f ca="1">IFERROR(INDEX(Databas!$A$10:$BK$188,MATCH(Sammanfattning!I$85,Databas!$BH$10:$BH$188,0),MATCH($A95,Databas!$A$10:$BK$10,0)),"")</f>
        <v/>
      </c>
      <c r="J95" s="123" t="str">
        <f ca="1">IFERROR(INDEX(Databas!$A$10:$BK$188,MATCH(Sammanfattning!J$85,Databas!$BH$10:$BH$188,0),MATCH($A95,Databas!$A$10:$BK$10,0)),"")</f>
        <v/>
      </c>
      <c r="K95" s="123" t="str">
        <f ca="1">IFERROR(INDEX(Databas!$A$10:$BK$188,MATCH(Sammanfattning!K$85,Databas!$BH$10:$BH$188,0),MATCH($A95,Databas!$A$10:$BK$10,0)),"")</f>
        <v/>
      </c>
    </row>
    <row r="96" spans="1:11" ht="18.75" customHeight="1" outlineLevel="1" x14ac:dyDescent="0.3">
      <c r="A96" s="34" t="s">
        <v>7</v>
      </c>
      <c r="B96" s="123" t="str">
        <f ca="1">IFERROR(INDEX(Databas!$A$10:$BK$188,MATCH(Sammanfattning!B$85,Databas!$BH$10:$BH$188,0),MATCH($A96,Databas!$A$10:$BK$10,0)),"")</f>
        <v/>
      </c>
      <c r="C96" s="123" t="str">
        <f ca="1">IFERROR(INDEX(Databas!$A$10:$BK$188,MATCH(Sammanfattning!C$85,Databas!$BH$10:$BH$188,0),MATCH($A96,Databas!$A$10:$BK$10,0)),"")</f>
        <v/>
      </c>
      <c r="D96" s="123" t="str">
        <f ca="1">IFERROR(INDEX(Databas!$A$10:$BK$188,MATCH(Sammanfattning!D$85,Databas!$BH$10:$BH$188,0),MATCH($A96,Databas!$A$10:$BK$10,0)),"")</f>
        <v/>
      </c>
      <c r="E96" s="123" t="str">
        <f ca="1">IFERROR(INDEX(Databas!$A$10:$BK$188,MATCH(Sammanfattning!E$85,Databas!$BH$10:$BH$188,0),MATCH($A96,Databas!$A$10:$BK$10,0)),"")</f>
        <v/>
      </c>
      <c r="F96" s="123" t="str">
        <f ca="1">IFERROR(INDEX(Databas!$A$10:$BK$188,MATCH(Sammanfattning!F$85,Databas!$BH$10:$BH$188,0),MATCH($A96,Databas!$A$10:$BK$10,0)),"")</f>
        <v/>
      </c>
      <c r="G96" s="123" t="str">
        <f ca="1">IFERROR(INDEX(Databas!$A$10:$BK$188,MATCH(Sammanfattning!G$85,Databas!$BH$10:$BH$188,0),MATCH($A96,Databas!$A$10:$BK$10,0)),"")</f>
        <v/>
      </c>
      <c r="H96" s="123" t="str">
        <f ca="1">IFERROR(INDEX(Databas!$A$10:$BK$188,MATCH(Sammanfattning!H$85,Databas!$BH$10:$BH$188,0),MATCH($A96,Databas!$A$10:$BK$10,0)),"")</f>
        <v/>
      </c>
      <c r="I96" s="123" t="str">
        <f ca="1">IFERROR(INDEX(Databas!$A$10:$BK$188,MATCH(Sammanfattning!I$85,Databas!$BH$10:$BH$188,0),MATCH($A96,Databas!$A$10:$BK$10,0)),"")</f>
        <v/>
      </c>
      <c r="J96" s="123" t="str">
        <f ca="1">IFERROR(INDEX(Databas!$A$10:$BK$188,MATCH(Sammanfattning!J$85,Databas!$BH$10:$BH$188,0),MATCH($A96,Databas!$A$10:$BK$10,0)),"")</f>
        <v/>
      </c>
      <c r="K96" s="123" t="str">
        <f ca="1">IFERROR(INDEX(Databas!$A$10:$BK$188,MATCH(Sammanfattning!K$85,Databas!$BH$10:$BH$188,0),MATCH($A96,Databas!$A$10:$BK$10,0)),"")</f>
        <v/>
      </c>
    </row>
    <row r="97" spans="1:11" ht="18.75" customHeight="1" outlineLevel="1" x14ac:dyDescent="0.3">
      <c r="A97" s="33" t="s">
        <v>2</v>
      </c>
      <c r="B97" s="123" t="str">
        <f ca="1">IFERROR(INDEX(Databas!$A$10:$BK$188,MATCH(Sammanfattning!B$85,Databas!$BH$10:$BH$188,0),MATCH($A97,Databas!$A$10:$BK$10,0)),"")</f>
        <v/>
      </c>
      <c r="C97" s="123" t="str">
        <f ca="1">IFERROR(INDEX(Databas!$A$10:$BK$188,MATCH(Sammanfattning!C$85,Databas!$BH$10:$BH$188,0),MATCH($A97,Databas!$A$10:$BK$10,0)),"")</f>
        <v/>
      </c>
      <c r="D97" s="123" t="str">
        <f ca="1">IFERROR(INDEX(Databas!$A$10:$BK$188,MATCH(Sammanfattning!D$85,Databas!$BH$10:$BH$188,0),MATCH($A97,Databas!$A$10:$BK$10,0)),"")</f>
        <v/>
      </c>
      <c r="E97" s="123" t="str">
        <f ca="1">IFERROR(INDEX(Databas!$A$10:$BK$188,MATCH(Sammanfattning!E$85,Databas!$BH$10:$BH$188,0),MATCH($A97,Databas!$A$10:$BK$10,0)),"")</f>
        <v/>
      </c>
      <c r="F97" s="123" t="str">
        <f ca="1">IFERROR(INDEX(Databas!$A$10:$BK$188,MATCH(Sammanfattning!F$85,Databas!$BH$10:$BH$188,0),MATCH($A97,Databas!$A$10:$BK$10,0)),"")</f>
        <v/>
      </c>
      <c r="G97" s="123" t="str">
        <f ca="1">IFERROR(INDEX(Databas!$A$10:$BK$188,MATCH(Sammanfattning!G$85,Databas!$BH$10:$BH$188,0),MATCH($A97,Databas!$A$10:$BK$10,0)),"")</f>
        <v/>
      </c>
      <c r="H97" s="123" t="str">
        <f ca="1">IFERROR(INDEX(Databas!$A$10:$BK$188,MATCH(Sammanfattning!H$85,Databas!$BH$10:$BH$188,0),MATCH($A97,Databas!$A$10:$BK$10,0)),"")</f>
        <v/>
      </c>
      <c r="I97" s="123" t="str">
        <f ca="1">IFERROR(INDEX(Databas!$A$10:$BK$188,MATCH(Sammanfattning!I$85,Databas!$BH$10:$BH$188,0),MATCH($A97,Databas!$A$10:$BK$10,0)),"")</f>
        <v/>
      </c>
      <c r="J97" s="123" t="str">
        <f ca="1">IFERROR(INDEX(Databas!$A$10:$BK$188,MATCH(Sammanfattning!J$85,Databas!$BH$10:$BH$188,0),MATCH($A97,Databas!$A$10:$BK$10,0)),"")</f>
        <v/>
      </c>
      <c r="K97" s="123" t="str">
        <f ca="1">IFERROR(INDEX(Databas!$A$10:$BK$188,MATCH(Sammanfattning!K$85,Databas!$BH$10:$BH$188,0),MATCH($A97,Databas!$A$10:$BK$10,0)),"")</f>
        <v/>
      </c>
    </row>
    <row r="98" spans="1:11" ht="18.75" customHeight="1" outlineLevel="1" x14ac:dyDescent="0.3">
      <c r="A98" s="33" t="s">
        <v>4</v>
      </c>
      <c r="B98" s="123" t="str">
        <f ca="1">IFERROR(INDEX(Databas!$A$10:$BK$188,MATCH(Sammanfattning!B$85,Databas!$BH$10:$BH$188,0),MATCH($A98,Databas!$A$10:$BK$10,0)),"")</f>
        <v/>
      </c>
      <c r="C98" s="123" t="str">
        <f ca="1">IFERROR(INDEX(Databas!$A$10:$BK$188,MATCH(Sammanfattning!C$85,Databas!$BH$10:$BH$188,0),MATCH($A98,Databas!$A$10:$BK$10,0)),"")</f>
        <v/>
      </c>
      <c r="D98" s="123" t="str">
        <f ca="1">IFERROR(INDEX(Databas!$A$10:$BK$188,MATCH(Sammanfattning!D$85,Databas!$BH$10:$BH$188,0),MATCH($A98,Databas!$A$10:$BK$10,0)),"")</f>
        <v/>
      </c>
      <c r="E98" s="123" t="str">
        <f ca="1">IFERROR(INDEX(Databas!$A$10:$BK$188,MATCH(Sammanfattning!E$85,Databas!$BH$10:$BH$188,0),MATCH($A98,Databas!$A$10:$BK$10,0)),"")</f>
        <v/>
      </c>
      <c r="F98" s="123" t="str">
        <f ca="1">IFERROR(INDEX(Databas!$A$10:$BK$188,MATCH(Sammanfattning!F$85,Databas!$BH$10:$BH$188,0),MATCH($A98,Databas!$A$10:$BK$10,0)),"")</f>
        <v/>
      </c>
      <c r="G98" s="123" t="str">
        <f ca="1">IFERROR(INDEX(Databas!$A$10:$BK$188,MATCH(Sammanfattning!G$85,Databas!$BH$10:$BH$188,0),MATCH($A98,Databas!$A$10:$BK$10,0)),"")</f>
        <v/>
      </c>
      <c r="H98" s="123" t="str">
        <f ca="1">IFERROR(INDEX(Databas!$A$10:$BK$188,MATCH(Sammanfattning!H$85,Databas!$BH$10:$BH$188,0),MATCH($A98,Databas!$A$10:$BK$10,0)),"")</f>
        <v/>
      </c>
      <c r="I98" s="123" t="str">
        <f ca="1">IFERROR(INDEX(Databas!$A$10:$BK$188,MATCH(Sammanfattning!I$85,Databas!$BH$10:$BH$188,0),MATCH($A98,Databas!$A$10:$BK$10,0)),"")</f>
        <v/>
      </c>
      <c r="J98" s="123" t="str">
        <f ca="1">IFERROR(INDEX(Databas!$A$10:$BK$188,MATCH(Sammanfattning!J$85,Databas!$BH$10:$BH$188,0),MATCH($A98,Databas!$A$10:$BK$10,0)),"")</f>
        <v/>
      </c>
      <c r="K98" s="123" t="str">
        <f ca="1">IFERROR(INDEX(Databas!$A$10:$BK$188,MATCH(Sammanfattning!K$85,Databas!$BH$10:$BH$188,0),MATCH($A98,Databas!$A$10:$BK$10,0)),"")</f>
        <v/>
      </c>
    </row>
    <row r="99" spans="1:11" ht="18.75" customHeight="1" outlineLevel="1" x14ac:dyDescent="0.3">
      <c r="A99" s="33" t="s">
        <v>119</v>
      </c>
      <c r="B99" s="123" t="str">
        <f ca="1">IFERROR(INDEX(Databas!$A$10:$BK$188,MATCH(Sammanfattning!B$85,Databas!$BH$10:$BH$188,0),MATCH($A99,Databas!$A$10:$BK$10,0)),"")</f>
        <v/>
      </c>
      <c r="C99" s="123" t="str">
        <f ca="1">IFERROR(INDEX(Databas!$A$10:$BK$188,MATCH(Sammanfattning!C$85,Databas!$BH$10:$BH$188,0),MATCH($A99,Databas!$A$10:$BK$10,0)),"")</f>
        <v/>
      </c>
      <c r="D99" s="123" t="str">
        <f ca="1">IFERROR(INDEX(Databas!$A$10:$BK$188,MATCH(Sammanfattning!D$85,Databas!$BH$10:$BH$188,0),MATCH($A99,Databas!$A$10:$BK$10,0)),"")</f>
        <v/>
      </c>
      <c r="E99" s="123" t="str">
        <f ca="1">IFERROR(INDEX(Databas!$A$10:$BK$188,MATCH(Sammanfattning!E$85,Databas!$BH$10:$BH$188,0),MATCH($A99,Databas!$A$10:$BK$10,0)),"")</f>
        <v/>
      </c>
      <c r="F99" s="123" t="str">
        <f ca="1">IFERROR(INDEX(Databas!$A$10:$BK$188,MATCH(Sammanfattning!F$85,Databas!$BH$10:$BH$188,0),MATCH($A99,Databas!$A$10:$BK$10,0)),"")</f>
        <v/>
      </c>
      <c r="G99" s="123" t="str">
        <f ca="1">IFERROR(INDEX(Databas!$A$10:$BK$188,MATCH(Sammanfattning!G$85,Databas!$BH$10:$BH$188,0),MATCH($A99,Databas!$A$10:$BK$10,0)),"")</f>
        <v/>
      </c>
      <c r="H99" s="123" t="str">
        <f ca="1">IFERROR(INDEX(Databas!$A$10:$BK$188,MATCH(Sammanfattning!H$85,Databas!$BH$10:$BH$188,0),MATCH($A99,Databas!$A$10:$BK$10,0)),"")</f>
        <v/>
      </c>
      <c r="I99" s="123" t="str">
        <f ca="1">IFERROR(INDEX(Databas!$A$10:$BK$188,MATCH(Sammanfattning!I$85,Databas!$BH$10:$BH$188,0),MATCH($A99,Databas!$A$10:$BK$10,0)),"")</f>
        <v/>
      </c>
      <c r="J99" s="123" t="str">
        <f ca="1">IFERROR(INDEX(Databas!$A$10:$BK$188,MATCH(Sammanfattning!J$85,Databas!$BH$10:$BH$188,0),MATCH($A99,Databas!$A$10:$BK$10,0)),"")</f>
        <v/>
      </c>
      <c r="K99" s="123" t="str">
        <f ca="1">IFERROR(INDEX(Databas!$A$10:$BK$188,MATCH(Sammanfattning!K$85,Databas!$BH$10:$BH$188,0),MATCH($A99,Databas!$A$10:$BK$10,0)),"")</f>
        <v/>
      </c>
    </row>
    <row r="100" spans="1:11" ht="18.75" customHeight="1" outlineLevel="1" x14ac:dyDescent="0.3">
      <c r="A100" s="33" t="s">
        <v>16</v>
      </c>
      <c r="B100" s="123" t="str">
        <f ca="1">IFERROR(INDEX(Databas!$A$10:$BK$188,MATCH(Sammanfattning!B$85,Databas!$BH$10:$BH$188,0),MATCH($A100,Databas!$A$10:$BK$10,0)),"")</f>
        <v/>
      </c>
      <c r="C100" s="123" t="str">
        <f ca="1">IFERROR(INDEX(Databas!$A$10:$BK$188,MATCH(Sammanfattning!C$85,Databas!$BH$10:$BH$188,0),MATCH($A100,Databas!$A$10:$BK$10,0)),"")</f>
        <v/>
      </c>
      <c r="D100" s="123" t="str">
        <f ca="1">IFERROR(INDEX(Databas!$A$10:$BK$188,MATCH(Sammanfattning!D$85,Databas!$BH$10:$BH$188,0),MATCH($A100,Databas!$A$10:$BK$10,0)),"")</f>
        <v/>
      </c>
      <c r="E100" s="123" t="str">
        <f ca="1">IFERROR(INDEX(Databas!$A$10:$BK$188,MATCH(Sammanfattning!E$85,Databas!$BH$10:$BH$188,0),MATCH($A100,Databas!$A$10:$BK$10,0)),"")</f>
        <v/>
      </c>
      <c r="F100" s="123" t="str">
        <f ca="1">IFERROR(INDEX(Databas!$A$10:$BK$188,MATCH(Sammanfattning!F$85,Databas!$BH$10:$BH$188,0),MATCH($A100,Databas!$A$10:$BK$10,0)),"")</f>
        <v/>
      </c>
      <c r="G100" s="123" t="str">
        <f ca="1">IFERROR(INDEX(Databas!$A$10:$BK$188,MATCH(Sammanfattning!G$85,Databas!$BH$10:$BH$188,0),MATCH($A100,Databas!$A$10:$BK$10,0)),"")</f>
        <v/>
      </c>
      <c r="H100" s="123" t="str">
        <f ca="1">IFERROR(INDEX(Databas!$A$10:$BK$188,MATCH(Sammanfattning!H$85,Databas!$BH$10:$BH$188,0),MATCH($A100,Databas!$A$10:$BK$10,0)),"")</f>
        <v/>
      </c>
      <c r="I100" s="123" t="str">
        <f ca="1">IFERROR(INDEX(Databas!$A$10:$BK$188,MATCH(Sammanfattning!I$85,Databas!$BH$10:$BH$188,0),MATCH($A100,Databas!$A$10:$BK$10,0)),"")</f>
        <v/>
      </c>
      <c r="J100" s="123" t="str">
        <f ca="1">IFERROR(INDEX(Databas!$A$10:$BK$188,MATCH(Sammanfattning!J$85,Databas!$BH$10:$BH$188,0),MATCH($A100,Databas!$A$10:$BK$10,0)),"")</f>
        <v/>
      </c>
      <c r="K100" s="123" t="str">
        <f ca="1">IFERROR(INDEX(Databas!$A$10:$BK$188,MATCH(Sammanfattning!K$85,Databas!$BH$10:$BH$188,0),MATCH($A100,Databas!$A$10:$BK$10,0)),"")</f>
        <v/>
      </c>
    </row>
    <row r="101" spans="1:11" ht="18.75" customHeight="1" outlineLevel="1" x14ac:dyDescent="0.3">
      <c r="A101" s="33" t="s">
        <v>67</v>
      </c>
      <c r="B101" s="123" t="str">
        <f ca="1">IFERROR(INDEX(Databas!$A$10:$BK$188,MATCH(Sammanfattning!B$85,Databas!$BH$10:$BH$188,0),MATCH($A101,Databas!$A$10:$BK$10,0)),"")</f>
        <v/>
      </c>
      <c r="C101" s="123" t="str">
        <f ca="1">IFERROR(INDEX(Databas!$A$10:$BK$188,MATCH(Sammanfattning!C$85,Databas!$BH$10:$BH$188,0),MATCH($A101,Databas!$A$10:$BK$10,0)),"")</f>
        <v/>
      </c>
      <c r="D101" s="123" t="str">
        <f ca="1">IFERROR(INDEX(Databas!$A$10:$BK$188,MATCH(Sammanfattning!D$85,Databas!$BH$10:$BH$188,0),MATCH($A101,Databas!$A$10:$BK$10,0)),"")</f>
        <v/>
      </c>
      <c r="E101" s="123" t="str">
        <f ca="1">IFERROR(INDEX(Databas!$A$10:$BK$188,MATCH(Sammanfattning!E$85,Databas!$BH$10:$BH$188,0),MATCH($A101,Databas!$A$10:$BK$10,0)),"")</f>
        <v/>
      </c>
      <c r="F101" s="123" t="str">
        <f ca="1">IFERROR(INDEX(Databas!$A$10:$BK$188,MATCH(Sammanfattning!F$85,Databas!$BH$10:$BH$188,0),MATCH($A101,Databas!$A$10:$BK$10,0)),"")</f>
        <v/>
      </c>
      <c r="G101" s="123" t="str">
        <f ca="1">IFERROR(INDEX(Databas!$A$10:$BK$188,MATCH(Sammanfattning!G$85,Databas!$BH$10:$BH$188,0),MATCH($A101,Databas!$A$10:$BK$10,0)),"")</f>
        <v/>
      </c>
      <c r="H101" s="123" t="str">
        <f ca="1">IFERROR(INDEX(Databas!$A$10:$BK$188,MATCH(Sammanfattning!H$85,Databas!$BH$10:$BH$188,0),MATCH($A101,Databas!$A$10:$BK$10,0)),"")</f>
        <v/>
      </c>
      <c r="I101" s="123" t="str">
        <f ca="1">IFERROR(INDEX(Databas!$A$10:$BK$188,MATCH(Sammanfattning!I$85,Databas!$BH$10:$BH$188,0),MATCH($A101,Databas!$A$10:$BK$10,0)),"")</f>
        <v/>
      </c>
      <c r="J101" s="123" t="str">
        <f ca="1">IFERROR(INDEX(Databas!$A$10:$BK$188,MATCH(Sammanfattning!J$85,Databas!$BH$10:$BH$188,0),MATCH($A101,Databas!$A$10:$BK$10,0)),"")</f>
        <v/>
      </c>
      <c r="K101" s="123" t="str">
        <f ca="1">IFERROR(INDEX(Databas!$A$10:$BK$188,MATCH(Sammanfattning!K$85,Databas!$BH$10:$BH$188,0),MATCH($A101,Databas!$A$10:$BK$10,0)),"")</f>
        <v/>
      </c>
    </row>
    <row r="102" spans="1:11" ht="18.75" customHeight="1" outlineLevel="1" x14ac:dyDescent="0.3">
      <c r="A102" s="33" t="s">
        <v>74</v>
      </c>
      <c r="B102" s="123" t="str">
        <f ca="1">IFERROR(INDEX(Databas!$A$10:$BK$188,MATCH(Sammanfattning!B$85,Databas!$BH$10:$BH$188,0),MATCH($A102,Databas!$A$10:$BK$10,0)),"")</f>
        <v/>
      </c>
      <c r="C102" s="123" t="str">
        <f ca="1">IFERROR(INDEX(Databas!$A$10:$BK$188,MATCH(Sammanfattning!C$85,Databas!$BH$10:$BH$188,0),MATCH($A102,Databas!$A$10:$BK$10,0)),"")</f>
        <v/>
      </c>
      <c r="D102" s="123" t="str">
        <f ca="1">IFERROR(INDEX(Databas!$A$10:$BK$188,MATCH(Sammanfattning!D$85,Databas!$BH$10:$BH$188,0),MATCH($A102,Databas!$A$10:$BK$10,0)),"")</f>
        <v/>
      </c>
      <c r="E102" s="123" t="str">
        <f ca="1">IFERROR(INDEX(Databas!$A$10:$BK$188,MATCH(Sammanfattning!E$85,Databas!$BH$10:$BH$188,0),MATCH($A102,Databas!$A$10:$BK$10,0)),"")</f>
        <v/>
      </c>
      <c r="F102" s="123" t="str">
        <f ca="1">IFERROR(INDEX(Databas!$A$10:$BK$188,MATCH(Sammanfattning!F$85,Databas!$BH$10:$BH$188,0),MATCH($A102,Databas!$A$10:$BK$10,0)),"")</f>
        <v/>
      </c>
      <c r="G102" s="123" t="str">
        <f ca="1">IFERROR(INDEX(Databas!$A$10:$BK$188,MATCH(Sammanfattning!G$85,Databas!$BH$10:$BH$188,0),MATCH($A102,Databas!$A$10:$BK$10,0)),"")</f>
        <v/>
      </c>
      <c r="H102" s="123" t="str">
        <f ca="1">IFERROR(INDEX(Databas!$A$10:$BK$188,MATCH(Sammanfattning!H$85,Databas!$BH$10:$BH$188,0),MATCH($A102,Databas!$A$10:$BK$10,0)),"")</f>
        <v/>
      </c>
      <c r="I102" s="123" t="str">
        <f ca="1">IFERROR(INDEX(Databas!$A$10:$BK$188,MATCH(Sammanfattning!I$85,Databas!$BH$10:$BH$188,0),MATCH($A102,Databas!$A$10:$BK$10,0)),"")</f>
        <v/>
      </c>
      <c r="J102" s="123" t="str">
        <f ca="1">IFERROR(INDEX(Databas!$A$10:$BK$188,MATCH(Sammanfattning!J$85,Databas!$BH$10:$BH$188,0),MATCH($A102,Databas!$A$10:$BK$10,0)),"")</f>
        <v/>
      </c>
      <c r="K102" s="123" t="str">
        <f ca="1">IFERROR(INDEX(Databas!$A$10:$BK$188,MATCH(Sammanfattning!K$85,Databas!$BH$10:$BH$188,0),MATCH($A102,Databas!$A$10:$BK$10,0)),"")</f>
        <v/>
      </c>
    </row>
    <row r="103" spans="1:11" ht="18.75" customHeight="1" outlineLevel="1" x14ac:dyDescent="0.3">
      <c r="A103" s="33" t="s">
        <v>103</v>
      </c>
      <c r="B103" s="123" t="str">
        <f ca="1">IFERROR(INDEX(Databas!$A$10:$BK$188,MATCH(Sammanfattning!B$85,Databas!$BH$10:$BH$188,0),MATCH($A103,Databas!$A$10:$BK$10,0)),"")</f>
        <v/>
      </c>
      <c r="C103" s="123" t="str">
        <f ca="1">IFERROR(INDEX(Databas!$A$10:$BK$188,MATCH(Sammanfattning!C$85,Databas!$BH$10:$BH$188,0),MATCH($A103,Databas!$A$10:$BK$10,0)),"")</f>
        <v/>
      </c>
      <c r="D103" s="123" t="str">
        <f ca="1">IFERROR(INDEX(Databas!$A$10:$BK$188,MATCH(Sammanfattning!D$85,Databas!$BH$10:$BH$188,0),MATCH($A103,Databas!$A$10:$BK$10,0)),"")</f>
        <v/>
      </c>
      <c r="E103" s="123" t="str">
        <f ca="1">IFERROR(INDEX(Databas!$A$10:$BK$188,MATCH(Sammanfattning!E$85,Databas!$BH$10:$BH$188,0),MATCH($A103,Databas!$A$10:$BK$10,0)),"")</f>
        <v/>
      </c>
      <c r="F103" s="123" t="str">
        <f ca="1">IFERROR(INDEX(Databas!$A$10:$BK$188,MATCH(Sammanfattning!F$85,Databas!$BH$10:$BH$188,0),MATCH($A103,Databas!$A$10:$BK$10,0)),"")</f>
        <v/>
      </c>
      <c r="G103" s="123" t="str">
        <f ca="1">IFERROR(INDEX(Databas!$A$10:$BK$188,MATCH(Sammanfattning!G$85,Databas!$BH$10:$BH$188,0),MATCH($A103,Databas!$A$10:$BK$10,0)),"")</f>
        <v/>
      </c>
      <c r="H103" s="123" t="str">
        <f ca="1">IFERROR(INDEX(Databas!$A$10:$BK$188,MATCH(Sammanfattning!H$85,Databas!$BH$10:$BH$188,0),MATCH($A103,Databas!$A$10:$BK$10,0)),"")</f>
        <v/>
      </c>
      <c r="I103" s="123" t="str">
        <f ca="1">IFERROR(INDEX(Databas!$A$10:$BK$188,MATCH(Sammanfattning!I$85,Databas!$BH$10:$BH$188,0),MATCH($A103,Databas!$A$10:$BK$10,0)),"")</f>
        <v/>
      </c>
      <c r="J103" s="123" t="str">
        <f ca="1">IFERROR(INDEX(Databas!$A$10:$BK$188,MATCH(Sammanfattning!J$85,Databas!$BH$10:$BH$188,0),MATCH($A103,Databas!$A$10:$BK$10,0)),"")</f>
        <v/>
      </c>
      <c r="K103" s="123" t="str">
        <f ca="1">IFERROR(INDEX(Databas!$A$10:$BK$188,MATCH(Sammanfattning!K$85,Databas!$BH$10:$BH$188,0),MATCH($A103,Databas!$A$10:$BK$10,0)),"")</f>
        <v/>
      </c>
    </row>
    <row r="104" spans="1:11" ht="18.75" customHeight="1" outlineLevel="1" x14ac:dyDescent="0.3">
      <c r="A104" s="33" t="s">
        <v>75</v>
      </c>
      <c r="B104" s="123" t="str">
        <f ca="1">IFERROR(INDEX(Databas!$A$10:$BK$188,MATCH(Sammanfattning!B$85,Databas!$BH$10:$BH$188,0),MATCH($A104,Databas!$A$10:$BK$10,0)),"")</f>
        <v/>
      </c>
      <c r="C104" s="123" t="str">
        <f ca="1">IFERROR(INDEX(Databas!$A$10:$BK$188,MATCH(Sammanfattning!C$85,Databas!$BH$10:$BH$188,0),MATCH($A104,Databas!$A$10:$BK$10,0)),"")</f>
        <v/>
      </c>
      <c r="D104" s="123" t="str">
        <f ca="1">IFERROR(INDEX(Databas!$A$10:$BK$188,MATCH(Sammanfattning!D$85,Databas!$BH$10:$BH$188,0),MATCH($A104,Databas!$A$10:$BK$10,0)),"")</f>
        <v/>
      </c>
      <c r="E104" s="123" t="str">
        <f ca="1">IFERROR(INDEX(Databas!$A$10:$BK$188,MATCH(Sammanfattning!E$85,Databas!$BH$10:$BH$188,0),MATCH($A104,Databas!$A$10:$BK$10,0)),"")</f>
        <v/>
      </c>
      <c r="F104" s="123" t="str">
        <f ca="1">IFERROR(INDEX(Databas!$A$10:$BK$188,MATCH(Sammanfattning!F$85,Databas!$BH$10:$BH$188,0),MATCH($A104,Databas!$A$10:$BK$10,0)),"")</f>
        <v/>
      </c>
      <c r="G104" s="123" t="str">
        <f ca="1">IFERROR(INDEX(Databas!$A$10:$BK$188,MATCH(Sammanfattning!G$85,Databas!$BH$10:$BH$188,0),MATCH($A104,Databas!$A$10:$BK$10,0)),"")</f>
        <v/>
      </c>
      <c r="H104" s="123" t="str">
        <f ca="1">IFERROR(INDEX(Databas!$A$10:$BK$188,MATCH(Sammanfattning!H$85,Databas!$BH$10:$BH$188,0),MATCH($A104,Databas!$A$10:$BK$10,0)),"")</f>
        <v/>
      </c>
      <c r="I104" s="123" t="str">
        <f ca="1">IFERROR(INDEX(Databas!$A$10:$BK$188,MATCH(Sammanfattning!I$85,Databas!$BH$10:$BH$188,0),MATCH($A104,Databas!$A$10:$BK$10,0)),"")</f>
        <v/>
      </c>
      <c r="J104" s="123" t="str">
        <f ca="1">IFERROR(INDEX(Databas!$A$10:$BK$188,MATCH(Sammanfattning!J$85,Databas!$BH$10:$BH$188,0),MATCH($A104,Databas!$A$10:$BK$10,0)),"")</f>
        <v/>
      </c>
      <c r="K104" s="123" t="str">
        <f ca="1">IFERROR(INDEX(Databas!$A$10:$BK$188,MATCH(Sammanfattning!K$85,Databas!$BH$10:$BH$188,0),MATCH($A104,Databas!$A$10:$BK$10,0)),"")</f>
        <v/>
      </c>
    </row>
    <row r="105" spans="1:11" ht="18.75" customHeight="1" outlineLevel="1" x14ac:dyDescent="0.3">
      <c r="A105" s="33" t="s">
        <v>100</v>
      </c>
      <c r="B105" s="123" t="str">
        <f ca="1">IFERROR(INDEX(Databas!$A$10:$BK$188,MATCH(Sammanfattning!B$85,Databas!$BH$10:$BH$188,0),MATCH($A105,Databas!$A$10:$BK$10,0)),"")</f>
        <v/>
      </c>
      <c r="C105" s="123" t="str">
        <f ca="1">IFERROR(INDEX(Databas!$A$10:$BK$188,MATCH(Sammanfattning!C$85,Databas!$BH$10:$BH$188,0),MATCH($A105,Databas!$A$10:$BK$10,0)),"")</f>
        <v/>
      </c>
      <c r="D105" s="123" t="str">
        <f ca="1">IFERROR(INDEX(Databas!$A$10:$BK$188,MATCH(Sammanfattning!D$85,Databas!$BH$10:$BH$188,0),MATCH($A105,Databas!$A$10:$BK$10,0)),"")</f>
        <v/>
      </c>
      <c r="E105" s="123" t="str">
        <f ca="1">IFERROR(INDEX(Databas!$A$10:$BK$188,MATCH(Sammanfattning!E$85,Databas!$BH$10:$BH$188,0),MATCH($A105,Databas!$A$10:$BK$10,0)),"")</f>
        <v/>
      </c>
      <c r="F105" s="123" t="str">
        <f ca="1">IFERROR(INDEX(Databas!$A$10:$BK$188,MATCH(Sammanfattning!F$85,Databas!$BH$10:$BH$188,0),MATCH($A105,Databas!$A$10:$BK$10,0)),"")</f>
        <v/>
      </c>
      <c r="G105" s="123" t="str">
        <f ca="1">IFERROR(INDEX(Databas!$A$10:$BK$188,MATCH(Sammanfattning!G$85,Databas!$BH$10:$BH$188,0),MATCH($A105,Databas!$A$10:$BK$10,0)),"")</f>
        <v/>
      </c>
      <c r="H105" s="123" t="str">
        <f ca="1">IFERROR(INDEX(Databas!$A$10:$BK$188,MATCH(Sammanfattning!H$85,Databas!$BH$10:$BH$188,0),MATCH($A105,Databas!$A$10:$BK$10,0)),"")</f>
        <v/>
      </c>
      <c r="I105" s="123" t="str">
        <f ca="1">IFERROR(INDEX(Databas!$A$10:$BK$188,MATCH(Sammanfattning!I$85,Databas!$BH$10:$BH$188,0),MATCH($A105,Databas!$A$10:$BK$10,0)),"")</f>
        <v/>
      </c>
      <c r="J105" s="123" t="str">
        <f ca="1">IFERROR(INDEX(Databas!$A$10:$BK$188,MATCH(Sammanfattning!J$85,Databas!$BH$10:$BH$188,0),MATCH($A105,Databas!$A$10:$BK$10,0)),"")</f>
        <v/>
      </c>
      <c r="K105" s="123" t="str">
        <f ca="1">IFERROR(INDEX(Databas!$A$10:$BK$188,MATCH(Sammanfattning!K$85,Databas!$BH$10:$BH$188,0),MATCH($A105,Databas!$A$10:$BK$10,0)),"")</f>
        <v/>
      </c>
    </row>
    <row r="106" spans="1:11" ht="18.75" customHeight="1" outlineLevel="1" x14ac:dyDescent="0.3">
      <c r="A106" s="33" t="s">
        <v>102</v>
      </c>
      <c r="B106" s="123" t="str">
        <f ca="1">IFERROR(INDEX(Databas!$A$10:$BK$188,MATCH(Sammanfattning!B$85,Databas!$BH$10:$BH$188,0),MATCH($A106,Databas!$A$10:$BK$10,0)),"")</f>
        <v/>
      </c>
      <c r="C106" s="123" t="str">
        <f ca="1">IFERROR(INDEX(Databas!$A$10:$BK$188,MATCH(Sammanfattning!C$85,Databas!$BH$10:$BH$188,0),MATCH($A106,Databas!$A$10:$BK$10,0)),"")</f>
        <v/>
      </c>
      <c r="D106" s="123" t="str">
        <f ca="1">IFERROR(INDEX(Databas!$A$10:$BK$188,MATCH(Sammanfattning!D$85,Databas!$BH$10:$BH$188,0),MATCH($A106,Databas!$A$10:$BK$10,0)),"")</f>
        <v/>
      </c>
      <c r="E106" s="123" t="str">
        <f ca="1">IFERROR(INDEX(Databas!$A$10:$BK$188,MATCH(Sammanfattning!E$85,Databas!$BH$10:$BH$188,0),MATCH($A106,Databas!$A$10:$BK$10,0)),"")</f>
        <v/>
      </c>
      <c r="F106" s="123" t="str">
        <f ca="1">IFERROR(INDEX(Databas!$A$10:$BK$188,MATCH(Sammanfattning!F$85,Databas!$BH$10:$BH$188,0),MATCH($A106,Databas!$A$10:$BK$10,0)),"")</f>
        <v/>
      </c>
      <c r="G106" s="123" t="str">
        <f ca="1">IFERROR(INDEX(Databas!$A$10:$BK$188,MATCH(Sammanfattning!G$85,Databas!$BH$10:$BH$188,0),MATCH($A106,Databas!$A$10:$BK$10,0)),"")</f>
        <v/>
      </c>
      <c r="H106" s="123" t="str">
        <f ca="1">IFERROR(INDEX(Databas!$A$10:$BK$188,MATCH(Sammanfattning!H$85,Databas!$BH$10:$BH$188,0),MATCH($A106,Databas!$A$10:$BK$10,0)),"")</f>
        <v/>
      </c>
      <c r="I106" s="123" t="str">
        <f ca="1">IFERROR(INDEX(Databas!$A$10:$BK$188,MATCH(Sammanfattning!I$85,Databas!$BH$10:$BH$188,0),MATCH($A106,Databas!$A$10:$BK$10,0)),"")</f>
        <v/>
      </c>
      <c r="J106" s="123" t="str">
        <f ca="1">IFERROR(INDEX(Databas!$A$10:$BK$188,MATCH(Sammanfattning!J$85,Databas!$BH$10:$BH$188,0),MATCH($A106,Databas!$A$10:$BK$10,0)),"")</f>
        <v/>
      </c>
      <c r="K106" s="123" t="str">
        <f ca="1">IFERROR(INDEX(Databas!$A$10:$BK$188,MATCH(Sammanfattning!K$85,Databas!$BH$10:$BH$188,0),MATCH($A106,Databas!$A$10:$BK$10,0)),"")</f>
        <v/>
      </c>
    </row>
    <row r="107" spans="1:11" ht="18.75" customHeight="1" outlineLevel="1" x14ac:dyDescent="0.3">
      <c r="A107" s="33" t="s">
        <v>120</v>
      </c>
      <c r="B107" s="123" t="str">
        <f ca="1">IFERROR(INDEX(Databas!$A$10:$BK$188,MATCH(Sammanfattning!B$85,Databas!$BH$10:$BH$188,0),MATCH($A107,Databas!$A$10:$BK$10,0)),"")</f>
        <v/>
      </c>
      <c r="C107" s="123" t="str">
        <f ca="1">IFERROR(INDEX(Databas!$A$10:$BK$188,MATCH(Sammanfattning!C$85,Databas!$BH$10:$BH$188,0),MATCH($A107,Databas!$A$10:$BK$10,0)),"")</f>
        <v/>
      </c>
      <c r="D107" s="123" t="str">
        <f ca="1">IFERROR(INDEX(Databas!$A$10:$BK$188,MATCH(Sammanfattning!D$85,Databas!$BH$10:$BH$188,0),MATCH($A107,Databas!$A$10:$BK$10,0)),"")</f>
        <v/>
      </c>
      <c r="E107" s="123" t="str">
        <f ca="1">IFERROR(INDEX(Databas!$A$10:$BK$188,MATCH(Sammanfattning!E$85,Databas!$BH$10:$BH$188,0),MATCH($A107,Databas!$A$10:$BK$10,0)),"")</f>
        <v/>
      </c>
      <c r="F107" s="123" t="str">
        <f ca="1">IFERROR(INDEX(Databas!$A$10:$BK$188,MATCH(Sammanfattning!F$85,Databas!$BH$10:$BH$188,0),MATCH($A107,Databas!$A$10:$BK$10,0)),"")</f>
        <v/>
      </c>
      <c r="G107" s="123" t="str">
        <f ca="1">IFERROR(INDEX(Databas!$A$10:$BK$188,MATCH(Sammanfattning!G$85,Databas!$BH$10:$BH$188,0),MATCH($A107,Databas!$A$10:$BK$10,0)),"")</f>
        <v/>
      </c>
      <c r="H107" s="123" t="str">
        <f ca="1">IFERROR(INDEX(Databas!$A$10:$BK$188,MATCH(Sammanfattning!H$85,Databas!$BH$10:$BH$188,0),MATCH($A107,Databas!$A$10:$BK$10,0)),"")</f>
        <v/>
      </c>
      <c r="I107" s="123" t="str">
        <f ca="1">IFERROR(INDEX(Databas!$A$10:$BK$188,MATCH(Sammanfattning!I$85,Databas!$BH$10:$BH$188,0),MATCH($A107,Databas!$A$10:$BK$10,0)),"")</f>
        <v/>
      </c>
      <c r="J107" s="123" t="str">
        <f ca="1">IFERROR(INDEX(Databas!$A$10:$BK$188,MATCH(Sammanfattning!J$85,Databas!$BH$10:$BH$188,0),MATCH($A107,Databas!$A$10:$BK$10,0)),"")</f>
        <v/>
      </c>
      <c r="K107" s="123" t="str">
        <f ca="1">IFERROR(INDEX(Databas!$A$10:$BK$188,MATCH(Sammanfattning!K$85,Databas!$BH$10:$BH$188,0),MATCH($A107,Databas!$A$10:$BK$10,0)),"")</f>
        <v/>
      </c>
    </row>
    <row r="108" spans="1:11" ht="18.75" customHeight="1" outlineLevel="1" x14ac:dyDescent="0.3">
      <c r="A108" s="33" t="s">
        <v>38</v>
      </c>
      <c r="B108" s="123" t="str">
        <f ca="1">IFERROR(INDEX(Databas!$A$10:$BK$188,MATCH(Sammanfattning!B$85,Databas!$BH$10:$BH$188,0),MATCH($A108,Databas!$A$10:$BK$10,0)),"")</f>
        <v/>
      </c>
      <c r="C108" s="123" t="str">
        <f ca="1">IFERROR(INDEX(Databas!$A$10:$BK$188,MATCH(Sammanfattning!C$85,Databas!$BH$10:$BH$188,0),MATCH($A108,Databas!$A$10:$BK$10,0)),"")</f>
        <v/>
      </c>
      <c r="D108" s="123" t="str">
        <f ca="1">IFERROR(INDEX(Databas!$A$10:$BK$188,MATCH(Sammanfattning!D$85,Databas!$BH$10:$BH$188,0),MATCH($A108,Databas!$A$10:$BK$10,0)),"")</f>
        <v/>
      </c>
      <c r="E108" s="123" t="str">
        <f ca="1">IFERROR(INDEX(Databas!$A$10:$BK$188,MATCH(Sammanfattning!E$85,Databas!$BH$10:$BH$188,0),MATCH($A108,Databas!$A$10:$BK$10,0)),"")</f>
        <v/>
      </c>
      <c r="F108" s="123" t="str">
        <f ca="1">IFERROR(INDEX(Databas!$A$10:$BK$188,MATCH(Sammanfattning!F$85,Databas!$BH$10:$BH$188,0),MATCH($A108,Databas!$A$10:$BK$10,0)),"")</f>
        <v/>
      </c>
      <c r="G108" s="123" t="str">
        <f ca="1">IFERROR(INDEX(Databas!$A$10:$BK$188,MATCH(Sammanfattning!G$85,Databas!$BH$10:$BH$188,0),MATCH($A108,Databas!$A$10:$BK$10,0)),"")</f>
        <v/>
      </c>
      <c r="H108" s="123" t="str">
        <f ca="1">IFERROR(INDEX(Databas!$A$10:$BK$188,MATCH(Sammanfattning!H$85,Databas!$BH$10:$BH$188,0),MATCH($A108,Databas!$A$10:$BK$10,0)),"")</f>
        <v/>
      </c>
      <c r="I108" s="123" t="str">
        <f ca="1">IFERROR(INDEX(Databas!$A$10:$BK$188,MATCH(Sammanfattning!I$85,Databas!$BH$10:$BH$188,0),MATCH($A108,Databas!$A$10:$BK$10,0)),"")</f>
        <v/>
      </c>
      <c r="J108" s="123" t="str">
        <f ca="1">IFERROR(INDEX(Databas!$A$10:$BK$188,MATCH(Sammanfattning!J$85,Databas!$BH$10:$BH$188,0),MATCH($A108,Databas!$A$10:$BK$10,0)),"")</f>
        <v/>
      </c>
      <c r="K108" s="123" t="str">
        <f ca="1">IFERROR(INDEX(Databas!$A$10:$BK$188,MATCH(Sammanfattning!K$85,Databas!$BH$10:$BH$188,0),MATCH($A108,Databas!$A$10:$BK$10,0)),"")</f>
        <v/>
      </c>
    </row>
    <row r="109" spans="1:11" ht="18.75" customHeight="1" outlineLevel="1" x14ac:dyDescent="0.3">
      <c r="A109" s="33" t="s">
        <v>5</v>
      </c>
      <c r="B109" s="123" t="str">
        <f ca="1">IFERROR(INDEX(Databas!$A$10:$BK$188,MATCH(Sammanfattning!B$85,Databas!$BH$10:$BH$188,0),MATCH($A109,Databas!$A$10:$BK$10,0)),"")</f>
        <v/>
      </c>
      <c r="C109" s="123" t="str">
        <f ca="1">IFERROR(INDEX(Databas!$A$10:$BK$188,MATCH(Sammanfattning!C$85,Databas!$BH$10:$BH$188,0),MATCH($A109,Databas!$A$10:$BK$10,0)),"")</f>
        <v/>
      </c>
      <c r="D109" s="123" t="str">
        <f ca="1">IFERROR(INDEX(Databas!$A$10:$BK$188,MATCH(Sammanfattning!D$85,Databas!$BH$10:$BH$188,0),MATCH($A109,Databas!$A$10:$BK$10,0)),"")</f>
        <v/>
      </c>
      <c r="E109" s="123" t="str">
        <f ca="1">IFERROR(INDEX(Databas!$A$10:$BK$188,MATCH(Sammanfattning!E$85,Databas!$BH$10:$BH$188,0),MATCH($A109,Databas!$A$10:$BK$10,0)),"")</f>
        <v/>
      </c>
      <c r="F109" s="123" t="str">
        <f ca="1">IFERROR(INDEX(Databas!$A$10:$BK$188,MATCH(Sammanfattning!F$85,Databas!$BH$10:$BH$188,0),MATCH($A109,Databas!$A$10:$BK$10,0)),"")</f>
        <v/>
      </c>
      <c r="G109" s="123" t="str">
        <f ca="1">IFERROR(INDEX(Databas!$A$10:$BK$188,MATCH(Sammanfattning!G$85,Databas!$BH$10:$BH$188,0),MATCH($A109,Databas!$A$10:$BK$10,0)),"")</f>
        <v/>
      </c>
      <c r="H109" s="123" t="str">
        <f ca="1">IFERROR(INDEX(Databas!$A$10:$BK$188,MATCH(Sammanfattning!H$85,Databas!$BH$10:$BH$188,0),MATCH($A109,Databas!$A$10:$BK$10,0)),"")</f>
        <v/>
      </c>
      <c r="I109" s="123" t="str">
        <f ca="1">IFERROR(INDEX(Databas!$A$10:$BK$188,MATCH(Sammanfattning!I$85,Databas!$BH$10:$BH$188,0),MATCH($A109,Databas!$A$10:$BK$10,0)),"")</f>
        <v/>
      </c>
      <c r="J109" s="123" t="str">
        <f ca="1">IFERROR(INDEX(Databas!$A$10:$BK$188,MATCH(Sammanfattning!J$85,Databas!$BH$10:$BH$188,0),MATCH($A109,Databas!$A$10:$BK$10,0)),"")</f>
        <v/>
      </c>
      <c r="K109" s="123" t="str">
        <f ca="1">IFERROR(INDEX(Databas!$A$10:$BK$188,MATCH(Sammanfattning!K$85,Databas!$BH$10:$BH$188,0),MATCH($A109,Databas!$A$10:$BK$10,0)),"")</f>
        <v/>
      </c>
    </row>
    <row r="110" spans="1:11" ht="18.75" customHeight="1" outlineLevel="1" x14ac:dyDescent="0.3">
      <c r="A110" s="33" t="s">
        <v>36</v>
      </c>
      <c r="B110" s="123" t="str">
        <f ca="1">IFERROR(INDEX(Databas!$A$10:$BK$188,MATCH(Sammanfattning!B$85,Databas!$BH$10:$BH$188,0),MATCH($A110,Databas!$A$10:$BK$10,0)),"")</f>
        <v/>
      </c>
      <c r="C110" s="123" t="str">
        <f ca="1">IFERROR(INDEX(Databas!$A$10:$BK$188,MATCH(Sammanfattning!C$85,Databas!$BH$10:$BH$188,0),MATCH($A110,Databas!$A$10:$BK$10,0)),"")</f>
        <v/>
      </c>
      <c r="D110" s="123" t="str">
        <f ca="1">IFERROR(INDEX(Databas!$A$10:$BK$188,MATCH(Sammanfattning!D$85,Databas!$BH$10:$BH$188,0),MATCH($A110,Databas!$A$10:$BK$10,0)),"")</f>
        <v/>
      </c>
      <c r="E110" s="123" t="str">
        <f ca="1">IFERROR(INDEX(Databas!$A$10:$BK$188,MATCH(Sammanfattning!E$85,Databas!$BH$10:$BH$188,0),MATCH($A110,Databas!$A$10:$BK$10,0)),"")</f>
        <v/>
      </c>
      <c r="F110" s="123" t="str">
        <f ca="1">IFERROR(INDEX(Databas!$A$10:$BK$188,MATCH(Sammanfattning!F$85,Databas!$BH$10:$BH$188,0),MATCH($A110,Databas!$A$10:$BK$10,0)),"")</f>
        <v/>
      </c>
      <c r="G110" s="123" t="str">
        <f ca="1">IFERROR(INDEX(Databas!$A$10:$BK$188,MATCH(Sammanfattning!G$85,Databas!$BH$10:$BH$188,0),MATCH($A110,Databas!$A$10:$BK$10,0)),"")</f>
        <v/>
      </c>
      <c r="H110" s="123" t="str">
        <f ca="1">IFERROR(INDEX(Databas!$A$10:$BK$188,MATCH(Sammanfattning!H$85,Databas!$BH$10:$BH$188,0),MATCH($A110,Databas!$A$10:$BK$10,0)),"")</f>
        <v/>
      </c>
      <c r="I110" s="123" t="str">
        <f ca="1">IFERROR(INDEX(Databas!$A$10:$BK$188,MATCH(Sammanfattning!I$85,Databas!$BH$10:$BH$188,0),MATCH($A110,Databas!$A$10:$BK$10,0)),"")</f>
        <v/>
      </c>
      <c r="J110" s="123" t="str">
        <f ca="1">IFERROR(INDEX(Databas!$A$10:$BK$188,MATCH(Sammanfattning!J$85,Databas!$BH$10:$BH$188,0),MATCH($A110,Databas!$A$10:$BK$10,0)),"")</f>
        <v/>
      </c>
      <c r="K110" s="123" t="str">
        <f ca="1">IFERROR(INDEX(Databas!$A$10:$BK$188,MATCH(Sammanfattning!K$85,Databas!$BH$10:$BH$188,0),MATCH($A110,Databas!$A$10:$BK$10,0)),"")</f>
        <v/>
      </c>
    </row>
    <row r="111" spans="1:11" ht="18.75" customHeight="1" outlineLevel="1" x14ac:dyDescent="0.3">
      <c r="A111" s="33" t="s">
        <v>77</v>
      </c>
      <c r="B111" s="123" t="str">
        <f ca="1">IFERROR(INDEX(Databas!$A$10:$BK$188,MATCH(Sammanfattning!B$85,Databas!$BH$10:$BH$188,0),MATCH($A111,Databas!$A$10:$BK$10,0)),"")</f>
        <v/>
      </c>
      <c r="C111" s="123" t="str">
        <f ca="1">IFERROR(INDEX(Databas!$A$10:$BK$188,MATCH(Sammanfattning!C$85,Databas!$BH$10:$BH$188,0),MATCH($A111,Databas!$A$10:$BK$10,0)),"")</f>
        <v/>
      </c>
      <c r="D111" s="123" t="str">
        <f ca="1">IFERROR(INDEX(Databas!$A$10:$BK$188,MATCH(Sammanfattning!D$85,Databas!$BH$10:$BH$188,0),MATCH($A111,Databas!$A$10:$BK$10,0)),"")</f>
        <v/>
      </c>
      <c r="E111" s="123" t="str">
        <f ca="1">IFERROR(INDEX(Databas!$A$10:$BK$188,MATCH(Sammanfattning!E$85,Databas!$BH$10:$BH$188,0),MATCH($A111,Databas!$A$10:$BK$10,0)),"")</f>
        <v/>
      </c>
      <c r="F111" s="123" t="str">
        <f ca="1">IFERROR(INDEX(Databas!$A$10:$BK$188,MATCH(Sammanfattning!F$85,Databas!$BH$10:$BH$188,0),MATCH($A111,Databas!$A$10:$BK$10,0)),"")</f>
        <v/>
      </c>
      <c r="G111" s="123" t="str">
        <f ca="1">IFERROR(INDEX(Databas!$A$10:$BK$188,MATCH(Sammanfattning!G$85,Databas!$BH$10:$BH$188,0),MATCH($A111,Databas!$A$10:$BK$10,0)),"")</f>
        <v/>
      </c>
      <c r="H111" s="123" t="str">
        <f ca="1">IFERROR(INDEX(Databas!$A$10:$BK$188,MATCH(Sammanfattning!H$85,Databas!$BH$10:$BH$188,0),MATCH($A111,Databas!$A$10:$BK$10,0)),"")</f>
        <v/>
      </c>
      <c r="I111" s="123" t="str">
        <f ca="1">IFERROR(INDEX(Databas!$A$10:$BK$188,MATCH(Sammanfattning!I$85,Databas!$BH$10:$BH$188,0),MATCH($A111,Databas!$A$10:$BK$10,0)),"")</f>
        <v/>
      </c>
      <c r="J111" s="123" t="str">
        <f ca="1">IFERROR(INDEX(Databas!$A$10:$BK$188,MATCH(Sammanfattning!J$85,Databas!$BH$10:$BH$188,0),MATCH($A111,Databas!$A$10:$BK$10,0)),"")</f>
        <v/>
      </c>
      <c r="K111" s="123" t="str">
        <f ca="1">IFERROR(INDEX(Databas!$A$10:$BK$188,MATCH(Sammanfattning!K$85,Databas!$BH$10:$BH$188,0),MATCH($A111,Databas!$A$10:$BK$10,0)),"")</f>
        <v/>
      </c>
    </row>
    <row r="112" spans="1:11" ht="18.75" customHeight="1" outlineLevel="1" x14ac:dyDescent="0.3">
      <c r="A112" s="33" t="s">
        <v>37</v>
      </c>
      <c r="B112" s="123" t="str">
        <f ca="1">IFERROR(INDEX(Databas!$A$10:$BK$188,MATCH(Sammanfattning!B$85,Databas!$BH$10:$BH$188,0),MATCH($A112,Databas!$A$10:$BK$10,0)),"")</f>
        <v/>
      </c>
      <c r="C112" s="123" t="str">
        <f ca="1">IFERROR(INDEX(Databas!$A$10:$BK$188,MATCH(Sammanfattning!C$85,Databas!$BH$10:$BH$188,0),MATCH($A112,Databas!$A$10:$BK$10,0)),"")</f>
        <v/>
      </c>
      <c r="D112" s="123" t="str">
        <f ca="1">IFERROR(INDEX(Databas!$A$10:$BK$188,MATCH(Sammanfattning!D$85,Databas!$BH$10:$BH$188,0),MATCH($A112,Databas!$A$10:$BK$10,0)),"")</f>
        <v/>
      </c>
      <c r="E112" s="123" t="str">
        <f ca="1">IFERROR(INDEX(Databas!$A$10:$BK$188,MATCH(Sammanfattning!E$85,Databas!$BH$10:$BH$188,0),MATCH($A112,Databas!$A$10:$BK$10,0)),"")</f>
        <v/>
      </c>
      <c r="F112" s="123" t="str">
        <f ca="1">IFERROR(INDEX(Databas!$A$10:$BK$188,MATCH(Sammanfattning!F$85,Databas!$BH$10:$BH$188,0),MATCH($A112,Databas!$A$10:$BK$10,0)),"")</f>
        <v/>
      </c>
      <c r="G112" s="123" t="str">
        <f ca="1">IFERROR(INDEX(Databas!$A$10:$BK$188,MATCH(Sammanfattning!G$85,Databas!$BH$10:$BH$188,0),MATCH($A112,Databas!$A$10:$BK$10,0)),"")</f>
        <v/>
      </c>
      <c r="H112" s="123" t="str">
        <f ca="1">IFERROR(INDEX(Databas!$A$10:$BK$188,MATCH(Sammanfattning!H$85,Databas!$BH$10:$BH$188,0),MATCH($A112,Databas!$A$10:$BK$10,0)),"")</f>
        <v/>
      </c>
      <c r="I112" s="123" t="str">
        <f ca="1">IFERROR(INDEX(Databas!$A$10:$BK$188,MATCH(Sammanfattning!I$85,Databas!$BH$10:$BH$188,0),MATCH($A112,Databas!$A$10:$BK$10,0)),"")</f>
        <v/>
      </c>
      <c r="J112" s="123" t="str">
        <f ca="1">IFERROR(INDEX(Databas!$A$10:$BK$188,MATCH(Sammanfattning!J$85,Databas!$BH$10:$BH$188,0),MATCH($A112,Databas!$A$10:$BK$10,0)),"")</f>
        <v/>
      </c>
      <c r="K112" s="123" t="str">
        <f ca="1">IFERROR(INDEX(Databas!$A$10:$BK$188,MATCH(Sammanfattning!K$85,Databas!$BH$10:$BH$188,0),MATCH($A112,Databas!$A$10:$BK$10,0)),"")</f>
        <v/>
      </c>
    </row>
    <row r="113" spans="1:11" ht="18.75" customHeight="1" outlineLevel="1" x14ac:dyDescent="0.3">
      <c r="A113" s="33" t="s">
        <v>3</v>
      </c>
      <c r="B113" s="123" t="str">
        <f ca="1">IFERROR(INDEX(Databas!$A$10:$BK$188,MATCH(Sammanfattning!B$85,Databas!$BH$10:$BH$188,0),MATCH($A113,Databas!$A$10:$BK$10,0)),"")</f>
        <v/>
      </c>
      <c r="C113" s="123" t="str">
        <f ca="1">IFERROR(INDEX(Databas!$A$10:$BK$188,MATCH(Sammanfattning!C$85,Databas!$BH$10:$BH$188,0),MATCH($A113,Databas!$A$10:$BK$10,0)),"")</f>
        <v/>
      </c>
      <c r="D113" s="123" t="str">
        <f ca="1">IFERROR(INDEX(Databas!$A$10:$BK$188,MATCH(Sammanfattning!D$85,Databas!$BH$10:$BH$188,0),MATCH($A113,Databas!$A$10:$BK$10,0)),"")</f>
        <v/>
      </c>
      <c r="E113" s="123" t="str">
        <f ca="1">IFERROR(INDEX(Databas!$A$10:$BK$188,MATCH(Sammanfattning!E$85,Databas!$BH$10:$BH$188,0),MATCH($A113,Databas!$A$10:$BK$10,0)),"")</f>
        <v/>
      </c>
      <c r="F113" s="123" t="str">
        <f ca="1">IFERROR(INDEX(Databas!$A$10:$BK$188,MATCH(Sammanfattning!F$85,Databas!$BH$10:$BH$188,0),MATCH($A113,Databas!$A$10:$BK$10,0)),"")</f>
        <v/>
      </c>
      <c r="G113" s="123" t="str">
        <f ca="1">IFERROR(INDEX(Databas!$A$10:$BK$188,MATCH(Sammanfattning!G$85,Databas!$BH$10:$BH$188,0),MATCH($A113,Databas!$A$10:$BK$10,0)),"")</f>
        <v/>
      </c>
      <c r="H113" s="123" t="str">
        <f ca="1">IFERROR(INDEX(Databas!$A$10:$BK$188,MATCH(Sammanfattning!H$85,Databas!$BH$10:$BH$188,0),MATCH($A113,Databas!$A$10:$BK$10,0)),"")</f>
        <v/>
      </c>
      <c r="I113" s="123" t="str">
        <f ca="1">IFERROR(INDEX(Databas!$A$10:$BK$188,MATCH(Sammanfattning!I$85,Databas!$BH$10:$BH$188,0),MATCH($A113,Databas!$A$10:$BK$10,0)),"")</f>
        <v/>
      </c>
      <c r="J113" s="123" t="str">
        <f ca="1">IFERROR(INDEX(Databas!$A$10:$BK$188,MATCH(Sammanfattning!J$85,Databas!$BH$10:$BH$188,0),MATCH($A113,Databas!$A$10:$BK$10,0)),"")</f>
        <v/>
      </c>
      <c r="K113" s="123" t="str">
        <f ca="1">IFERROR(INDEX(Databas!$A$10:$BK$188,MATCH(Sammanfattning!K$85,Databas!$BH$10:$BH$188,0),MATCH($A113,Databas!$A$10:$BK$10,0)),"")</f>
        <v/>
      </c>
    </row>
    <row r="114" spans="1:11" ht="18.75" customHeight="1" outlineLevel="1" x14ac:dyDescent="0.3">
      <c r="A114" s="33" t="s">
        <v>39</v>
      </c>
      <c r="B114" s="123" t="str">
        <f ca="1">IFERROR(INDEX(Databas!$A$10:$BK$188,MATCH(Sammanfattning!B$85,Databas!$BH$10:$BH$188,0),MATCH($A114,Databas!$A$10:$BK$10,0)),"")</f>
        <v/>
      </c>
      <c r="C114" s="123" t="str">
        <f ca="1">IFERROR(INDEX(Databas!$A$10:$BK$188,MATCH(Sammanfattning!C$85,Databas!$BH$10:$BH$188,0),MATCH($A114,Databas!$A$10:$BK$10,0)),"")</f>
        <v/>
      </c>
      <c r="D114" s="123" t="str">
        <f ca="1">IFERROR(INDEX(Databas!$A$10:$BK$188,MATCH(Sammanfattning!D$85,Databas!$BH$10:$BH$188,0),MATCH($A114,Databas!$A$10:$BK$10,0)),"")</f>
        <v/>
      </c>
      <c r="E114" s="123" t="str">
        <f ca="1">IFERROR(INDEX(Databas!$A$10:$BK$188,MATCH(Sammanfattning!E$85,Databas!$BH$10:$BH$188,0),MATCH($A114,Databas!$A$10:$BK$10,0)),"")</f>
        <v/>
      </c>
      <c r="F114" s="123" t="str">
        <f ca="1">IFERROR(INDEX(Databas!$A$10:$BK$188,MATCH(Sammanfattning!F$85,Databas!$BH$10:$BH$188,0),MATCH($A114,Databas!$A$10:$BK$10,0)),"")</f>
        <v/>
      </c>
      <c r="G114" s="123" t="str">
        <f ca="1">IFERROR(INDEX(Databas!$A$10:$BK$188,MATCH(Sammanfattning!G$85,Databas!$BH$10:$BH$188,0),MATCH($A114,Databas!$A$10:$BK$10,0)),"")</f>
        <v/>
      </c>
      <c r="H114" s="123" t="str">
        <f ca="1">IFERROR(INDEX(Databas!$A$10:$BK$188,MATCH(Sammanfattning!H$85,Databas!$BH$10:$BH$188,0),MATCH($A114,Databas!$A$10:$BK$10,0)),"")</f>
        <v/>
      </c>
      <c r="I114" s="123" t="str">
        <f ca="1">IFERROR(INDEX(Databas!$A$10:$BK$188,MATCH(Sammanfattning!I$85,Databas!$BH$10:$BH$188,0),MATCH($A114,Databas!$A$10:$BK$10,0)),"")</f>
        <v/>
      </c>
      <c r="J114" s="123" t="str">
        <f ca="1">IFERROR(INDEX(Databas!$A$10:$BK$188,MATCH(Sammanfattning!J$85,Databas!$BH$10:$BH$188,0),MATCH($A114,Databas!$A$10:$BK$10,0)),"")</f>
        <v/>
      </c>
      <c r="K114" s="123" t="str">
        <f ca="1">IFERROR(INDEX(Databas!$A$10:$BK$188,MATCH(Sammanfattning!K$85,Databas!$BH$10:$BH$188,0),MATCH($A114,Databas!$A$10:$BK$10,0)),"")</f>
        <v/>
      </c>
    </row>
    <row r="115" spans="1:11" ht="18.75" customHeight="1" outlineLevel="1" x14ac:dyDescent="0.3">
      <c r="A115" s="33" t="s">
        <v>40</v>
      </c>
      <c r="B115" s="123" t="str">
        <f ca="1">IFERROR(INDEX(Databas!$A$10:$BK$188,MATCH(Sammanfattning!B$85,Databas!$BH$10:$BH$188,0),MATCH($A115,Databas!$A$10:$BK$10,0)),"")</f>
        <v/>
      </c>
      <c r="C115" s="123" t="str">
        <f ca="1">IFERROR(INDEX(Databas!$A$10:$BK$188,MATCH(Sammanfattning!C$85,Databas!$BH$10:$BH$188,0),MATCH($A115,Databas!$A$10:$BK$10,0)),"")</f>
        <v/>
      </c>
      <c r="D115" s="123" t="str">
        <f ca="1">IFERROR(INDEX(Databas!$A$10:$BK$188,MATCH(Sammanfattning!D$85,Databas!$BH$10:$BH$188,0),MATCH($A115,Databas!$A$10:$BK$10,0)),"")</f>
        <v/>
      </c>
      <c r="E115" s="123" t="str">
        <f ca="1">IFERROR(INDEX(Databas!$A$10:$BK$188,MATCH(Sammanfattning!E$85,Databas!$BH$10:$BH$188,0),MATCH($A115,Databas!$A$10:$BK$10,0)),"")</f>
        <v/>
      </c>
      <c r="F115" s="123" t="str">
        <f ca="1">IFERROR(INDEX(Databas!$A$10:$BK$188,MATCH(Sammanfattning!F$85,Databas!$BH$10:$BH$188,0),MATCH($A115,Databas!$A$10:$BK$10,0)),"")</f>
        <v/>
      </c>
      <c r="G115" s="123" t="str">
        <f ca="1">IFERROR(INDEX(Databas!$A$10:$BK$188,MATCH(Sammanfattning!G$85,Databas!$BH$10:$BH$188,0),MATCH($A115,Databas!$A$10:$BK$10,0)),"")</f>
        <v/>
      </c>
      <c r="H115" s="123" t="str">
        <f ca="1">IFERROR(INDEX(Databas!$A$10:$BK$188,MATCH(Sammanfattning!H$85,Databas!$BH$10:$BH$188,0),MATCH($A115,Databas!$A$10:$BK$10,0)),"")</f>
        <v/>
      </c>
      <c r="I115" s="123" t="str">
        <f ca="1">IFERROR(INDEX(Databas!$A$10:$BK$188,MATCH(Sammanfattning!I$85,Databas!$BH$10:$BH$188,0),MATCH($A115,Databas!$A$10:$BK$10,0)),"")</f>
        <v/>
      </c>
      <c r="J115" s="123" t="str">
        <f ca="1">IFERROR(INDEX(Databas!$A$10:$BK$188,MATCH(Sammanfattning!J$85,Databas!$BH$10:$BH$188,0),MATCH($A115,Databas!$A$10:$BK$10,0)),"")</f>
        <v/>
      </c>
      <c r="K115" s="123" t="str">
        <f ca="1">IFERROR(INDEX(Databas!$A$10:$BK$188,MATCH(Sammanfattning!K$85,Databas!$BH$10:$BH$188,0),MATCH($A115,Databas!$A$10:$BK$10,0)),"")</f>
        <v/>
      </c>
    </row>
    <row r="116" spans="1:11" ht="18.75" customHeight="1" outlineLevel="1" x14ac:dyDescent="0.3">
      <c r="A116" s="33" t="s">
        <v>41</v>
      </c>
      <c r="B116" s="123" t="str">
        <f ca="1">IFERROR(INDEX(Databas!$A$10:$BK$188,MATCH(Sammanfattning!B$85,Databas!$BH$10:$BH$188,0),MATCH($A116,Databas!$A$10:$BK$10,0)),"")</f>
        <v/>
      </c>
      <c r="C116" s="123" t="str">
        <f ca="1">IFERROR(INDEX(Databas!$A$10:$BK$188,MATCH(Sammanfattning!C$85,Databas!$BH$10:$BH$188,0),MATCH($A116,Databas!$A$10:$BK$10,0)),"")</f>
        <v/>
      </c>
      <c r="D116" s="123" t="str">
        <f ca="1">IFERROR(INDEX(Databas!$A$10:$BK$188,MATCH(Sammanfattning!D$85,Databas!$BH$10:$BH$188,0),MATCH($A116,Databas!$A$10:$BK$10,0)),"")</f>
        <v/>
      </c>
      <c r="E116" s="123" t="str">
        <f ca="1">IFERROR(INDEX(Databas!$A$10:$BK$188,MATCH(Sammanfattning!E$85,Databas!$BH$10:$BH$188,0),MATCH($A116,Databas!$A$10:$BK$10,0)),"")</f>
        <v/>
      </c>
      <c r="F116" s="123" t="str">
        <f ca="1">IFERROR(INDEX(Databas!$A$10:$BK$188,MATCH(Sammanfattning!F$85,Databas!$BH$10:$BH$188,0),MATCH($A116,Databas!$A$10:$BK$10,0)),"")</f>
        <v/>
      </c>
      <c r="G116" s="123" t="str">
        <f ca="1">IFERROR(INDEX(Databas!$A$10:$BK$188,MATCH(Sammanfattning!G$85,Databas!$BH$10:$BH$188,0),MATCH($A116,Databas!$A$10:$BK$10,0)),"")</f>
        <v/>
      </c>
      <c r="H116" s="123" t="str">
        <f ca="1">IFERROR(INDEX(Databas!$A$10:$BK$188,MATCH(Sammanfattning!H$85,Databas!$BH$10:$BH$188,0),MATCH($A116,Databas!$A$10:$BK$10,0)),"")</f>
        <v/>
      </c>
      <c r="I116" s="123" t="str">
        <f ca="1">IFERROR(INDEX(Databas!$A$10:$BK$188,MATCH(Sammanfattning!I$85,Databas!$BH$10:$BH$188,0),MATCH($A116,Databas!$A$10:$BK$10,0)),"")</f>
        <v/>
      </c>
      <c r="J116" s="123" t="str">
        <f ca="1">IFERROR(INDEX(Databas!$A$10:$BK$188,MATCH(Sammanfattning!J$85,Databas!$BH$10:$BH$188,0),MATCH($A116,Databas!$A$10:$BK$10,0)),"")</f>
        <v/>
      </c>
      <c r="K116" s="123" t="str">
        <f ca="1">IFERROR(INDEX(Databas!$A$10:$BK$188,MATCH(Sammanfattning!K$85,Databas!$BH$10:$BH$188,0),MATCH($A116,Databas!$A$10:$BK$10,0)),"")</f>
        <v/>
      </c>
    </row>
    <row r="117" spans="1:11" ht="18.75" customHeight="1" outlineLevel="1" x14ac:dyDescent="0.3">
      <c r="A117" s="33" t="s">
        <v>12</v>
      </c>
      <c r="B117" s="123" t="str">
        <f ca="1">IFERROR(INDEX(Databas!$A$10:$BK$188,MATCH(Sammanfattning!B$85,Databas!$BH$10:$BH$188,0),MATCH($A117,Databas!$A$10:$BK$10,0)),"")</f>
        <v/>
      </c>
      <c r="C117" s="123" t="str">
        <f ca="1">IFERROR(INDEX(Databas!$A$10:$BK$188,MATCH(Sammanfattning!C$85,Databas!$BH$10:$BH$188,0),MATCH($A117,Databas!$A$10:$BK$10,0)),"")</f>
        <v/>
      </c>
      <c r="D117" s="123" t="str">
        <f ca="1">IFERROR(INDEX(Databas!$A$10:$BK$188,MATCH(Sammanfattning!D$85,Databas!$BH$10:$BH$188,0),MATCH($A117,Databas!$A$10:$BK$10,0)),"")</f>
        <v/>
      </c>
      <c r="E117" s="123" t="str">
        <f ca="1">IFERROR(INDEX(Databas!$A$10:$BK$188,MATCH(Sammanfattning!E$85,Databas!$BH$10:$BH$188,0),MATCH($A117,Databas!$A$10:$BK$10,0)),"")</f>
        <v/>
      </c>
      <c r="F117" s="123" t="str">
        <f ca="1">IFERROR(INDEX(Databas!$A$10:$BK$188,MATCH(Sammanfattning!F$85,Databas!$BH$10:$BH$188,0),MATCH($A117,Databas!$A$10:$BK$10,0)),"")</f>
        <v/>
      </c>
      <c r="G117" s="123" t="str">
        <f ca="1">IFERROR(INDEX(Databas!$A$10:$BK$188,MATCH(Sammanfattning!G$85,Databas!$BH$10:$BH$188,0),MATCH($A117,Databas!$A$10:$BK$10,0)),"")</f>
        <v/>
      </c>
      <c r="H117" s="123" t="str">
        <f ca="1">IFERROR(INDEX(Databas!$A$10:$BK$188,MATCH(Sammanfattning!H$85,Databas!$BH$10:$BH$188,0),MATCH($A117,Databas!$A$10:$BK$10,0)),"")</f>
        <v/>
      </c>
      <c r="I117" s="123" t="str">
        <f ca="1">IFERROR(INDEX(Databas!$A$10:$BK$188,MATCH(Sammanfattning!I$85,Databas!$BH$10:$BH$188,0),MATCH($A117,Databas!$A$10:$BK$10,0)),"")</f>
        <v/>
      </c>
      <c r="J117" s="123" t="str">
        <f ca="1">IFERROR(INDEX(Databas!$A$10:$BK$188,MATCH(Sammanfattning!J$85,Databas!$BH$10:$BH$188,0),MATCH($A117,Databas!$A$10:$BK$10,0)),"")</f>
        <v/>
      </c>
      <c r="K117" s="123" t="str">
        <f ca="1">IFERROR(INDEX(Databas!$A$10:$BK$188,MATCH(Sammanfattning!K$85,Databas!$BH$10:$BH$188,0),MATCH($A117,Databas!$A$10:$BK$10,0)),"")</f>
        <v/>
      </c>
    </row>
    <row r="118" spans="1:11" ht="18.75" customHeight="1" outlineLevel="1" x14ac:dyDescent="0.3">
      <c r="A118" s="33" t="s">
        <v>8</v>
      </c>
      <c r="B118" s="123" t="str">
        <f ca="1">IFERROR(INDEX(Databas!$A$10:$BK$188,MATCH(Sammanfattning!B$85,Databas!$BH$10:$BH$188,0),MATCH($A118,Databas!$A$10:$BK$10,0)),"")</f>
        <v/>
      </c>
      <c r="C118" s="123" t="str">
        <f ca="1">IFERROR(INDEX(Databas!$A$10:$BK$188,MATCH(Sammanfattning!C$85,Databas!$BH$10:$BH$188,0),MATCH($A118,Databas!$A$10:$BK$10,0)),"")</f>
        <v/>
      </c>
      <c r="D118" s="123" t="str">
        <f ca="1">IFERROR(INDEX(Databas!$A$10:$BK$188,MATCH(Sammanfattning!D$85,Databas!$BH$10:$BH$188,0),MATCH($A118,Databas!$A$10:$BK$10,0)),"")</f>
        <v/>
      </c>
      <c r="E118" s="123" t="str">
        <f ca="1">IFERROR(INDEX(Databas!$A$10:$BK$188,MATCH(Sammanfattning!E$85,Databas!$BH$10:$BH$188,0),MATCH($A118,Databas!$A$10:$BK$10,0)),"")</f>
        <v/>
      </c>
      <c r="F118" s="123" t="str">
        <f ca="1">IFERROR(INDEX(Databas!$A$10:$BK$188,MATCH(Sammanfattning!F$85,Databas!$BH$10:$BH$188,0),MATCH($A118,Databas!$A$10:$BK$10,0)),"")</f>
        <v/>
      </c>
      <c r="G118" s="123" t="str">
        <f ca="1">IFERROR(INDEX(Databas!$A$10:$BK$188,MATCH(Sammanfattning!G$85,Databas!$BH$10:$BH$188,0),MATCH($A118,Databas!$A$10:$BK$10,0)),"")</f>
        <v/>
      </c>
      <c r="H118" s="123" t="str">
        <f ca="1">IFERROR(INDEX(Databas!$A$10:$BK$188,MATCH(Sammanfattning!H$85,Databas!$BH$10:$BH$188,0),MATCH($A118,Databas!$A$10:$BK$10,0)),"")</f>
        <v/>
      </c>
      <c r="I118" s="123" t="str">
        <f ca="1">IFERROR(INDEX(Databas!$A$10:$BK$188,MATCH(Sammanfattning!I$85,Databas!$BH$10:$BH$188,0),MATCH($A118,Databas!$A$10:$BK$10,0)),"")</f>
        <v/>
      </c>
      <c r="J118" s="123" t="str">
        <f ca="1">IFERROR(INDEX(Databas!$A$10:$BK$188,MATCH(Sammanfattning!J$85,Databas!$BH$10:$BH$188,0),MATCH($A118,Databas!$A$10:$BK$10,0)),"")</f>
        <v/>
      </c>
      <c r="K118" s="123" t="str">
        <f ca="1">IFERROR(INDEX(Databas!$A$10:$BK$188,MATCH(Sammanfattning!K$85,Databas!$BH$10:$BH$188,0),MATCH($A118,Databas!$A$10:$BK$10,0)),"")</f>
        <v/>
      </c>
    </row>
    <row r="119" spans="1:11" ht="18.75" customHeight="1" outlineLevel="1" x14ac:dyDescent="0.3">
      <c r="A119" s="33" t="s">
        <v>9</v>
      </c>
      <c r="B119" s="123" t="str">
        <f ca="1">IFERROR(INDEX(Databas!$A$10:$BK$188,MATCH(Sammanfattning!B$85,Databas!$BH$10:$BH$188,0),MATCH($A119,Databas!$A$10:$BK$10,0)),"")</f>
        <v/>
      </c>
      <c r="C119" s="123" t="str">
        <f ca="1">IFERROR(INDEX(Databas!$A$10:$BK$188,MATCH(Sammanfattning!C$85,Databas!$BH$10:$BH$188,0),MATCH($A119,Databas!$A$10:$BK$10,0)),"")</f>
        <v/>
      </c>
      <c r="D119" s="123" t="str">
        <f ca="1">IFERROR(INDEX(Databas!$A$10:$BK$188,MATCH(Sammanfattning!D$85,Databas!$BH$10:$BH$188,0),MATCH($A119,Databas!$A$10:$BK$10,0)),"")</f>
        <v/>
      </c>
      <c r="E119" s="123" t="str">
        <f ca="1">IFERROR(INDEX(Databas!$A$10:$BK$188,MATCH(Sammanfattning!E$85,Databas!$BH$10:$BH$188,0),MATCH($A119,Databas!$A$10:$BK$10,0)),"")</f>
        <v/>
      </c>
      <c r="F119" s="123" t="str">
        <f ca="1">IFERROR(INDEX(Databas!$A$10:$BK$188,MATCH(Sammanfattning!F$85,Databas!$BH$10:$BH$188,0),MATCH($A119,Databas!$A$10:$BK$10,0)),"")</f>
        <v/>
      </c>
      <c r="G119" s="123" t="str">
        <f ca="1">IFERROR(INDEX(Databas!$A$10:$BK$188,MATCH(Sammanfattning!G$85,Databas!$BH$10:$BH$188,0),MATCH($A119,Databas!$A$10:$BK$10,0)),"")</f>
        <v/>
      </c>
      <c r="H119" s="123" t="str">
        <f ca="1">IFERROR(INDEX(Databas!$A$10:$BK$188,MATCH(Sammanfattning!H$85,Databas!$BH$10:$BH$188,0),MATCH($A119,Databas!$A$10:$BK$10,0)),"")</f>
        <v/>
      </c>
      <c r="I119" s="123" t="str">
        <f ca="1">IFERROR(INDEX(Databas!$A$10:$BK$188,MATCH(Sammanfattning!I$85,Databas!$BH$10:$BH$188,0),MATCH($A119,Databas!$A$10:$BK$10,0)),"")</f>
        <v/>
      </c>
      <c r="J119" s="123" t="str">
        <f ca="1">IFERROR(INDEX(Databas!$A$10:$BK$188,MATCH(Sammanfattning!J$85,Databas!$BH$10:$BH$188,0),MATCH($A119,Databas!$A$10:$BK$10,0)),"")</f>
        <v/>
      </c>
      <c r="K119" s="123" t="str">
        <f ca="1">IFERROR(INDEX(Databas!$A$10:$BK$188,MATCH(Sammanfattning!K$85,Databas!$BH$10:$BH$188,0),MATCH($A119,Databas!$A$10:$BK$10,0)),"")</f>
        <v/>
      </c>
    </row>
    <row r="120" spans="1:11" ht="18.75" customHeight="1" outlineLevel="1" x14ac:dyDescent="0.3">
      <c r="A120" s="33" t="s">
        <v>10</v>
      </c>
      <c r="B120" s="123" t="str">
        <f ca="1">IFERROR(INDEX(Databas!$A$10:$BK$188,MATCH(Sammanfattning!B$85,Databas!$BH$10:$BH$188,0),MATCH($A120,Databas!$A$10:$BK$10,0)),"")</f>
        <v/>
      </c>
      <c r="C120" s="123" t="str">
        <f ca="1">IFERROR(INDEX(Databas!$A$10:$BK$188,MATCH(Sammanfattning!C$85,Databas!$BH$10:$BH$188,0),MATCH($A120,Databas!$A$10:$BK$10,0)),"")</f>
        <v/>
      </c>
      <c r="D120" s="123" t="str">
        <f ca="1">IFERROR(INDEX(Databas!$A$10:$BK$188,MATCH(Sammanfattning!D$85,Databas!$BH$10:$BH$188,0),MATCH($A120,Databas!$A$10:$BK$10,0)),"")</f>
        <v/>
      </c>
      <c r="E120" s="123" t="str">
        <f ca="1">IFERROR(INDEX(Databas!$A$10:$BK$188,MATCH(Sammanfattning!E$85,Databas!$BH$10:$BH$188,0),MATCH($A120,Databas!$A$10:$BK$10,0)),"")</f>
        <v/>
      </c>
      <c r="F120" s="123" t="str">
        <f ca="1">IFERROR(INDEX(Databas!$A$10:$BK$188,MATCH(Sammanfattning!F$85,Databas!$BH$10:$BH$188,0),MATCH($A120,Databas!$A$10:$BK$10,0)),"")</f>
        <v/>
      </c>
      <c r="G120" s="123" t="str">
        <f ca="1">IFERROR(INDEX(Databas!$A$10:$BK$188,MATCH(Sammanfattning!G$85,Databas!$BH$10:$BH$188,0),MATCH($A120,Databas!$A$10:$BK$10,0)),"")</f>
        <v/>
      </c>
      <c r="H120" s="123" t="str">
        <f ca="1">IFERROR(INDEX(Databas!$A$10:$BK$188,MATCH(Sammanfattning!H$85,Databas!$BH$10:$BH$188,0),MATCH($A120,Databas!$A$10:$BK$10,0)),"")</f>
        <v/>
      </c>
      <c r="I120" s="123" t="str">
        <f ca="1">IFERROR(INDEX(Databas!$A$10:$BK$188,MATCH(Sammanfattning!I$85,Databas!$BH$10:$BH$188,0),MATCH($A120,Databas!$A$10:$BK$10,0)),"")</f>
        <v/>
      </c>
      <c r="J120" s="123" t="str">
        <f ca="1">IFERROR(INDEX(Databas!$A$10:$BK$188,MATCH(Sammanfattning!J$85,Databas!$BH$10:$BH$188,0),MATCH($A120,Databas!$A$10:$BK$10,0)),"")</f>
        <v/>
      </c>
      <c r="K120" s="123" t="str">
        <f ca="1">IFERROR(INDEX(Databas!$A$10:$BK$188,MATCH(Sammanfattning!K$85,Databas!$BH$10:$BH$188,0),MATCH($A120,Databas!$A$10:$BK$10,0)),"")</f>
        <v/>
      </c>
    </row>
    <row r="121" spans="1:11" ht="18.75" customHeight="1" outlineLevel="1" x14ac:dyDescent="0.3">
      <c r="A121" s="33" t="s">
        <v>104</v>
      </c>
      <c r="B121" s="123" t="str">
        <f ca="1">IFERROR(INDEX(Databas!$A$10:$BK$188,MATCH(Sammanfattning!B$85,Databas!$BH$10:$BH$188,0),MATCH($A121,Databas!$A$10:$BK$10,0)),"")</f>
        <v/>
      </c>
      <c r="C121" s="123" t="str">
        <f ca="1">IFERROR(INDEX(Databas!$A$10:$BK$188,MATCH(Sammanfattning!C$85,Databas!$BH$10:$BH$188,0),MATCH($A121,Databas!$A$10:$BK$10,0)),"")</f>
        <v/>
      </c>
      <c r="D121" s="123" t="str">
        <f ca="1">IFERROR(INDEX(Databas!$A$10:$BK$188,MATCH(Sammanfattning!D$85,Databas!$BH$10:$BH$188,0),MATCH($A121,Databas!$A$10:$BK$10,0)),"")</f>
        <v/>
      </c>
      <c r="E121" s="123" t="str">
        <f ca="1">IFERROR(INDEX(Databas!$A$10:$BK$188,MATCH(Sammanfattning!E$85,Databas!$BH$10:$BH$188,0),MATCH($A121,Databas!$A$10:$BK$10,0)),"")</f>
        <v/>
      </c>
      <c r="F121" s="123" t="str">
        <f ca="1">IFERROR(INDEX(Databas!$A$10:$BK$188,MATCH(Sammanfattning!F$85,Databas!$BH$10:$BH$188,0),MATCH($A121,Databas!$A$10:$BK$10,0)),"")</f>
        <v/>
      </c>
      <c r="G121" s="123" t="str">
        <f ca="1">IFERROR(INDEX(Databas!$A$10:$BK$188,MATCH(Sammanfattning!G$85,Databas!$BH$10:$BH$188,0),MATCH($A121,Databas!$A$10:$BK$10,0)),"")</f>
        <v/>
      </c>
      <c r="H121" s="123" t="str">
        <f ca="1">IFERROR(INDEX(Databas!$A$10:$BK$188,MATCH(Sammanfattning!H$85,Databas!$BH$10:$BH$188,0),MATCH($A121,Databas!$A$10:$BK$10,0)),"")</f>
        <v/>
      </c>
      <c r="I121" s="123" t="str">
        <f ca="1">IFERROR(INDEX(Databas!$A$10:$BK$188,MATCH(Sammanfattning!I$85,Databas!$BH$10:$BH$188,0),MATCH($A121,Databas!$A$10:$BK$10,0)),"")</f>
        <v/>
      </c>
      <c r="J121" s="123" t="str">
        <f ca="1">IFERROR(INDEX(Databas!$A$10:$BK$188,MATCH(Sammanfattning!J$85,Databas!$BH$10:$BH$188,0),MATCH($A121,Databas!$A$10:$BK$10,0)),"")</f>
        <v/>
      </c>
      <c r="K121" s="123" t="str">
        <f ca="1">IFERROR(INDEX(Databas!$A$10:$BK$188,MATCH(Sammanfattning!K$85,Databas!$BH$10:$BH$188,0),MATCH($A121,Databas!$A$10:$BK$10,0)),"")</f>
        <v/>
      </c>
    </row>
    <row r="122" spans="1:11" ht="18.75" customHeight="1" outlineLevel="1" x14ac:dyDescent="0.3">
      <c r="A122" s="35"/>
      <c r="B122" s="123"/>
      <c r="C122" s="123"/>
      <c r="D122" s="123"/>
      <c r="E122" s="123"/>
      <c r="F122" s="123"/>
      <c r="G122" s="123"/>
      <c r="H122" s="123"/>
      <c r="I122" s="123"/>
      <c r="J122" s="123"/>
      <c r="K122" s="123"/>
    </row>
    <row r="123" spans="1:11" ht="18.75" customHeight="1" outlineLevel="1" x14ac:dyDescent="0.3">
      <c r="A123" s="36" t="s">
        <v>508</v>
      </c>
      <c r="B123" s="123" t="str">
        <f ca="1">IFERROR(INDEX(Databas!$A$10:$BK$188,MATCH(Sammanfattning!B$85,Databas!$BH$10:$BH$188,0),MATCH("Pris",Databas!$A$10:$BK$10,0)),"")</f>
        <v/>
      </c>
      <c r="C123" s="123" t="str">
        <f ca="1">IFERROR(INDEX(Databas!$A$10:$BK$188,MATCH(Sammanfattning!C$85,Databas!$BH$10:$BH$188,0),MATCH("Pris",Databas!$A$10:$BK$10,0)),"")</f>
        <v/>
      </c>
      <c r="D123" s="123" t="str">
        <f ca="1">IFERROR(INDEX(Databas!$A$10:$BK$188,MATCH(Sammanfattning!D$85,Databas!$BH$10:$BH$188,0),MATCH("Pris",Databas!$A$10:$BK$10,0)),"")</f>
        <v/>
      </c>
      <c r="E123" s="123" t="str">
        <f ca="1">IFERROR(INDEX(Databas!$A$10:$BK$188,MATCH(Sammanfattning!E$85,Databas!$BH$10:$BH$188,0),MATCH("Pris",Databas!$A$10:$BK$10,0)),"")</f>
        <v/>
      </c>
      <c r="F123" s="123" t="str">
        <f ca="1">IFERROR(INDEX(Databas!$A$10:$BK$188,MATCH(Sammanfattning!F$85,Databas!$BH$10:$BH$188,0),MATCH("Pris",Databas!$A$10:$BK$10,0)),"")</f>
        <v/>
      </c>
      <c r="G123" s="123" t="str">
        <f ca="1">IFERROR(INDEX(Databas!$A$10:$BK$188,MATCH(Sammanfattning!G$85,Databas!$BH$10:$BH$188,0),MATCH("Pris",Databas!$A$10:$BK$10,0)),"")</f>
        <v/>
      </c>
      <c r="H123" s="123" t="str">
        <f ca="1">IFERROR(INDEX(Databas!$A$10:$BK$188,MATCH(Sammanfattning!H$85,Databas!$BH$10:$BH$188,0),MATCH("Pris",Databas!$A$10:$BK$10,0)),"")</f>
        <v/>
      </c>
      <c r="I123" s="123" t="str">
        <f ca="1">IFERROR(INDEX(Databas!$A$10:$BK$188,MATCH(Sammanfattning!I$85,Databas!$BH$10:$BH$188,0),MATCH("Pris",Databas!$A$10:$BK$10,0)),"")</f>
        <v/>
      </c>
      <c r="J123" s="123" t="str">
        <f ca="1">IFERROR(INDEX(Databas!$A$10:$BK$188,MATCH(Sammanfattning!J$85,Databas!$BH$10:$BH$188,0),MATCH("Pris",Databas!$A$10:$BK$10,0)),"")</f>
        <v/>
      </c>
      <c r="K123" s="123" t="str">
        <f ca="1">IFERROR(INDEX(Databas!$A$10:$BK$188,MATCH(Sammanfattning!K$85,Databas!$BH$10:$BH$188,0),MATCH("Pris",Databas!$A$10:$BK$10,0)),"")</f>
        <v/>
      </c>
    </row>
    <row r="124" spans="1:11" ht="18.75" customHeight="1" outlineLevel="1" x14ac:dyDescent="0.3">
      <c r="B124" s="124"/>
      <c r="C124" s="124"/>
      <c r="D124" s="124"/>
      <c r="E124" s="124"/>
      <c r="F124" s="124"/>
      <c r="G124" s="124"/>
      <c r="H124" s="124"/>
      <c r="I124" s="124"/>
      <c r="J124" s="124"/>
      <c r="K124" s="124"/>
    </row>
    <row r="125" spans="1:11" ht="18.75" customHeight="1" outlineLevel="1" x14ac:dyDescent="0.3">
      <c r="A125" s="41" t="s">
        <v>236</v>
      </c>
      <c r="B125" s="124"/>
      <c r="C125" s="124"/>
      <c r="D125" s="124"/>
      <c r="E125" s="124"/>
      <c r="F125" s="124"/>
      <c r="G125" s="124"/>
      <c r="H125" s="124"/>
      <c r="I125" s="124"/>
      <c r="J125" s="124"/>
      <c r="K125" s="124"/>
    </row>
    <row r="126" spans="1:11" ht="37.5" customHeight="1" outlineLevel="1" x14ac:dyDescent="0.3">
      <c r="A126" s="42" t="s">
        <v>234</v>
      </c>
      <c r="B126" s="125" t="str" cm="1">
        <f t="array" aca="1" ref="B126" ca="1">IFERROR(IF(IFERROR(INDEX('Bärbara datorer (B)'!$D:$D,B$84-ROW($A$138)+ROW(B121),0),"")="","Ej Valt",INDEX('Bärbara datorer (B)'!F:F,B$84-ROW($A$138)+ROW(B121),0)),"")</f>
        <v>Ej Valt</v>
      </c>
      <c r="C126" s="125" t="str" cm="1">
        <f t="array" aca="1" ref="C126" ca="1">IFERROR(IF(IFERROR(INDEX('Bärbara datorer (B)'!$D:$D,C$84-ROW($A$138)+ROW(C121),0),"")="","Ej Valt",INDEX('Bärbara datorer (B)'!G:G,C$84-ROW($A$138)+ROW(C121),0)),"")</f>
        <v>Ej Valt</v>
      </c>
      <c r="D126" s="125" t="str" cm="1">
        <f t="array" aca="1" ref="D126" ca="1">IFERROR(IF(IFERROR(INDEX('Bärbara datorer (B)'!$D:$D,D$84-ROW($A$138)+ROW(D121),0),"")="","Ej Valt",INDEX('Bärbara datorer (B)'!H:H,D$84-ROW($A$138)+ROW(D121),0)),"")</f>
        <v>Ej Valt</v>
      </c>
      <c r="E126" s="125" t="str" cm="1">
        <f t="array" aca="1" ref="E126" ca="1">IFERROR(IF(IFERROR(INDEX('Bärbara datorer (B)'!$D:$D,E$84-ROW($A$138)+ROW(E121),0),"")="","Ej Valt",INDEX('Bärbara datorer (B)'!I:I,E$84-ROW($A$138)+ROW(E121),0)),"")</f>
        <v>Ej Valt</v>
      </c>
      <c r="F126" s="125" t="str" cm="1">
        <f t="array" aca="1" ref="F126" ca="1">IFERROR(IF(IFERROR(INDEX('Bärbara datorer (B)'!$D:$D,F$84-ROW($A$138)+ROW(F121),0),"")="","Ej Valt",INDEX('Bärbara datorer (B)'!J:J,F$84-ROW($A$138)+ROW(F121),0)),"")</f>
        <v>Ej Valt</v>
      </c>
      <c r="G126" s="125" t="str" cm="1">
        <f t="array" aca="1" ref="G126" ca="1">IFERROR(IF(IFERROR(INDEX('Bärbara datorer (B)'!$D:$D,G$84-ROW($A$138)+ROW(G121),0),"")="","Ej Valt",INDEX('Bärbara datorer (B)'!K:K,G$84-ROW($A$138)+ROW(G121),0)),"")</f>
        <v>Ej Valt</v>
      </c>
      <c r="H126" s="125" t="str" cm="1">
        <f t="array" aca="1" ref="H126" ca="1">IFERROR(IF(IFERROR(INDEX('Bärbara datorer (B)'!$D:$D,H$84-ROW($A$138)+ROW(H121),0),"")="","Ej Valt",INDEX('Bärbara datorer (B)'!L:L,H$84-ROW($A$138)+ROW(H121),0)),"")</f>
        <v>Ej Valt</v>
      </c>
      <c r="I126" s="125" t="str" cm="1">
        <f t="array" aca="1" ref="I126" ca="1">IFERROR(IF(IFERROR(INDEX('Bärbara datorer (B)'!$D:$D,I$84-ROW($A$138)+ROW(I121),0),"")="","Ej Valt",INDEX('Bärbara datorer (B)'!M:M,I$84-ROW($A$138)+ROW(I121),0)),"")</f>
        <v>Ej Valt</v>
      </c>
      <c r="J126" s="125" t="str" cm="1">
        <f t="array" aca="1" ref="J126" ca="1">IFERROR(IF(IFERROR(INDEX('Bärbara datorer (B)'!$D:$D,J$84-ROW($A$138)+ROW(J121),0),"")="","Ej Valt",INDEX('Bärbara datorer (B)'!N:N,J$84-ROW($A$138)+ROW(J121),0)),"")</f>
        <v>Ej Valt</v>
      </c>
      <c r="K126" s="125" t="str" cm="1">
        <f t="array" aca="1" ref="K126" ca="1">IFERROR(IF(IFERROR(INDEX('Bärbara datorer (B)'!$D:$D,K$84-ROW($A$138)+ROW(K121),0),"")="","Ej Valt",INDEX('Bärbara datorer (B)'!O:O,K$84-ROW($A$138)+ROW(K121),0)),"")</f>
        <v>Ej Valt</v>
      </c>
    </row>
    <row r="127" spans="1:11" ht="37.5" customHeight="1" outlineLevel="1" x14ac:dyDescent="0.3">
      <c r="A127" s="42" t="s">
        <v>340</v>
      </c>
      <c r="B127" s="125" t="str" cm="1">
        <f t="array" aca="1" ref="B127" ca="1">IFERROR(IF(IFERROR(INDEX('Bärbara datorer (B)'!$D:$D,B$84-ROW($A$138)+ROW(B122),0),"")="","-",INDEX('Bärbara datorer (B)'!F:F,B$84-ROW($A$138)+ROW(B122),0)),"")</f>
        <v>-</v>
      </c>
      <c r="C127" s="125" t="str" cm="1">
        <f t="array" aca="1" ref="C127" ca="1">IFERROR(IF(IFERROR(INDEX('Bärbara datorer (B)'!$D:$D,C$84-ROW($A$138)+ROW(C122),0),"")="","-",INDEX('Bärbara datorer (B)'!G:G,C$84-ROW($A$138)+ROW(C122),0)),"")</f>
        <v>-</v>
      </c>
      <c r="D127" s="125" t="str" cm="1">
        <f t="array" aca="1" ref="D127" ca="1">IFERROR(IF(IFERROR(INDEX('Bärbara datorer (B)'!$D:$D,D$84-ROW($A$138)+ROW(D122),0),"")="","-",INDEX('Bärbara datorer (B)'!H:H,D$84-ROW($A$138)+ROW(D122),0)),"")</f>
        <v>-</v>
      </c>
      <c r="E127" s="125" t="str" cm="1">
        <f t="array" aca="1" ref="E127" ca="1">IFERROR(IF(IFERROR(INDEX('Bärbara datorer (B)'!$D:$D,E$84-ROW($A$138)+ROW(E122),0),"")="","-",INDEX('Bärbara datorer (B)'!I:I,E$84-ROW($A$138)+ROW(E122),0)),"")</f>
        <v>-</v>
      </c>
      <c r="F127" s="125" t="str" cm="1">
        <f t="array" aca="1" ref="F127" ca="1">IFERROR(IF(IFERROR(INDEX('Bärbara datorer (B)'!$D:$D,F$84-ROW($A$138)+ROW(F122),0),"")="","-",INDEX('Bärbara datorer (B)'!J:J,F$84-ROW($A$138)+ROW(F122),0)),"")</f>
        <v>-</v>
      </c>
      <c r="G127" s="125" t="str" cm="1">
        <f t="array" aca="1" ref="G127" ca="1">IFERROR(IF(IFERROR(INDEX('Bärbara datorer (B)'!$D:$D,G$84-ROW($A$138)+ROW(G122),0),"")="","-",INDEX('Bärbara datorer (B)'!K:K,G$84-ROW($A$138)+ROW(G122),0)),"")</f>
        <v>-</v>
      </c>
      <c r="H127" s="125" t="str" cm="1">
        <f t="array" aca="1" ref="H127" ca="1">IFERROR(IF(IFERROR(INDEX('Bärbara datorer (B)'!$D:$D,H$84-ROW($A$138)+ROW(H122),0),"")="","-",INDEX('Bärbara datorer (B)'!L:L,H$84-ROW($A$138)+ROW(H122),0)),"")</f>
        <v>-</v>
      </c>
      <c r="I127" s="125" t="str" cm="1">
        <f t="array" aca="1" ref="I127" ca="1">IFERROR(IF(IFERROR(INDEX('Bärbara datorer (B)'!$D:$D,I$84-ROW($A$138)+ROW(I122),0),"")="","-",INDEX('Bärbara datorer (B)'!M:M,I$84-ROW($A$138)+ROW(I122),0)),"")</f>
        <v>-</v>
      </c>
      <c r="J127" s="125" t="str" cm="1">
        <f t="array" aca="1" ref="J127" ca="1">IFERROR(IF(IFERROR(INDEX('Bärbara datorer (B)'!$D:$D,J$84-ROW($A$138)+ROW(J122),0),"")="","-",INDEX('Bärbara datorer (B)'!N:N,J$84-ROW($A$138)+ROW(J122),0)),"")</f>
        <v>-</v>
      </c>
      <c r="K127" s="125" t="str" cm="1">
        <f t="array" aca="1" ref="K127" ca="1">IFERROR(IF(IFERROR(INDEX('Bärbara datorer (B)'!$D:$D,K$84-ROW($A$138)+ROW(K122),0),"")="","-",INDEX('Bärbara datorer (B)'!O:O,K$84-ROW($A$138)+ROW(K122),0)),"")</f>
        <v>-</v>
      </c>
    </row>
    <row r="128" spans="1:11" ht="37.5" customHeight="1" outlineLevel="1" x14ac:dyDescent="0.3">
      <c r="A128" s="42" t="s">
        <v>345</v>
      </c>
      <c r="B128" s="125" t="str" cm="1">
        <f t="array" aca="1" ref="B128" ca="1">IFERROR(IF(IFERROR(INDEX('Bärbara datorer (B)'!$D:$D,B$84-ROW($A$138)+ROW(B123),0),"")="","-",INDEX('Bärbara datorer (B)'!F:F,B$84-ROW($A$138)+ROW(B123),0)),"")</f>
        <v>-</v>
      </c>
      <c r="C128" s="125" t="str" cm="1">
        <f t="array" aca="1" ref="C128" ca="1">IFERROR(IF(IFERROR(INDEX('Bärbara datorer (B)'!$D:$D,C$84-ROW($A$138)+ROW(C123),0),"")="","-",INDEX('Bärbara datorer (B)'!G:G,C$84-ROW($A$138)+ROW(C123),0)),"")</f>
        <v>-</v>
      </c>
      <c r="D128" s="125" t="str" cm="1">
        <f t="array" aca="1" ref="D128" ca="1">IFERROR(IF(IFERROR(INDEX('Bärbara datorer (B)'!$D:$D,D$84-ROW($A$138)+ROW(D123),0),"")="","-",INDEX('Bärbara datorer (B)'!H:H,D$84-ROW($A$138)+ROW(D123),0)),"")</f>
        <v>-</v>
      </c>
      <c r="E128" s="125" t="str" cm="1">
        <f t="array" aca="1" ref="E128" ca="1">IFERROR(IF(IFERROR(INDEX('Bärbara datorer (B)'!$D:$D,E$84-ROW($A$138)+ROW(E123),0),"")="","-",INDEX('Bärbara datorer (B)'!I:I,E$84-ROW($A$138)+ROW(E123),0)),"")</f>
        <v>-</v>
      </c>
      <c r="F128" s="125" t="str" cm="1">
        <f t="array" aca="1" ref="F128" ca="1">IFERROR(IF(IFERROR(INDEX('Bärbara datorer (B)'!$D:$D,F$84-ROW($A$138)+ROW(F123),0),"")="","-",INDEX('Bärbara datorer (B)'!J:J,F$84-ROW($A$138)+ROW(F123),0)),"")</f>
        <v>-</v>
      </c>
      <c r="G128" s="125" t="str" cm="1">
        <f t="array" aca="1" ref="G128" ca="1">IFERROR(IF(IFERROR(INDEX('Bärbara datorer (B)'!$D:$D,G$84-ROW($A$138)+ROW(G123),0),"")="","-",INDEX('Bärbara datorer (B)'!K:K,G$84-ROW($A$138)+ROW(G123),0)),"")</f>
        <v>-</v>
      </c>
      <c r="H128" s="125" t="str" cm="1">
        <f t="array" aca="1" ref="H128" ca="1">IFERROR(IF(IFERROR(INDEX('Bärbara datorer (B)'!$D:$D,H$84-ROW($A$138)+ROW(H123),0),"")="","-",INDEX('Bärbara datorer (B)'!L:L,H$84-ROW($A$138)+ROW(H123),0)),"")</f>
        <v>-</v>
      </c>
      <c r="I128" s="125" t="str" cm="1">
        <f t="array" aca="1" ref="I128" ca="1">IFERROR(IF(IFERROR(INDEX('Bärbara datorer (B)'!$D:$D,I$84-ROW($A$138)+ROW(I123),0),"")="","-",INDEX('Bärbara datorer (B)'!M:M,I$84-ROW($A$138)+ROW(I123),0)),"")</f>
        <v>-</v>
      </c>
      <c r="J128" s="125" t="str" cm="1">
        <f t="array" aca="1" ref="J128" ca="1">IFERROR(IF(IFERROR(INDEX('Bärbara datorer (B)'!$D:$D,J$84-ROW($A$138)+ROW(J123),0),"")="","-",INDEX('Bärbara datorer (B)'!N:N,J$84-ROW($A$138)+ROW(J123),0)),"")</f>
        <v>-</v>
      </c>
      <c r="K128" s="125" t="str" cm="1">
        <f t="array" aca="1" ref="K128" ca="1">IFERROR(IF(IFERROR(INDEX('Bärbara datorer (B)'!$D:$D,K$84-ROW($A$138)+ROW(K123),0),"")="","-",INDEX('Bärbara datorer (B)'!O:O,K$84-ROW($A$138)+ROW(K123),0)),"")</f>
        <v>-</v>
      </c>
    </row>
    <row r="129" spans="1:11" ht="37.5" customHeight="1" outlineLevel="1" x14ac:dyDescent="0.3">
      <c r="A129" s="42" t="s">
        <v>267</v>
      </c>
      <c r="B129" s="125" t="str" cm="1">
        <f t="array" aca="1" ref="B129" ca="1">IFERROR(IF(IFERROR(INDEX('Bärbara datorer (B)'!$D:$D,B$84-ROW($A$138)+ROW(B124),0),"")="","Ej Valt",INDEX('Bärbara datorer (B)'!F:F,B$84-ROW($A$138)+ROW(B124),0)),"")</f>
        <v>Ej Valt</v>
      </c>
      <c r="C129" s="125" t="str" cm="1">
        <f t="array" aca="1" ref="C129" ca="1">IFERROR(IF(IFERROR(INDEX('Bärbara datorer (B)'!$D:$D,C$84-ROW($A$138)+ROW(C124),0),"")="","Ej Valt",INDEX('Bärbara datorer (B)'!G:G,C$84-ROW($A$138)+ROW(C124),0)),"")</f>
        <v>Ej Valt</v>
      </c>
      <c r="D129" s="125" t="str" cm="1">
        <f t="array" aca="1" ref="D129" ca="1">IFERROR(IF(IFERROR(INDEX('Bärbara datorer (B)'!$D:$D,D$84-ROW($A$138)+ROW(D124),0),"")="","Ej Valt",INDEX('Bärbara datorer (B)'!H:H,D$84-ROW($A$138)+ROW(D124),0)),"")</f>
        <v>Ej Valt</v>
      </c>
      <c r="E129" s="125" t="str" cm="1">
        <f t="array" aca="1" ref="E129" ca="1">IFERROR(IF(IFERROR(INDEX('Bärbara datorer (B)'!$D:$D,E$84-ROW($A$138)+ROW(E124),0),"")="","Ej Valt",INDEX('Bärbara datorer (B)'!I:I,E$84-ROW($A$138)+ROW(E124),0)),"")</f>
        <v>Ej Valt</v>
      </c>
      <c r="F129" s="125" t="str" cm="1">
        <f t="array" aca="1" ref="F129" ca="1">IFERROR(IF(IFERROR(INDEX('Bärbara datorer (B)'!$D:$D,F$84-ROW($A$138)+ROW(F124),0),"")="","Ej Valt",INDEX('Bärbara datorer (B)'!J:J,F$84-ROW($A$138)+ROW(F124),0)),"")</f>
        <v>Ej Valt</v>
      </c>
      <c r="G129" s="125" t="str" cm="1">
        <f t="array" aca="1" ref="G129" ca="1">IFERROR(IF(IFERROR(INDEX('Bärbara datorer (B)'!$D:$D,G$84-ROW($A$138)+ROW(G124),0),"")="","Ej Valt",INDEX('Bärbara datorer (B)'!K:K,G$84-ROW($A$138)+ROW(G124),0)),"")</f>
        <v>Ej Valt</v>
      </c>
      <c r="H129" s="125" t="str" cm="1">
        <f t="array" aca="1" ref="H129" ca="1">IFERROR(IF(IFERROR(INDEX('Bärbara datorer (B)'!$D:$D,H$84-ROW($A$138)+ROW(H124),0),"")="","Ej Valt",INDEX('Bärbara datorer (B)'!L:L,H$84-ROW($A$138)+ROW(H124),0)),"")</f>
        <v>Ej Valt</v>
      </c>
      <c r="I129" s="125" t="str" cm="1">
        <f t="array" aca="1" ref="I129" ca="1">IFERROR(IF(IFERROR(INDEX('Bärbara datorer (B)'!$D:$D,I$84-ROW($A$138)+ROW(I124),0),"")="","Ej Valt",INDEX('Bärbara datorer (B)'!M:M,I$84-ROW($A$138)+ROW(I124),0)),"")</f>
        <v>Ej Valt</v>
      </c>
      <c r="J129" s="125" t="str" cm="1">
        <f t="array" aca="1" ref="J129" ca="1">IFERROR(IF(IFERROR(INDEX('Bärbara datorer (B)'!$D:$D,J$84-ROW($A$138)+ROW(J124),0),"")="","Ej Valt",INDEX('Bärbara datorer (B)'!N:N,J$84-ROW($A$138)+ROW(J124),0)),"")</f>
        <v>Ej Valt</v>
      </c>
      <c r="K129" s="125" t="str" cm="1">
        <f t="array" aca="1" ref="K129" ca="1">IFERROR(IF(IFERROR(INDEX('Bärbara datorer (B)'!$D:$D,K$84-ROW($A$138)+ROW(K124),0),"")="","Ej Valt",INDEX('Bärbara datorer (B)'!O:O,K$84-ROW($A$138)+ROW(K124),0)),"")</f>
        <v>Ej Valt</v>
      </c>
    </row>
    <row r="130" spans="1:11" ht="37.5" customHeight="1" outlineLevel="1" x14ac:dyDescent="0.3">
      <c r="A130" s="42" t="s">
        <v>341</v>
      </c>
      <c r="B130" s="125" t="str" cm="1">
        <f t="array" aca="1" ref="B130" ca="1">IFERROR(IF(IFERROR(INDEX('Bärbara datorer (B)'!$D:$D,B$84-ROW($A$138)+ROW(B125),0),"")="","-",INDEX('Bärbara datorer (B)'!F:F,B$84-ROW($A$138)+ROW(B125),0)),"")</f>
        <v>-</v>
      </c>
      <c r="C130" s="125" t="str" cm="1">
        <f t="array" aca="1" ref="C130" ca="1">IFERROR(IF(IFERROR(INDEX('Bärbara datorer (B)'!$D:$D,C$84-ROW($A$138)+ROW(C125),0),"")="","-",INDEX('Bärbara datorer (B)'!G:G,C$84-ROW($A$138)+ROW(C125),0)),"")</f>
        <v>-</v>
      </c>
      <c r="D130" s="125" t="str" cm="1">
        <f t="array" aca="1" ref="D130" ca="1">IFERROR(IF(IFERROR(INDEX('Bärbara datorer (B)'!$D:$D,D$84-ROW($A$138)+ROW(D125),0),"")="","-",INDEX('Bärbara datorer (B)'!H:H,D$84-ROW($A$138)+ROW(D125),0)),"")</f>
        <v>-</v>
      </c>
      <c r="E130" s="125" t="str" cm="1">
        <f t="array" aca="1" ref="E130" ca="1">IFERROR(IF(IFERROR(INDEX('Bärbara datorer (B)'!$D:$D,E$84-ROW($A$138)+ROW(E125),0),"")="","-",INDEX('Bärbara datorer (B)'!I:I,E$84-ROW($A$138)+ROW(E125),0)),"")</f>
        <v>-</v>
      </c>
      <c r="F130" s="125" t="str" cm="1">
        <f t="array" aca="1" ref="F130" ca="1">IFERROR(IF(IFERROR(INDEX('Bärbara datorer (B)'!$D:$D,F$84-ROW($A$138)+ROW(F125),0),"")="","-",INDEX('Bärbara datorer (B)'!J:J,F$84-ROW($A$138)+ROW(F125),0)),"")</f>
        <v>-</v>
      </c>
      <c r="G130" s="125" t="str" cm="1">
        <f t="array" aca="1" ref="G130" ca="1">IFERROR(IF(IFERROR(INDEX('Bärbara datorer (B)'!$D:$D,G$84-ROW($A$138)+ROW(G125),0),"")="","-",INDEX('Bärbara datorer (B)'!K:K,G$84-ROW($A$138)+ROW(G125),0)),"")</f>
        <v>-</v>
      </c>
      <c r="H130" s="125" t="str" cm="1">
        <f t="array" aca="1" ref="H130" ca="1">IFERROR(IF(IFERROR(INDEX('Bärbara datorer (B)'!$D:$D,H$84-ROW($A$138)+ROW(H125),0),"")="","-",INDEX('Bärbara datorer (B)'!L:L,H$84-ROW($A$138)+ROW(H125),0)),"")</f>
        <v>-</v>
      </c>
      <c r="I130" s="125" t="str" cm="1">
        <f t="array" aca="1" ref="I130" ca="1">IFERROR(IF(IFERROR(INDEX('Bärbara datorer (B)'!$D:$D,I$84-ROW($A$138)+ROW(I125),0),"")="","-",INDEX('Bärbara datorer (B)'!M:M,I$84-ROW($A$138)+ROW(I125),0)),"")</f>
        <v>-</v>
      </c>
      <c r="J130" s="125" t="str" cm="1">
        <f t="array" aca="1" ref="J130" ca="1">IFERROR(IF(IFERROR(INDEX('Bärbara datorer (B)'!$D:$D,J$84-ROW($A$138)+ROW(J125),0),"")="","-",INDEX('Bärbara datorer (B)'!N:N,J$84-ROW($A$138)+ROW(J125),0)),"")</f>
        <v>-</v>
      </c>
      <c r="K130" s="125" t="str" cm="1">
        <f t="array" aca="1" ref="K130" ca="1">IFERROR(IF(IFERROR(INDEX('Bärbara datorer (B)'!$D:$D,K$84-ROW($A$138)+ROW(K125),0),"")="","-",INDEX('Bärbara datorer (B)'!O:O,K$84-ROW($A$138)+ROW(K125),0)),"")</f>
        <v>-</v>
      </c>
    </row>
    <row r="131" spans="1:11" ht="37.5" customHeight="1" outlineLevel="1" x14ac:dyDescent="0.3">
      <c r="A131" s="42" t="s">
        <v>346</v>
      </c>
      <c r="B131" s="125" t="str" cm="1">
        <f t="array" aca="1" ref="B131" ca="1">IFERROR(IF(IFERROR(INDEX('Bärbara datorer (B)'!$D:$D,B$84-ROW($A$138)+ROW(B126),0),"")="","-",INDEX('Bärbara datorer (B)'!F:F,B$84-ROW($A$138)+ROW(B126),0)),"")</f>
        <v>-</v>
      </c>
      <c r="C131" s="125" t="str" cm="1">
        <f t="array" aca="1" ref="C131" ca="1">IFERROR(IF(IFERROR(INDEX('Bärbara datorer (B)'!$D:$D,C$84-ROW($A$138)+ROW(C126),0),"")="","-",INDEX('Bärbara datorer (B)'!G:G,C$84-ROW($A$138)+ROW(C126),0)),"")</f>
        <v>-</v>
      </c>
      <c r="D131" s="125" t="str" cm="1">
        <f t="array" aca="1" ref="D131" ca="1">IFERROR(IF(IFERROR(INDEX('Bärbara datorer (B)'!$D:$D,D$84-ROW($A$138)+ROW(D126),0),"")="","-",INDEX('Bärbara datorer (B)'!H:H,D$84-ROW($A$138)+ROW(D126),0)),"")</f>
        <v>-</v>
      </c>
      <c r="E131" s="125" t="str" cm="1">
        <f t="array" aca="1" ref="E131" ca="1">IFERROR(IF(IFERROR(INDEX('Bärbara datorer (B)'!$D:$D,E$84-ROW($A$138)+ROW(E126),0),"")="","-",INDEX('Bärbara datorer (B)'!I:I,E$84-ROW($A$138)+ROW(E126),0)),"")</f>
        <v>-</v>
      </c>
      <c r="F131" s="125" t="str" cm="1">
        <f t="array" aca="1" ref="F131" ca="1">IFERROR(IF(IFERROR(INDEX('Bärbara datorer (B)'!$D:$D,F$84-ROW($A$138)+ROW(F126),0),"")="","-",INDEX('Bärbara datorer (B)'!J:J,F$84-ROW($A$138)+ROW(F126),0)),"")</f>
        <v>-</v>
      </c>
      <c r="G131" s="125" t="str" cm="1">
        <f t="array" aca="1" ref="G131" ca="1">IFERROR(IF(IFERROR(INDEX('Bärbara datorer (B)'!$D:$D,G$84-ROW($A$138)+ROW(G126),0),"")="","-",INDEX('Bärbara datorer (B)'!K:K,G$84-ROW($A$138)+ROW(G126),0)),"")</f>
        <v>-</v>
      </c>
      <c r="H131" s="125" t="str" cm="1">
        <f t="array" aca="1" ref="H131" ca="1">IFERROR(IF(IFERROR(INDEX('Bärbara datorer (B)'!$D:$D,H$84-ROW($A$138)+ROW(H126),0),"")="","-",INDEX('Bärbara datorer (B)'!L:L,H$84-ROW($A$138)+ROW(H126),0)),"")</f>
        <v>-</v>
      </c>
      <c r="I131" s="125" t="str" cm="1">
        <f t="array" aca="1" ref="I131" ca="1">IFERROR(IF(IFERROR(INDEX('Bärbara datorer (B)'!$D:$D,I$84-ROW($A$138)+ROW(I126),0),"")="","-",INDEX('Bärbara datorer (B)'!M:M,I$84-ROW($A$138)+ROW(I126),0)),"")</f>
        <v>-</v>
      </c>
      <c r="J131" s="125" t="str" cm="1">
        <f t="array" aca="1" ref="J131" ca="1">IFERROR(IF(IFERROR(INDEX('Bärbara datorer (B)'!$D:$D,J$84-ROW($A$138)+ROW(J126),0),"")="","-",INDEX('Bärbara datorer (B)'!N:N,J$84-ROW($A$138)+ROW(J126),0)),"")</f>
        <v>-</v>
      </c>
      <c r="K131" s="125" t="str" cm="1">
        <f t="array" aca="1" ref="K131" ca="1">IFERROR(IF(IFERROR(INDEX('Bärbara datorer (B)'!$D:$D,K$84-ROW($A$138)+ROW(K126),0),"")="","-",INDEX('Bärbara datorer (B)'!O:O,K$84-ROW($A$138)+ROW(K126),0)),"")</f>
        <v>-</v>
      </c>
    </row>
    <row r="132" spans="1:11" ht="37.5" customHeight="1" outlineLevel="1" x14ac:dyDescent="0.3">
      <c r="A132" s="42" t="s">
        <v>270</v>
      </c>
      <c r="B132" s="125" t="str" cm="1">
        <f t="array" aca="1" ref="B132" ca="1">IFERROR(IF(IFERROR(INDEX('Bärbara datorer (B)'!$D:$D,B$84-ROW($A$138)+ROW(B127),0),"")="","Ej Valt",INDEX('Bärbara datorer (B)'!F:F,B$84-ROW($A$138)+ROW(B127),0)),"")</f>
        <v>Ej Valt</v>
      </c>
      <c r="C132" s="125" t="str" cm="1">
        <f t="array" aca="1" ref="C132" ca="1">IFERROR(IF(IFERROR(INDEX('Bärbara datorer (B)'!$D:$D,C$84-ROW($A$138)+ROW(C127),0),"")="","Ej Valt",INDEX('Bärbara datorer (B)'!G:G,C$84-ROW($A$138)+ROW(C127),0)),"")</f>
        <v>Ej Valt</v>
      </c>
      <c r="D132" s="125" t="str" cm="1">
        <f t="array" aca="1" ref="D132" ca="1">IFERROR(IF(IFERROR(INDEX('Bärbara datorer (B)'!$D:$D,D$84-ROW($A$138)+ROW(D127),0),"")="","Ej Valt",INDEX('Bärbara datorer (B)'!H:H,D$84-ROW($A$138)+ROW(D127),0)),"")</f>
        <v>Ej Valt</v>
      </c>
      <c r="E132" s="125" t="str" cm="1">
        <f t="array" aca="1" ref="E132" ca="1">IFERROR(IF(IFERROR(INDEX('Bärbara datorer (B)'!$D:$D,E$84-ROW($A$138)+ROW(E127),0),"")="","Ej Valt",INDEX('Bärbara datorer (B)'!I:I,E$84-ROW($A$138)+ROW(E127),0)),"")</f>
        <v>Ej Valt</v>
      </c>
      <c r="F132" s="125" t="str" cm="1">
        <f t="array" aca="1" ref="F132" ca="1">IFERROR(IF(IFERROR(INDEX('Bärbara datorer (B)'!$D:$D,F$84-ROW($A$138)+ROW(F127),0),"")="","Ej Valt",INDEX('Bärbara datorer (B)'!J:J,F$84-ROW($A$138)+ROW(F127),0)),"")</f>
        <v>Ej Valt</v>
      </c>
      <c r="G132" s="125" t="str" cm="1">
        <f t="array" aca="1" ref="G132" ca="1">IFERROR(IF(IFERROR(INDEX('Bärbara datorer (B)'!$D:$D,G$84-ROW($A$138)+ROW(G127),0),"")="","Ej Valt",INDEX('Bärbara datorer (B)'!K:K,G$84-ROW($A$138)+ROW(G127),0)),"")</f>
        <v>Ej Valt</v>
      </c>
      <c r="H132" s="125" t="str" cm="1">
        <f t="array" aca="1" ref="H132" ca="1">IFERROR(IF(IFERROR(INDEX('Bärbara datorer (B)'!$D:$D,H$84-ROW($A$138)+ROW(H127),0),"")="","Ej Valt",INDEX('Bärbara datorer (B)'!L:L,H$84-ROW($A$138)+ROW(H127),0)),"")</f>
        <v>Ej Valt</v>
      </c>
      <c r="I132" s="125" t="str" cm="1">
        <f t="array" aca="1" ref="I132" ca="1">IFERROR(IF(IFERROR(INDEX('Bärbara datorer (B)'!$D:$D,I$84-ROW($A$138)+ROW(I127),0),"")="","Ej Valt",INDEX('Bärbara datorer (B)'!M:M,I$84-ROW($A$138)+ROW(I127),0)),"")</f>
        <v>Ej Valt</v>
      </c>
      <c r="J132" s="125" t="str" cm="1">
        <f t="array" aca="1" ref="J132" ca="1">IFERROR(IF(IFERROR(INDEX('Bärbara datorer (B)'!$D:$D,J$84-ROW($A$138)+ROW(J127),0),"")="","Ej Valt",INDEX('Bärbara datorer (B)'!N:N,J$84-ROW($A$138)+ROW(J127),0)),"")</f>
        <v>Ej Valt</v>
      </c>
      <c r="K132" s="125" t="str" cm="1">
        <f t="array" aca="1" ref="K132" ca="1">IFERROR(IF(IFERROR(INDEX('Bärbara datorer (B)'!$D:$D,K$84-ROW($A$138)+ROW(K127),0),"")="","Ej Valt",INDEX('Bärbara datorer (B)'!O:O,K$84-ROW($A$138)+ROW(K127),0)),"")</f>
        <v>Ej Valt</v>
      </c>
    </row>
    <row r="133" spans="1:11" ht="37.5" customHeight="1" outlineLevel="1" x14ac:dyDescent="0.3">
      <c r="A133" s="42" t="s">
        <v>342</v>
      </c>
      <c r="B133" s="125" t="str" cm="1">
        <f t="array" aca="1" ref="B133" ca="1">IFERROR(IF(IFERROR(INDEX('Bärbara datorer (B)'!$D:$D,B$84-ROW($A$138)+ROW(B128),0),"")="","-",INDEX('Bärbara datorer (B)'!F:F,B$84-ROW($A$138)+ROW(B128),0)),"")</f>
        <v>-</v>
      </c>
      <c r="C133" s="125" t="str" cm="1">
        <f t="array" aca="1" ref="C133" ca="1">IFERROR(IF(IFERROR(INDEX('Bärbara datorer (B)'!$D:$D,C$84-ROW($A$138)+ROW(C128),0),"")="","-",INDEX('Bärbara datorer (B)'!G:G,C$84-ROW($A$138)+ROW(C128),0)),"")</f>
        <v>-</v>
      </c>
      <c r="D133" s="125" t="str" cm="1">
        <f t="array" aca="1" ref="D133" ca="1">IFERROR(IF(IFERROR(INDEX('Bärbara datorer (B)'!$D:$D,D$84-ROW($A$138)+ROW(D128),0),"")="","-",INDEX('Bärbara datorer (B)'!H:H,D$84-ROW($A$138)+ROW(D128),0)),"")</f>
        <v>-</v>
      </c>
      <c r="E133" s="125" t="str" cm="1">
        <f t="array" aca="1" ref="E133" ca="1">IFERROR(IF(IFERROR(INDEX('Bärbara datorer (B)'!$D:$D,E$84-ROW($A$138)+ROW(E128),0),"")="","-",INDEX('Bärbara datorer (B)'!I:I,E$84-ROW($A$138)+ROW(E128),0)),"")</f>
        <v>-</v>
      </c>
      <c r="F133" s="125" t="str" cm="1">
        <f t="array" aca="1" ref="F133" ca="1">IFERROR(IF(IFERROR(INDEX('Bärbara datorer (B)'!$D:$D,F$84-ROW($A$138)+ROW(F128),0),"")="","-",INDEX('Bärbara datorer (B)'!J:J,F$84-ROW($A$138)+ROW(F128),0)),"")</f>
        <v>-</v>
      </c>
      <c r="G133" s="125" t="str" cm="1">
        <f t="array" aca="1" ref="G133" ca="1">IFERROR(IF(IFERROR(INDEX('Bärbara datorer (B)'!$D:$D,G$84-ROW($A$138)+ROW(G128),0),"")="","-",INDEX('Bärbara datorer (B)'!K:K,G$84-ROW($A$138)+ROW(G128),0)),"")</f>
        <v>-</v>
      </c>
      <c r="H133" s="125" t="str" cm="1">
        <f t="array" aca="1" ref="H133" ca="1">IFERROR(IF(IFERROR(INDEX('Bärbara datorer (B)'!$D:$D,H$84-ROW($A$138)+ROW(H128),0),"")="","-",INDEX('Bärbara datorer (B)'!L:L,H$84-ROW($A$138)+ROW(H128),0)),"")</f>
        <v>-</v>
      </c>
      <c r="I133" s="125" t="str" cm="1">
        <f t="array" aca="1" ref="I133" ca="1">IFERROR(IF(IFERROR(INDEX('Bärbara datorer (B)'!$D:$D,I$84-ROW($A$138)+ROW(I128),0),"")="","-",INDEX('Bärbara datorer (B)'!M:M,I$84-ROW($A$138)+ROW(I128),0)),"")</f>
        <v>-</v>
      </c>
      <c r="J133" s="125" t="str" cm="1">
        <f t="array" aca="1" ref="J133" ca="1">IFERROR(IF(IFERROR(INDEX('Bärbara datorer (B)'!$D:$D,J$84-ROW($A$138)+ROW(J128),0),"")="","-",INDEX('Bärbara datorer (B)'!N:N,J$84-ROW($A$138)+ROW(J128),0)),"")</f>
        <v>-</v>
      </c>
      <c r="K133" s="125" t="str" cm="1">
        <f t="array" aca="1" ref="K133" ca="1">IFERROR(IF(IFERROR(INDEX('Bärbara datorer (B)'!$D:$D,K$84-ROW($A$138)+ROW(K128),0),"")="","-",INDEX('Bärbara datorer (B)'!O:O,K$84-ROW($A$138)+ROW(K128),0)),"")</f>
        <v>-</v>
      </c>
    </row>
    <row r="134" spans="1:11" ht="37.5" customHeight="1" outlineLevel="1" x14ac:dyDescent="0.3">
      <c r="A134" s="42" t="s">
        <v>347</v>
      </c>
      <c r="B134" s="125" t="str" cm="1">
        <f t="array" aca="1" ref="B134" ca="1">IFERROR(IF(IFERROR(INDEX('Bärbara datorer (B)'!$D:$D,B$84-ROW($A$138)+ROW(B129),0),"")="","-",INDEX('Bärbara datorer (B)'!F:F,B$84-ROW($A$138)+ROW(B129),0)),"")</f>
        <v>-</v>
      </c>
      <c r="C134" s="125" t="str" cm="1">
        <f t="array" aca="1" ref="C134" ca="1">IFERROR(IF(IFERROR(INDEX('Bärbara datorer (B)'!$D:$D,C$84-ROW($A$138)+ROW(C129),0),"")="","-",INDEX('Bärbara datorer (B)'!G:G,C$84-ROW($A$138)+ROW(C129),0)),"")</f>
        <v>-</v>
      </c>
      <c r="D134" s="125" t="str" cm="1">
        <f t="array" aca="1" ref="D134" ca="1">IFERROR(IF(IFERROR(INDEX('Bärbara datorer (B)'!$D:$D,D$84-ROW($A$138)+ROW(D129),0),"")="","-",INDEX('Bärbara datorer (B)'!H:H,D$84-ROW($A$138)+ROW(D129),0)),"")</f>
        <v>-</v>
      </c>
      <c r="E134" s="125" t="str" cm="1">
        <f t="array" aca="1" ref="E134" ca="1">IFERROR(IF(IFERROR(INDEX('Bärbara datorer (B)'!$D:$D,E$84-ROW($A$138)+ROW(E129),0),"")="","-",INDEX('Bärbara datorer (B)'!I:I,E$84-ROW($A$138)+ROW(E129),0)),"")</f>
        <v>-</v>
      </c>
      <c r="F134" s="125" t="str" cm="1">
        <f t="array" aca="1" ref="F134" ca="1">IFERROR(IF(IFERROR(INDEX('Bärbara datorer (B)'!$D:$D,F$84-ROW($A$138)+ROW(F129),0),"")="","-",INDEX('Bärbara datorer (B)'!J:J,F$84-ROW($A$138)+ROW(F129),0)),"")</f>
        <v>-</v>
      </c>
      <c r="G134" s="125" t="str" cm="1">
        <f t="array" aca="1" ref="G134" ca="1">IFERROR(IF(IFERROR(INDEX('Bärbara datorer (B)'!$D:$D,G$84-ROW($A$138)+ROW(G129),0),"")="","-",INDEX('Bärbara datorer (B)'!K:K,G$84-ROW($A$138)+ROW(G129),0)),"")</f>
        <v>-</v>
      </c>
      <c r="H134" s="125" t="str" cm="1">
        <f t="array" aca="1" ref="H134" ca="1">IFERROR(IF(IFERROR(INDEX('Bärbara datorer (B)'!$D:$D,H$84-ROW($A$138)+ROW(H129),0),"")="","-",INDEX('Bärbara datorer (B)'!L:L,H$84-ROW($A$138)+ROW(H129),0)),"")</f>
        <v>-</v>
      </c>
      <c r="I134" s="125" t="str" cm="1">
        <f t="array" aca="1" ref="I134" ca="1">IFERROR(IF(IFERROR(INDEX('Bärbara datorer (B)'!$D:$D,I$84-ROW($A$138)+ROW(I129),0),"")="","-",INDEX('Bärbara datorer (B)'!M:M,I$84-ROW($A$138)+ROW(I129),0)),"")</f>
        <v>-</v>
      </c>
      <c r="J134" s="125" t="str" cm="1">
        <f t="array" aca="1" ref="J134" ca="1">IFERROR(IF(IFERROR(INDEX('Bärbara datorer (B)'!$D:$D,J$84-ROW($A$138)+ROW(J129),0),"")="","-",INDEX('Bärbara datorer (B)'!N:N,J$84-ROW($A$138)+ROW(J129),0)),"")</f>
        <v>-</v>
      </c>
      <c r="K134" s="125" t="str" cm="1">
        <f t="array" aca="1" ref="K134" ca="1">IFERROR(IF(IFERROR(INDEX('Bärbara datorer (B)'!$D:$D,K$84-ROW($A$138)+ROW(K129),0),"")="","-",INDEX('Bärbara datorer (B)'!O:O,K$84-ROW($A$138)+ROW(K129),0)),"")</f>
        <v>-</v>
      </c>
    </row>
    <row r="135" spans="1:11" ht="37.5" customHeight="1" outlineLevel="1" x14ac:dyDescent="0.3">
      <c r="A135" s="42" t="s">
        <v>262</v>
      </c>
      <c r="B135" s="125" t="str" cm="1">
        <f t="array" aca="1" ref="B135" ca="1">IFERROR(IF(IFERROR(INDEX('Bärbara datorer (B)'!$D:$D,B$84-ROW($A$138)+ROW(B131),0),"")="","Ej Valt",INDEX('Bärbara datorer (B)'!F:F,B$84-ROW($A$138)+ROW(B131),0)),"")</f>
        <v>Ej Valt</v>
      </c>
      <c r="C135" s="125" t="str" cm="1">
        <f t="array" aca="1" ref="C135" ca="1">IFERROR(IF(IFERROR(INDEX('Bärbara datorer (B)'!$D:$D,C$84-ROW($A$138)+ROW(C131),0),"")="","Ej Valt",INDEX('Bärbara datorer (B)'!G:G,C$84-ROW($A$138)+ROW(C131),0)),"")</f>
        <v>Ej Valt</v>
      </c>
      <c r="D135" s="125" t="str" cm="1">
        <f t="array" aca="1" ref="D135" ca="1">IFERROR(IF(IFERROR(INDEX('Bärbara datorer (B)'!$D:$D,D$84-ROW($A$138)+ROW(D131),0),"")="","Ej Valt",INDEX('Bärbara datorer (B)'!H:H,D$84-ROW($A$138)+ROW(D131),0)),"")</f>
        <v>Ej Valt</v>
      </c>
      <c r="E135" s="125" t="str" cm="1">
        <f t="array" aca="1" ref="E135" ca="1">IFERROR(IF(IFERROR(INDEX('Bärbara datorer (B)'!$D:$D,E$84-ROW($A$138)+ROW(E131),0),"")="","Ej Valt",INDEX('Bärbara datorer (B)'!I:I,E$84-ROW($A$138)+ROW(E131),0)),"")</f>
        <v>Ej Valt</v>
      </c>
      <c r="F135" s="125" t="str" cm="1">
        <f t="array" aca="1" ref="F135" ca="1">IFERROR(IF(IFERROR(INDEX('Bärbara datorer (B)'!$D:$D,F$84-ROW($A$138)+ROW(F131),0),"")="","Ej Valt",INDEX('Bärbara datorer (B)'!J:J,F$84-ROW($A$138)+ROW(F131),0)),"")</f>
        <v>Ej Valt</v>
      </c>
      <c r="G135" s="125" t="str" cm="1">
        <f t="array" aca="1" ref="G135" ca="1">IFERROR(IF(IFERROR(INDEX('Bärbara datorer (B)'!$D:$D,G$84-ROW($A$138)+ROW(G131),0),"")="","Ej Valt",INDEX('Bärbara datorer (B)'!K:K,G$84-ROW($A$138)+ROW(G131),0)),"")</f>
        <v>Ej Valt</v>
      </c>
      <c r="H135" s="125" t="str" cm="1">
        <f t="array" aca="1" ref="H135" ca="1">IFERROR(IF(IFERROR(INDEX('Bärbara datorer (B)'!$D:$D,H$84-ROW($A$138)+ROW(H131),0),"")="","Ej Valt",INDEX('Bärbara datorer (B)'!L:L,H$84-ROW($A$138)+ROW(H131),0)),"")</f>
        <v>Ej Valt</v>
      </c>
      <c r="I135" s="125" t="str" cm="1">
        <f t="array" aca="1" ref="I135" ca="1">IFERROR(IF(IFERROR(INDEX('Bärbara datorer (B)'!$D:$D,I$84-ROW($A$138)+ROW(I131),0),"")="","Ej Valt",INDEX('Bärbara datorer (B)'!M:M,I$84-ROW($A$138)+ROW(I131),0)),"")</f>
        <v>Ej Valt</v>
      </c>
      <c r="J135" s="125" t="str" cm="1">
        <f t="array" aca="1" ref="J135" ca="1">IFERROR(IF(IFERROR(INDEX('Bärbara datorer (B)'!$D:$D,J$84-ROW($A$138)+ROW(J131),0),"")="","Ej Valt",INDEX('Bärbara datorer (B)'!N:N,J$84-ROW($A$138)+ROW(J131),0)),"")</f>
        <v>Ej Valt</v>
      </c>
      <c r="K135" s="125" t="str" cm="1">
        <f t="array" aca="1" ref="K135" ca="1">IFERROR(IF(IFERROR(INDEX('Bärbara datorer (B)'!$D:$D,K$84-ROW($A$138)+ROW(K131),0),"")="","Ej Valt",INDEX('Bärbara datorer (B)'!O:O,K$84-ROW($A$138)+ROW(K131),0)),"")</f>
        <v>Ej Valt</v>
      </c>
    </row>
    <row r="136" spans="1:11" ht="37.5" customHeight="1" outlineLevel="1" x14ac:dyDescent="0.3">
      <c r="A136" s="42" t="s">
        <v>263</v>
      </c>
      <c r="B136" s="125" t="str" cm="1">
        <f t="array" aca="1" ref="B136" ca="1">IFERROR(IF(IFERROR(INDEX('Bärbara datorer (B)'!$D:$D,B$84-ROW($A$138)+ROW(B132),0),"")="","Ej Valt",INDEX('Bärbara datorer (B)'!F:F,B$84-ROW($A$138)+ROW(B132),0)),"")</f>
        <v>Ej Valt</v>
      </c>
      <c r="C136" s="125" t="str" cm="1">
        <f t="array" aca="1" ref="C136" ca="1">IFERROR(IF(IFERROR(INDEX('Bärbara datorer (B)'!$D:$D,C$84-ROW($A$138)+ROW(C132),0),"")="","Ej Valt",INDEX('Bärbara datorer (B)'!G:G,C$84-ROW($A$138)+ROW(C132),0)),"")</f>
        <v>Ej Valt</v>
      </c>
      <c r="D136" s="125" t="str" cm="1">
        <f t="array" aca="1" ref="D136" ca="1">IFERROR(IF(IFERROR(INDEX('Bärbara datorer (B)'!$D:$D,D$84-ROW($A$138)+ROW(D132),0),"")="","Ej Valt",INDEX('Bärbara datorer (B)'!H:H,D$84-ROW($A$138)+ROW(D132),0)),"")</f>
        <v>Ej Valt</v>
      </c>
      <c r="E136" s="125" t="str" cm="1">
        <f t="array" aca="1" ref="E136" ca="1">IFERROR(IF(IFERROR(INDEX('Bärbara datorer (B)'!$D:$D,E$84-ROW($A$138)+ROW(E132),0),"")="","Ej Valt",INDEX('Bärbara datorer (B)'!I:I,E$84-ROW($A$138)+ROW(E132),0)),"")</f>
        <v>Ej Valt</v>
      </c>
      <c r="F136" s="125" t="str" cm="1">
        <f t="array" aca="1" ref="F136" ca="1">IFERROR(IF(IFERROR(INDEX('Bärbara datorer (B)'!$D:$D,F$84-ROW($A$138)+ROW(F132),0),"")="","Ej Valt",INDEX('Bärbara datorer (B)'!J:J,F$84-ROW($A$138)+ROW(F132),0)),"")</f>
        <v>Ej Valt</v>
      </c>
      <c r="G136" s="125" t="str" cm="1">
        <f t="array" aca="1" ref="G136" ca="1">IFERROR(IF(IFERROR(INDEX('Bärbara datorer (B)'!$D:$D,G$84-ROW($A$138)+ROW(G132),0),"")="","Ej Valt",INDEX('Bärbara datorer (B)'!K:K,G$84-ROW($A$138)+ROW(G132),0)),"")</f>
        <v>Ej Valt</v>
      </c>
      <c r="H136" s="125" t="str" cm="1">
        <f t="array" aca="1" ref="H136" ca="1">IFERROR(IF(IFERROR(INDEX('Bärbara datorer (B)'!$D:$D,H$84-ROW($A$138)+ROW(H132),0),"")="","Ej Valt",INDEX('Bärbara datorer (B)'!L:L,H$84-ROW($A$138)+ROW(H132),0)),"")</f>
        <v>Ej Valt</v>
      </c>
      <c r="I136" s="125" t="str" cm="1">
        <f t="array" aca="1" ref="I136" ca="1">IFERROR(IF(IFERROR(INDEX('Bärbara datorer (B)'!$D:$D,I$84-ROW($A$138)+ROW(I132),0),"")="","Ej Valt",INDEX('Bärbara datorer (B)'!M:M,I$84-ROW($A$138)+ROW(I132),0)),"")</f>
        <v>Ej Valt</v>
      </c>
      <c r="J136" s="125" t="str" cm="1">
        <f t="array" aca="1" ref="J136" ca="1">IFERROR(IF(IFERROR(INDEX('Bärbara datorer (B)'!$D:$D,J$84-ROW($A$138)+ROW(J132),0),"")="","Ej Valt",INDEX('Bärbara datorer (B)'!N:N,J$84-ROW($A$138)+ROW(J132),0)),"")</f>
        <v>Ej Valt</v>
      </c>
      <c r="K136" s="125" t="str" cm="1">
        <f t="array" aca="1" ref="K136" ca="1">IFERROR(IF(IFERROR(INDEX('Bärbara datorer (B)'!$D:$D,K$84-ROW($A$138)+ROW(K132),0),"")="","Ej Valt",INDEX('Bärbara datorer (B)'!O:O,K$84-ROW($A$138)+ROW(K132),0)),"")</f>
        <v>Ej Valt</v>
      </c>
    </row>
    <row r="137" spans="1:11" ht="37.5" customHeight="1" outlineLevel="1" x14ac:dyDescent="0.3">
      <c r="A137" s="42" t="s">
        <v>264</v>
      </c>
      <c r="B137" s="125" t="str" cm="1">
        <f t="array" aca="1" ref="B137" ca="1">IFERROR(IF(IFERROR(INDEX('Bärbara datorer (B)'!$D:$D,B$84-ROW($A$138)+ROW(B133),0),"")="","Ej Valt",INDEX('Bärbara datorer (B)'!F:F,B$84-ROW($A$138)+ROW(B133),0)),"")</f>
        <v>Ej Valt</v>
      </c>
      <c r="C137" s="125" t="str" cm="1">
        <f t="array" aca="1" ref="C137" ca="1">IFERROR(IF(IFERROR(INDEX('Bärbara datorer (B)'!$D:$D,C$84-ROW($A$138)+ROW(C133),0),"")="","Ej Valt",INDEX('Bärbara datorer (B)'!G:G,C$84-ROW($A$138)+ROW(C133),0)),"")</f>
        <v>Ej Valt</v>
      </c>
      <c r="D137" s="125" t="str" cm="1">
        <f t="array" aca="1" ref="D137" ca="1">IFERROR(IF(IFERROR(INDEX('Bärbara datorer (B)'!$D:$D,D$84-ROW($A$138)+ROW(D133),0),"")="","Ej Valt",INDEX('Bärbara datorer (B)'!H:H,D$84-ROW($A$138)+ROW(D133),0)),"")</f>
        <v>Ej Valt</v>
      </c>
      <c r="E137" s="125" t="str" cm="1">
        <f t="array" aca="1" ref="E137" ca="1">IFERROR(IF(IFERROR(INDEX('Bärbara datorer (B)'!$D:$D,E$84-ROW($A$138)+ROW(E133),0),"")="","Ej Valt",INDEX('Bärbara datorer (B)'!I:I,E$84-ROW($A$138)+ROW(E133),0)),"")</f>
        <v>Ej Valt</v>
      </c>
      <c r="F137" s="125" t="str" cm="1">
        <f t="array" aca="1" ref="F137" ca="1">IFERROR(IF(IFERROR(INDEX('Bärbara datorer (B)'!$D:$D,F$84-ROW($A$138)+ROW(F133),0),"")="","Ej Valt",INDEX('Bärbara datorer (B)'!J:J,F$84-ROW($A$138)+ROW(F133),0)),"")</f>
        <v>Ej Valt</v>
      </c>
      <c r="G137" s="125" t="str" cm="1">
        <f t="array" aca="1" ref="G137" ca="1">IFERROR(IF(IFERROR(INDEX('Bärbara datorer (B)'!$D:$D,G$84-ROW($A$138)+ROW(G133),0),"")="","Ej Valt",INDEX('Bärbara datorer (B)'!K:K,G$84-ROW($A$138)+ROW(G133),0)),"")</f>
        <v>Ej Valt</v>
      </c>
      <c r="H137" s="125" t="str" cm="1">
        <f t="array" aca="1" ref="H137" ca="1">IFERROR(IF(IFERROR(INDEX('Bärbara datorer (B)'!$D:$D,H$84-ROW($A$138)+ROW(H133),0),"")="","Ej Valt",INDEX('Bärbara datorer (B)'!L:L,H$84-ROW($A$138)+ROW(H133),0)),"")</f>
        <v>Ej Valt</v>
      </c>
      <c r="I137" s="125" t="str" cm="1">
        <f t="array" aca="1" ref="I137" ca="1">IFERROR(IF(IFERROR(INDEX('Bärbara datorer (B)'!$D:$D,I$84-ROW($A$138)+ROW(I133),0),"")="","Ej Valt",INDEX('Bärbara datorer (B)'!M:M,I$84-ROW($A$138)+ROW(I133),0)),"")</f>
        <v>Ej Valt</v>
      </c>
      <c r="J137" s="125" t="str" cm="1">
        <f t="array" aca="1" ref="J137" ca="1">IFERROR(IF(IFERROR(INDEX('Bärbara datorer (B)'!$D:$D,J$84-ROW($A$138)+ROW(J133),0),"")="","Ej Valt",INDEX('Bärbara datorer (B)'!N:N,J$84-ROW($A$138)+ROW(J133),0)),"")</f>
        <v>Ej Valt</v>
      </c>
      <c r="K137" s="125" t="str" cm="1">
        <f t="array" aca="1" ref="K137" ca="1">IFERROR(IF(IFERROR(INDEX('Bärbara datorer (B)'!$D:$D,K$84-ROW($A$138)+ROW(K133),0),"")="","Ej Valt",INDEX('Bärbara datorer (B)'!O:O,K$84-ROW($A$138)+ROW(K133),0)),"")</f>
        <v>Ej Valt</v>
      </c>
    </row>
    <row r="138" spans="1:11" ht="37.5" customHeight="1" outlineLevel="1" x14ac:dyDescent="0.3">
      <c r="A138" s="42" t="s">
        <v>269</v>
      </c>
      <c r="B138" s="125" t="str" cm="1">
        <f t="array" aca="1" ref="B138" ca="1">IFERROR(IF(IFERROR(INDEX('Bärbara datorer (B)'!$D:$D,B$84-ROW($A$138)+ROW(B134),0),"")="","Ej Valt",INDEX('Bärbara datorer (B)'!F:F,B$84-ROW($A$138)+ROW(B134),0)),"")</f>
        <v>Ej Valt</v>
      </c>
      <c r="C138" s="125" t="str" cm="1">
        <f t="array" aca="1" ref="C138" ca="1">IFERROR(IF(IFERROR(INDEX('Bärbara datorer (B)'!$D:$D,C$84-ROW($A$138)+ROW(C134),0),"")="","Ej Valt",INDEX('Bärbara datorer (B)'!G:G,C$84-ROW($A$138)+ROW(C134),0)),"")</f>
        <v>Ej Valt</v>
      </c>
      <c r="D138" s="125" t="str" cm="1">
        <f t="array" aca="1" ref="D138" ca="1">IFERROR(IF(IFERROR(INDEX('Bärbara datorer (B)'!$D:$D,D$84-ROW($A$138)+ROW(D134),0),"")="","Ej Valt",INDEX('Bärbara datorer (B)'!H:H,D$84-ROW($A$138)+ROW(D134),0)),"")</f>
        <v>Ej Valt</v>
      </c>
      <c r="E138" s="125" t="str" cm="1">
        <f t="array" aca="1" ref="E138" ca="1">IFERROR(IF(IFERROR(INDEX('Bärbara datorer (B)'!$D:$D,E$84-ROW($A$138)+ROW(E134),0),"")="","Ej Valt",INDEX('Bärbara datorer (B)'!I:I,E$84-ROW($A$138)+ROW(E134),0)),"")</f>
        <v>Ej Valt</v>
      </c>
      <c r="F138" s="125" t="str" cm="1">
        <f t="array" aca="1" ref="F138" ca="1">IFERROR(IF(IFERROR(INDEX('Bärbara datorer (B)'!$D:$D,F$84-ROW($A$138)+ROW(F134),0),"")="","Ej Valt",INDEX('Bärbara datorer (B)'!J:J,F$84-ROW($A$138)+ROW(F134),0)),"")</f>
        <v>Ej Valt</v>
      </c>
      <c r="G138" s="125" t="str" cm="1">
        <f t="array" aca="1" ref="G138" ca="1">IFERROR(IF(IFERROR(INDEX('Bärbara datorer (B)'!$D:$D,G$84-ROW($A$138)+ROW(G134),0),"")="","Ej Valt",INDEX('Bärbara datorer (B)'!K:K,G$84-ROW($A$138)+ROW(G134),0)),"")</f>
        <v>Ej Valt</v>
      </c>
      <c r="H138" s="125" t="str" cm="1">
        <f t="array" aca="1" ref="H138" ca="1">IFERROR(IF(IFERROR(INDEX('Bärbara datorer (B)'!$D:$D,H$84-ROW($A$138)+ROW(H134),0),"")="","Ej Valt",INDEX('Bärbara datorer (B)'!L:L,H$84-ROW($A$138)+ROW(H134),0)),"")</f>
        <v>Ej Valt</v>
      </c>
      <c r="I138" s="125" t="str" cm="1">
        <f t="array" aca="1" ref="I138" ca="1">IFERROR(IF(IFERROR(INDEX('Bärbara datorer (B)'!$D:$D,I$84-ROW($A$138)+ROW(I134),0),"")="","Ej Valt",INDEX('Bärbara datorer (B)'!M:M,I$84-ROW($A$138)+ROW(I134),0)),"")</f>
        <v>Ej Valt</v>
      </c>
      <c r="J138" s="125" t="str" cm="1">
        <f t="array" aca="1" ref="J138" ca="1">IFERROR(IF(IFERROR(INDEX('Bärbara datorer (B)'!$D:$D,J$84-ROW($A$138)+ROW(J134),0),"")="","Ej Valt",INDEX('Bärbara datorer (B)'!N:N,J$84-ROW($A$138)+ROW(J134),0)),"")</f>
        <v>Ej Valt</v>
      </c>
      <c r="K138" s="125" t="str" cm="1">
        <f t="array" aca="1" ref="K138" ca="1">IFERROR(IF(IFERROR(INDEX('Bärbara datorer (B)'!$D:$D,K$84-ROW($A$138)+ROW(K134),0),"")="","Ej Valt",INDEX('Bärbara datorer (B)'!O:O,K$84-ROW($A$138)+ROW(K134),0)),"")</f>
        <v>Ej Valt</v>
      </c>
    </row>
    <row r="139" spans="1:11" ht="18.75" customHeight="1" outlineLevel="1" x14ac:dyDescent="0.3">
      <c r="B139" s="124"/>
      <c r="C139" s="124"/>
      <c r="D139" s="124"/>
      <c r="E139" s="124"/>
      <c r="F139" s="124"/>
      <c r="G139" s="124"/>
      <c r="H139" s="124"/>
      <c r="I139" s="124"/>
      <c r="J139" s="124"/>
      <c r="K139" s="124"/>
    </row>
    <row r="140" spans="1:11" ht="18.75" customHeight="1" outlineLevel="1" x14ac:dyDescent="0.3">
      <c r="A140" s="39" t="s">
        <v>507</v>
      </c>
      <c r="B140" s="125">
        <f t="shared" ref="B140:K140" ca="1" si="5">SUM(B123:B138)</f>
        <v>0</v>
      </c>
      <c r="C140" s="125">
        <f t="shared" ca="1" si="5"/>
        <v>0</v>
      </c>
      <c r="D140" s="125">
        <f t="shared" ca="1" si="5"/>
        <v>0</v>
      </c>
      <c r="E140" s="125">
        <f t="shared" ca="1" si="5"/>
        <v>0</v>
      </c>
      <c r="F140" s="125">
        <f t="shared" ca="1" si="5"/>
        <v>0</v>
      </c>
      <c r="G140" s="125">
        <f t="shared" ca="1" si="5"/>
        <v>0</v>
      </c>
      <c r="H140" s="125">
        <f t="shared" ca="1" si="5"/>
        <v>0</v>
      </c>
      <c r="I140" s="125">
        <f t="shared" ca="1" si="5"/>
        <v>0</v>
      </c>
      <c r="J140" s="125">
        <f t="shared" ca="1" si="5"/>
        <v>0</v>
      </c>
      <c r="K140" s="125">
        <f t="shared" ca="1" si="5"/>
        <v>0</v>
      </c>
    </row>
    <row r="141" spans="1:11" ht="18.75" customHeight="1" outlineLevel="1" x14ac:dyDescent="0.3">
      <c r="A141" s="39" t="s">
        <v>121</v>
      </c>
      <c r="B141" s="125" cm="1">
        <f t="array" aca="1" ref="B141" ca="1">IFERROR(INDEX('Bärbara datorer (B)'!$D:$D,B84,0),"")</f>
        <v>0</v>
      </c>
      <c r="C141" s="125" cm="1">
        <f t="array" aca="1" ref="C141" ca="1">IFERROR(INDEX('Bärbara datorer (B)'!$D:$D,C84,0),"")</f>
        <v>0</v>
      </c>
      <c r="D141" s="125" cm="1">
        <f t="array" aca="1" ref="D141" ca="1">IFERROR(INDEX('Bärbara datorer (B)'!$D:$D,D84,0),"")</f>
        <v>0</v>
      </c>
      <c r="E141" s="125" cm="1">
        <f t="array" aca="1" ref="E141" ca="1">IFERROR(INDEX('Bärbara datorer (B)'!$D:$D,E84,0),"")</f>
        <v>0</v>
      </c>
      <c r="F141" s="125" cm="1">
        <f t="array" aca="1" ref="F141" ca="1">IFERROR(INDEX('Bärbara datorer (B)'!$D:$D,F84,0),"")</f>
        <v>0</v>
      </c>
      <c r="G141" s="125" cm="1">
        <f t="array" aca="1" ref="G141" ca="1">IFERROR(INDEX('Bärbara datorer (B)'!$D:$D,G84,0),"")</f>
        <v>0</v>
      </c>
      <c r="H141" s="125" cm="1">
        <f t="array" aca="1" ref="H141" ca="1">IFERROR(INDEX('Bärbara datorer (B)'!$D:$D,H84,0),"")</f>
        <v>0</v>
      </c>
      <c r="I141" s="125" cm="1">
        <f t="array" aca="1" ref="I141" ca="1">IFERROR(INDEX('Bärbara datorer (B)'!$D:$D,I84,0),"")</f>
        <v>0</v>
      </c>
      <c r="J141" s="125" cm="1">
        <f t="array" aca="1" ref="J141" ca="1">IFERROR(INDEX('Bärbara datorer (B)'!$D:$D,J84,0),"")</f>
        <v>0</v>
      </c>
      <c r="K141" s="125" cm="1">
        <f t="array" aca="1" ref="K141" ca="1">IFERROR(INDEX('Bärbara datorer (B)'!$D:$D,K84,0),"")</f>
        <v>0</v>
      </c>
    </row>
    <row r="142" spans="1:11" ht="18.75" customHeight="1" outlineLevel="1" x14ac:dyDescent="0.3">
      <c r="A142" s="39" t="s">
        <v>277</v>
      </c>
      <c r="B142" s="125">
        <f t="shared" ref="B142" ca="1" si="6">IFERROR(B140*B141,"")</f>
        <v>0</v>
      </c>
      <c r="C142" s="125">
        <f t="shared" ref="C142:K142" ca="1" si="7">IFERROR(C140*C141,"")</f>
        <v>0</v>
      </c>
      <c r="D142" s="125">
        <f t="shared" ca="1" si="7"/>
        <v>0</v>
      </c>
      <c r="E142" s="125">
        <f t="shared" ca="1" si="7"/>
        <v>0</v>
      </c>
      <c r="F142" s="125">
        <f t="shared" ca="1" si="7"/>
        <v>0</v>
      </c>
      <c r="G142" s="125">
        <f t="shared" ca="1" si="7"/>
        <v>0</v>
      </c>
      <c r="H142" s="125">
        <f t="shared" ca="1" si="7"/>
        <v>0</v>
      </c>
      <c r="I142" s="125">
        <f t="shared" ca="1" si="7"/>
        <v>0</v>
      </c>
      <c r="J142" s="125">
        <f t="shared" ca="1" si="7"/>
        <v>0</v>
      </c>
      <c r="K142" s="125">
        <f t="shared" ca="1" si="7"/>
        <v>0</v>
      </c>
    </row>
    <row r="143" spans="1:11" ht="23.25" customHeight="1" x14ac:dyDescent="0.3"/>
    <row r="144" spans="1:11" ht="34.5" hidden="1" customHeight="1" x14ac:dyDescent="0.3"/>
    <row r="145" spans="1:11" ht="34.5" hidden="1" customHeight="1" x14ac:dyDescent="0.3">
      <c r="B145" s="28" t="s">
        <v>376</v>
      </c>
      <c r="C145" s="28" t="s">
        <v>378</v>
      </c>
      <c r="D145" s="28" t="s">
        <v>379</v>
      </c>
      <c r="E145" s="28" t="s">
        <v>380</v>
      </c>
      <c r="F145" s="28" t="s">
        <v>381</v>
      </c>
      <c r="G145" s="28" t="s">
        <v>382</v>
      </c>
      <c r="H145" s="28" t="s">
        <v>383</v>
      </c>
      <c r="I145" s="28" t="s">
        <v>384</v>
      </c>
      <c r="J145" s="28" t="s">
        <v>385</v>
      </c>
      <c r="K145" s="28" t="s">
        <v>386</v>
      </c>
    </row>
    <row r="146" spans="1:11" ht="34.5" hidden="1" customHeight="1" x14ac:dyDescent="0.3">
      <c r="B146" s="28" t="s">
        <v>253</v>
      </c>
      <c r="C146" s="28" t="s">
        <v>254</v>
      </c>
      <c r="D146" s="28" t="s">
        <v>255</v>
      </c>
      <c r="E146" s="28" t="s">
        <v>256</v>
      </c>
      <c r="F146" s="28" t="s">
        <v>257</v>
      </c>
      <c r="G146" s="28" t="s">
        <v>258</v>
      </c>
      <c r="H146" s="28" t="s">
        <v>358</v>
      </c>
      <c r="I146" s="28" t="s">
        <v>359</v>
      </c>
      <c r="J146" s="28" t="s">
        <v>360</v>
      </c>
      <c r="K146" s="28" t="s">
        <v>361</v>
      </c>
    </row>
    <row r="147" spans="1:11" ht="34.5" hidden="1" customHeight="1" x14ac:dyDescent="0.3">
      <c r="B147" s="28">
        <f ca="1">IFERROR(MATCH(B146,Surfplattor!$B:$B,0),"")</f>
        <v>9</v>
      </c>
      <c r="C147" s="28">
        <f ca="1">IFERROR(MATCH(C146,Surfplattor!$B:$B,0),"")</f>
        <v>52</v>
      </c>
      <c r="D147" s="28">
        <f ca="1">IFERROR(MATCH(D146,Surfplattor!$B:$B,0),"")</f>
        <v>96</v>
      </c>
      <c r="E147" s="28">
        <f ca="1">IFERROR(MATCH(E146,Surfplattor!$B:$B,0),"")</f>
        <v>139</v>
      </c>
      <c r="F147" s="28">
        <f ca="1">IFERROR(MATCH(F146,Surfplattor!$B:$B,0),"")</f>
        <v>183</v>
      </c>
      <c r="G147" s="28">
        <f ca="1">IFERROR(MATCH(G146,Surfplattor!$B:$B,0),"")</f>
        <v>224</v>
      </c>
      <c r="H147" s="28">
        <f ca="1">IFERROR(MATCH(H146,Surfplattor!$B:$B,0),"")</f>
        <v>267</v>
      </c>
      <c r="I147" s="28">
        <f ca="1">IFERROR(MATCH(I146,Surfplattor!$B:$B,0),"")</f>
        <v>311</v>
      </c>
      <c r="J147" s="28">
        <f ca="1">IFERROR(MATCH(J146,Surfplattor!$B:$B,0),"")</f>
        <v>354</v>
      </c>
      <c r="K147" s="28">
        <f ca="1">IFERROR(MATCH(K146,Surfplattor!$B:$B,0),"")</f>
        <v>398</v>
      </c>
    </row>
    <row r="148" spans="1:11" ht="34.5" hidden="1" customHeight="1" x14ac:dyDescent="0.3">
      <c r="B148" s="28">
        <f ca="1">IFERROR(36+B147,"")</f>
        <v>45</v>
      </c>
      <c r="C148" s="28">
        <f t="shared" ref="C148:K148" ca="1" si="8">IFERROR(36+C147,"")</f>
        <v>88</v>
      </c>
      <c r="D148" s="28">
        <f t="shared" ca="1" si="8"/>
        <v>132</v>
      </c>
      <c r="E148" s="28">
        <f t="shared" ca="1" si="8"/>
        <v>175</v>
      </c>
      <c r="F148" s="28">
        <f t="shared" ca="1" si="8"/>
        <v>219</v>
      </c>
      <c r="G148" s="28">
        <f t="shared" ca="1" si="8"/>
        <v>260</v>
      </c>
      <c r="H148" s="28">
        <f t="shared" ca="1" si="8"/>
        <v>303</v>
      </c>
      <c r="I148" s="28">
        <f t="shared" ca="1" si="8"/>
        <v>347</v>
      </c>
      <c r="J148" s="28">
        <f t="shared" ca="1" si="8"/>
        <v>390</v>
      </c>
      <c r="K148" s="28">
        <f t="shared" ca="1" si="8"/>
        <v>434</v>
      </c>
    </row>
    <row r="149" spans="1:11" ht="34.5" hidden="1" customHeight="1" x14ac:dyDescent="0.3">
      <c r="B149" s="28" t="str" cm="1">
        <f t="array" aca="1" ref="B149" ca="1">IFERROR(IF(B203=0,"",INDEX(Surfplattor!$F:$F,B147-2,0)),"")</f>
        <v/>
      </c>
      <c r="C149" s="28" t="str" cm="1">
        <f t="array" aca="1" ref="C149" ca="1">IFERROR(IF(C203=0,"",INDEX(Surfplattor!$F:$F,C147-2,0)),"")</f>
        <v/>
      </c>
      <c r="D149" s="28" t="str" cm="1">
        <f t="array" aca="1" ref="D149" ca="1">IFERROR(IF(D203=0,"",INDEX(Surfplattor!$F:$F,D147-2,0)),"")</f>
        <v/>
      </c>
      <c r="E149" s="28" t="str" cm="1">
        <f t="array" aca="1" ref="E149" ca="1">IFERROR(IF(E203=0,"",INDEX(Surfplattor!$F:$F,E147-2,0)),"")</f>
        <v/>
      </c>
      <c r="F149" s="28" t="str" cm="1">
        <f t="array" aca="1" ref="F149" ca="1">IFERROR(IF(F203=0,"",INDEX(Surfplattor!$F:$F,F147-2,0)),"")</f>
        <v/>
      </c>
      <c r="G149" s="28" t="str" cm="1">
        <f t="array" aca="1" ref="G149" ca="1">IFERROR(IF(G203=0,"",INDEX(Surfplattor!$F:$F,G147-2,0)),"")</f>
        <v/>
      </c>
      <c r="H149" s="28" t="str" cm="1">
        <f t="array" aca="1" ref="H149" ca="1">IFERROR(IF(H203=0,"",INDEX(Surfplattor!$F:$F,H147-2,0)),"")</f>
        <v/>
      </c>
      <c r="I149" s="28" t="str" cm="1">
        <f t="array" aca="1" ref="I149" ca="1">IFERROR(IF(I203=0,"",INDEX(Surfplattor!$F:$F,I147-2,0)),"")</f>
        <v/>
      </c>
      <c r="J149" s="28" t="str" cm="1">
        <f t="array" aca="1" ref="J149" ca="1">IFERROR(IF(J203=0,"",INDEX(Surfplattor!$F:$F,J147-2,0)),"")</f>
        <v/>
      </c>
      <c r="K149" s="28" t="str" cm="1">
        <f t="array" aca="1" ref="K149" ca="1">IFERROR(IF(K203=0,"",INDEX(Surfplattor!$F:$F,K147-2,0)),"")</f>
        <v/>
      </c>
    </row>
    <row r="150" spans="1:11" ht="34.5" hidden="1" customHeight="1" x14ac:dyDescent="0.3"/>
    <row r="151" spans="1:11" ht="34.5" hidden="1" customHeight="1" x14ac:dyDescent="0.3"/>
    <row r="152" spans="1:11" ht="21.75" hidden="1" customHeight="1" x14ac:dyDescent="0.3"/>
    <row r="153" spans="1:11" ht="18.75" customHeight="1" collapsed="1" x14ac:dyDescent="0.3"/>
    <row r="154" spans="1:11" ht="18.75" customHeight="1" x14ac:dyDescent="0.3">
      <c r="A154" s="43" t="s">
        <v>274</v>
      </c>
      <c r="B154" s="28" t="str">
        <f ca="1">"Antal varianter : "&amp; 10 - COUNTBLANK(B156:K156)</f>
        <v>Antal varianter : 0</v>
      </c>
      <c r="C154" s="28" t="str">
        <f ca="1">"Antal : "&amp;SUM(B203:K203)</f>
        <v>Antal : 0</v>
      </c>
    </row>
    <row r="155" spans="1:11" ht="18.75" customHeight="1" outlineLevel="1" x14ac:dyDescent="0.3">
      <c r="A155" s="111"/>
      <c r="B155" s="44"/>
    </row>
    <row r="156" spans="1:11" ht="18.75" customHeight="1" outlineLevel="1" x14ac:dyDescent="0.3">
      <c r="A156" s="45" t="s">
        <v>107</v>
      </c>
      <c r="B156" s="122" t="str">
        <f ca="1">IFERROR(IF(""=INDEX(Databas!$A$10:$BK$188,MATCH(Sammanfattning!B$149,Databas!$BH$10:$BH$188,0),MATCH($A156,Databas!$A$10:$BK$10,0)),"",B145),"")</f>
        <v/>
      </c>
      <c r="C156" s="122" t="str">
        <f ca="1">IFERROR(IF(""=INDEX(Databas!$A$10:$BK$188,MATCH(Sammanfattning!C$149,Databas!$BH$10:$BH$188,0),MATCH($A156,Databas!$A$10:$BK$10,0)),"",C145),"")</f>
        <v/>
      </c>
      <c r="D156" s="122" t="str">
        <f ca="1">IFERROR(IF(""=INDEX(Databas!$A$10:$BK$188,MATCH(Sammanfattning!D$149,Databas!$BH$10:$BH$188,0),MATCH($A156,Databas!$A$10:$BK$10,0)),"",D145),"")</f>
        <v/>
      </c>
      <c r="E156" s="122" t="str">
        <f ca="1">IFERROR(IF(""=INDEX(Databas!$A$10:$BK$188,MATCH(Sammanfattning!E$149,Databas!$BH$10:$BH$188,0),MATCH($A156,Databas!$A$10:$BK$10,0)),"",E145),"")</f>
        <v/>
      </c>
      <c r="F156" s="122" t="str">
        <f ca="1">IFERROR(IF(""=INDEX(Databas!$A$10:$BK$188,MATCH(Sammanfattning!F$149,Databas!$BH$10:$BH$188,0),MATCH($A156,Databas!$A$10:$BK$10,0)),"",F145),"")</f>
        <v/>
      </c>
      <c r="G156" s="122" t="str">
        <f ca="1">IFERROR(IF(""=INDEX(Databas!$A$10:$BK$188,MATCH(Sammanfattning!G$149,Databas!$BH$10:$BH$188,0),MATCH($A156,Databas!$A$10:$BK$10,0)),"",G145),"")</f>
        <v/>
      </c>
      <c r="H156" s="122" t="str">
        <f ca="1">IFERROR(IF(""=INDEX(Databas!$A$10:$BK$188,MATCH(Sammanfattning!H$149,Databas!$BH$10:$BH$188,0),MATCH($A156,Databas!$A$10:$BK$10,0)),"",H145),"")</f>
        <v/>
      </c>
      <c r="I156" s="122" t="str">
        <f ca="1">IFERROR(IF(""=INDEX(Databas!$A$10:$BK$188,MATCH(Sammanfattning!I$149,Databas!$BH$10:$BH$188,0),MATCH($A156,Databas!$A$10:$BK$10,0)),"",I145),"")</f>
        <v/>
      </c>
      <c r="J156" s="122" t="str">
        <f ca="1">IFERROR(IF(""=INDEX(Databas!$A$10:$BK$188,MATCH(Sammanfattning!J$149,Databas!$BH$10:$BH$188,0),MATCH($A156,Databas!$A$10:$BK$10,0)),"",J145),"")</f>
        <v/>
      </c>
      <c r="K156" s="122" t="str">
        <f ca="1">IFERROR(IF(""=INDEX(Databas!$A$10:$BK$188,MATCH(Sammanfattning!K$149,Databas!$BH$10:$BH$188,0),MATCH($A156,Databas!$A$10:$BK$10,0)),"",K145),"")</f>
        <v/>
      </c>
    </row>
    <row r="157" spans="1:11" ht="18.75" customHeight="1" outlineLevel="1" x14ac:dyDescent="0.3">
      <c r="A157" s="45" t="s">
        <v>6</v>
      </c>
      <c r="B157" s="123" t="str">
        <f ca="1">IFERROR(INDEX(Databas!$A$10:$BK$188,MATCH(Sammanfattning!B$149,Databas!$BH$10:$BH$188,0),MATCH($A157,Databas!$A$10:$BK$10,0)),"")</f>
        <v/>
      </c>
      <c r="C157" s="123" t="str">
        <f ca="1">IFERROR(INDEX(Databas!$A$10:$BK$188,MATCH(Sammanfattning!C$149,Databas!$BH$10:$BH$188,0),MATCH($A157,Databas!$A$10:$BK$10,0)),"")</f>
        <v/>
      </c>
      <c r="D157" s="123" t="str">
        <f ca="1">IFERROR(INDEX(Databas!$A$10:$BK$188,MATCH(Sammanfattning!D$149,Databas!$BH$10:$BH$188,0),MATCH($A157,Databas!$A$10:$BK$10,0)),"")</f>
        <v/>
      </c>
      <c r="E157" s="123" t="str">
        <f ca="1">IFERROR(INDEX(Databas!$A$10:$BK$188,MATCH(Sammanfattning!E$149,Databas!$BH$10:$BH$188,0),MATCH($A157,Databas!$A$10:$BK$10,0)),"")</f>
        <v/>
      </c>
      <c r="F157" s="123" t="str">
        <f ca="1">IFERROR(INDEX(Databas!$A$10:$BK$188,MATCH(Sammanfattning!F$149,Databas!$BH$10:$BH$188,0),MATCH($A157,Databas!$A$10:$BK$10,0)),"")</f>
        <v/>
      </c>
      <c r="G157" s="123" t="str">
        <f ca="1">IFERROR(INDEX(Databas!$A$10:$BK$188,MATCH(Sammanfattning!G$149,Databas!$BH$10:$BH$188,0),MATCH($A157,Databas!$A$10:$BK$10,0)),"")</f>
        <v/>
      </c>
      <c r="H157" s="123" t="str">
        <f ca="1">IFERROR(INDEX(Databas!$A$10:$BK$188,MATCH(Sammanfattning!H$149,Databas!$BH$10:$BH$188,0),MATCH($A157,Databas!$A$10:$BK$10,0)),"")</f>
        <v/>
      </c>
      <c r="I157" s="123" t="str">
        <f ca="1">IFERROR(INDEX(Databas!$A$10:$BK$188,MATCH(Sammanfattning!I$149,Databas!$BH$10:$BH$188,0),MATCH($A157,Databas!$A$10:$BK$10,0)),"")</f>
        <v/>
      </c>
      <c r="J157" s="123" t="str">
        <f ca="1">IFERROR(INDEX(Databas!$A$10:$BK$188,MATCH(Sammanfattning!J$149,Databas!$BH$10:$BH$188,0),MATCH($A157,Databas!$A$10:$BK$10,0)),"")</f>
        <v/>
      </c>
      <c r="K157" s="123" t="str">
        <f ca="1">IFERROR(INDEX(Databas!$A$10:$BK$188,MATCH(Sammanfattning!K$149,Databas!$BH$10:$BH$188,0),MATCH($A157,Databas!$A$10:$BK$10,0)),"")</f>
        <v/>
      </c>
    </row>
    <row r="158" spans="1:11" ht="18.75" customHeight="1" outlineLevel="1" x14ac:dyDescent="0.3">
      <c r="A158" s="45" t="s">
        <v>51</v>
      </c>
      <c r="B158" s="123" t="str">
        <f ca="1">IFERROR(INDEX(Databas!$A$10:$BK$188,MATCH(Sammanfattning!B$149,Databas!$BH$10:$BH$188,0),MATCH($A158,Databas!$A$10:$BK$10,0)),"")</f>
        <v/>
      </c>
      <c r="C158" s="123" t="str">
        <f ca="1">IFERROR(INDEX(Databas!$A$10:$BK$188,MATCH(Sammanfattning!C$149,Databas!$BH$10:$BH$188,0),MATCH($A158,Databas!$A$10:$BK$10,0)),"")</f>
        <v/>
      </c>
      <c r="D158" s="123" t="str">
        <f ca="1">IFERROR(INDEX(Databas!$A$10:$BK$188,MATCH(Sammanfattning!D$149,Databas!$BH$10:$BH$188,0),MATCH($A158,Databas!$A$10:$BK$10,0)),"")</f>
        <v/>
      </c>
      <c r="E158" s="123" t="str">
        <f ca="1">IFERROR(INDEX(Databas!$A$10:$BK$188,MATCH(Sammanfattning!E$149,Databas!$BH$10:$BH$188,0),MATCH($A158,Databas!$A$10:$BK$10,0)),"")</f>
        <v/>
      </c>
      <c r="F158" s="123" t="str">
        <f ca="1">IFERROR(INDEX(Databas!$A$10:$BK$188,MATCH(Sammanfattning!F$149,Databas!$BH$10:$BH$188,0),MATCH($A158,Databas!$A$10:$BK$10,0)),"")</f>
        <v/>
      </c>
      <c r="G158" s="123" t="str">
        <f ca="1">IFERROR(INDEX(Databas!$A$10:$BK$188,MATCH(Sammanfattning!G$149,Databas!$BH$10:$BH$188,0),MATCH($A158,Databas!$A$10:$BK$10,0)),"")</f>
        <v/>
      </c>
      <c r="H158" s="123" t="str">
        <f ca="1">IFERROR(INDEX(Databas!$A$10:$BK$188,MATCH(Sammanfattning!H$149,Databas!$BH$10:$BH$188,0),MATCH($A158,Databas!$A$10:$BK$10,0)),"")</f>
        <v/>
      </c>
      <c r="I158" s="123" t="str">
        <f ca="1">IFERROR(INDEX(Databas!$A$10:$BK$188,MATCH(Sammanfattning!I$149,Databas!$BH$10:$BH$188,0),MATCH($A158,Databas!$A$10:$BK$10,0)),"")</f>
        <v/>
      </c>
      <c r="J158" s="123" t="str">
        <f ca="1">IFERROR(INDEX(Databas!$A$10:$BK$188,MATCH(Sammanfattning!J$149,Databas!$BH$10:$BH$188,0),MATCH($A158,Databas!$A$10:$BK$10,0)),"")</f>
        <v/>
      </c>
      <c r="K158" s="123" t="str">
        <f ca="1">IFERROR(INDEX(Databas!$A$10:$BK$188,MATCH(Sammanfattning!K$149,Databas!$BH$10:$BH$188,0),MATCH($A158,Databas!$A$10:$BK$10,0)),"")</f>
        <v/>
      </c>
    </row>
    <row r="159" spans="1:11" ht="18.75" customHeight="1" outlineLevel="1" x14ac:dyDescent="0.3">
      <c r="A159" s="46" t="s">
        <v>52</v>
      </c>
      <c r="B159" s="123" t="str">
        <f ca="1">IFERROR(INDEX(Databas!$A$10:$BK$188,MATCH(Sammanfattning!B$149,Databas!$BH$10:$BH$188,0),MATCH($A159,Databas!$A$10:$BK$10,0)),"")</f>
        <v/>
      </c>
      <c r="C159" s="123" t="str">
        <f ca="1">IFERROR(INDEX(Databas!$A$10:$BK$188,MATCH(Sammanfattning!C$149,Databas!$BH$10:$BH$188,0),MATCH($A159,Databas!$A$10:$BK$10,0)),"")</f>
        <v/>
      </c>
      <c r="D159" s="123" t="str">
        <f ca="1">IFERROR(INDEX(Databas!$A$10:$BK$188,MATCH(Sammanfattning!D$149,Databas!$BH$10:$BH$188,0),MATCH($A159,Databas!$A$10:$BK$10,0)),"")</f>
        <v/>
      </c>
      <c r="E159" s="123" t="str">
        <f ca="1">IFERROR(INDEX(Databas!$A$10:$BK$188,MATCH(Sammanfattning!E$149,Databas!$BH$10:$BH$188,0),MATCH($A159,Databas!$A$10:$BK$10,0)),"")</f>
        <v/>
      </c>
      <c r="F159" s="123" t="str">
        <f ca="1">IFERROR(INDEX(Databas!$A$10:$BK$188,MATCH(Sammanfattning!F$149,Databas!$BH$10:$BH$188,0),MATCH($A159,Databas!$A$10:$BK$10,0)),"")</f>
        <v/>
      </c>
      <c r="G159" s="123" t="str">
        <f ca="1">IFERROR(INDEX(Databas!$A$10:$BK$188,MATCH(Sammanfattning!G$149,Databas!$BH$10:$BH$188,0),MATCH($A159,Databas!$A$10:$BK$10,0)),"")</f>
        <v/>
      </c>
      <c r="H159" s="123" t="str">
        <f ca="1">IFERROR(INDEX(Databas!$A$10:$BK$188,MATCH(Sammanfattning!H$149,Databas!$BH$10:$BH$188,0),MATCH($A159,Databas!$A$10:$BK$10,0)),"")</f>
        <v/>
      </c>
      <c r="I159" s="123" t="str">
        <f ca="1">IFERROR(INDEX(Databas!$A$10:$BK$188,MATCH(Sammanfattning!I$149,Databas!$BH$10:$BH$188,0),MATCH($A159,Databas!$A$10:$BK$10,0)),"")</f>
        <v/>
      </c>
      <c r="J159" s="123" t="str">
        <f ca="1">IFERROR(INDEX(Databas!$A$10:$BK$188,MATCH(Sammanfattning!J$149,Databas!$BH$10:$BH$188,0),MATCH($A159,Databas!$A$10:$BK$10,0)),"")</f>
        <v/>
      </c>
      <c r="K159" s="123" t="str">
        <f ca="1">IFERROR(INDEX(Databas!$A$10:$BK$188,MATCH(Sammanfattning!K$149,Databas!$BH$10:$BH$188,0),MATCH($A159,Databas!$A$10:$BK$10,0)),"")</f>
        <v/>
      </c>
    </row>
    <row r="160" spans="1:11" ht="18.75" customHeight="1" outlineLevel="1" x14ac:dyDescent="0.3">
      <c r="A160" s="45" t="s">
        <v>11</v>
      </c>
      <c r="B160" s="123" t="str">
        <f ca="1">IFERROR(INDEX(Databas!$A$10:$BK$188,MATCH(Sammanfattning!B$149,Databas!$BH$10:$BH$188,0),MATCH($A160,Databas!$A$10:$BK$10,0)),"")</f>
        <v/>
      </c>
      <c r="C160" s="123" t="str">
        <f ca="1">IFERROR(INDEX(Databas!$A$10:$BK$188,MATCH(Sammanfattning!C$149,Databas!$BH$10:$BH$188,0),MATCH($A160,Databas!$A$10:$BK$10,0)),"")</f>
        <v/>
      </c>
      <c r="D160" s="123" t="str">
        <f ca="1">IFERROR(INDEX(Databas!$A$10:$BK$188,MATCH(Sammanfattning!D$149,Databas!$BH$10:$BH$188,0),MATCH($A160,Databas!$A$10:$BK$10,0)),"")</f>
        <v/>
      </c>
      <c r="E160" s="123" t="str">
        <f ca="1">IFERROR(INDEX(Databas!$A$10:$BK$188,MATCH(Sammanfattning!E$149,Databas!$BH$10:$BH$188,0),MATCH($A160,Databas!$A$10:$BK$10,0)),"")</f>
        <v/>
      </c>
      <c r="F160" s="123" t="str">
        <f ca="1">IFERROR(INDEX(Databas!$A$10:$BK$188,MATCH(Sammanfattning!F$149,Databas!$BH$10:$BH$188,0),MATCH($A160,Databas!$A$10:$BK$10,0)),"")</f>
        <v/>
      </c>
      <c r="G160" s="123" t="str">
        <f ca="1">IFERROR(INDEX(Databas!$A$10:$BK$188,MATCH(Sammanfattning!G$149,Databas!$BH$10:$BH$188,0),MATCH($A160,Databas!$A$10:$BK$10,0)),"")</f>
        <v/>
      </c>
      <c r="H160" s="123" t="str">
        <f ca="1">IFERROR(INDEX(Databas!$A$10:$BK$188,MATCH(Sammanfattning!H$149,Databas!$BH$10:$BH$188,0),MATCH($A160,Databas!$A$10:$BK$10,0)),"")</f>
        <v/>
      </c>
      <c r="I160" s="123" t="str">
        <f ca="1">IFERROR(INDEX(Databas!$A$10:$BK$188,MATCH(Sammanfattning!I$149,Databas!$BH$10:$BH$188,0),MATCH($A160,Databas!$A$10:$BK$10,0)),"")</f>
        <v/>
      </c>
      <c r="J160" s="123" t="str">
        <f ca="1">IFERROR(INDEX(Databas!$A$10:$BK$188,MATCH(Sammanfattning!J$149,Databas!$BH$10:$BH$188,0),MATCH($A160,Databas!$A$10:$BK$10,0)),"")</f>
        <v/>
      </c>
      <c r="K160" s="123" t="str">
        <f ca="1">IFERROR(INDEX(Databas!$A$10:$BK$188,MATCH(Sammanfattning!K$149,Databas!$BH$10:$BH$188,0),MATCH($A160,Databas!$A$10:$BK$10,0)),"")</f>
        <v/>
      </c>
    </row>
    <row r="161" spans="1:11" ht="18.75" customHeight="1" outlineLevel="1" x14ac:dyDescent="0.3">
      <c r="A161" s="45" t="s">
        <v>0</v>
      </c>
      <c r="B161" s="123" t="str">
        <f ca="1">IFERROR(INDEX(Databas!$A$10:$BK$188,MATCH(Sammanfattning!B$149,Databas!$BH$10:$BH$188,0),MATCH($A161,Databas!$A$10:$BK$10,0)),"")</f>
        <v/>
      </c>
      <c r="C161" s="123" t="str">
        <f ca="1">IFERROR(INDEX(Databas!$A$10:$BK$188,MATCH(Sammanfattning!C$149,Databas!$BH$10:$BH$188,0),MATCH($A161,Databas!$A$10:$BK$10,0)),"")</f>
        <v/>
      </c>
      <c r="D161" s="123" t="str">
        <f ca="1">IFERROR(INDEX(Databas!$A$10:$BK$188,MATCH(Sammanfattning!D$149,Databas!$BH$10:$BH$188,0),MATCH($A161,Databas!$A$10:$BK$10,0)),"")</f>
        <v/>
      </c>
      <c r="E161" s="123" t="str">
        <f ca="1">IFERROR(INDEX(Databas!$A$10:$BK$188,MATCH(Sammanfattning!E$149,Databas!$BH$10:$BH$188,0),MATCH($A161,Databas!$A$10:$BK$10,0)),"")</f>
        <v/>
      </c>
      <c r="F161" s="123" t="str">
        <f ca="1">IFERROR(INDEX(Databas!$A$10:$BK$188,MATCH(Sammanfattning!F$149,Databas!$BH$10:$BH$188,0),MATCH($A161,Databas!$A$10:$BK$10,0)),"")</f>
        <v/>
      </c>
      <c r="G161" s="123" t="str">
        <f ca="1">IFERROR(INDEX(Databas!$A$10:$BK$188,MATCH(Sammanfattning!G$149,Databas!$BH$10:$BH$188,0),MATCH($A161,Databas!$A$10:$BK$10,0)),"")</f>
        <v/>
      </c>
      <c r="H161" s="123" t="str">
        <f ca="1">IFERROR(INDEX(Databas!$A$10:$BK$188,MATCH(Sammanfattning!H$149,Databas!$BH$10:$BH$188,0),MATCH($A161,Databas!$A$10:$BK$10,0)),"")</f>
        <v/>
      </c>
      <c r="I161" s="123" t="str">
        <f ca="1">IFERROR(INDEX(Databas!$A$10:$BK$188,MATCH(Sammanfattning!I$149,Databas!$BH$10:$BH$188,0),MATCH($A161,Databas!$A$10:$BK$10,0)),"")</f>
        <v/>
      </c>
      <c r="J161" s="123" t="str">
        <f ca="1">IFERROR(INDEX(Databas!$A$10:$BK$188,MATCH(Sammanfattning!J$149,Databas!$BH$10:$BH$188,0),MATCH($A161,Databas!$A$10:$BK$10,0)),"")</f>
        <v/>
      </c>
      <c r="K161" s="123" t="str">
        <f ca="1">IFERROR(INDEX(Databas!$A$10:$BK$188,MATCH(Sammanfattning!K$149,Databas!$BH$10:$BH$188,0),MATCH($A161,Databas!$A$10:$BK$10,0)),"")</f>
        <v/>
      </c>
    </row>
    <row r="162" spans="1:11" ht="18.75" customHeight="1" outlineLevel="1" x14ac:dyDescent="0.3">
      <c r="A162" s="45" t="s">
        <v>7</v>
      </c>
      <c r="B162" s="123" t="str">
        <f ca="1">IFERROR(INDEX(Databas!$A$10:$BK$188,MATCH(Sammanfattning!B$149,Databas!$BH$10:$BH$188,0),MATCH($A162,Databas!$A$10:$BK$10,0)),"")</f>
        <v/>
      </c>
      <c r="C162" s="123" t="str">
        <f ca="1">IFERROR(INDEX(Databas!$A$10:$BK$188,MATCH(Sammanfattning!C$149,Databas!$BH$10:$BH$188,0),MATCH($A162,Databas!$A$10:$BK$10,0)),"")</f>
        <v/>
      </c>
      <c r="D162" s="123" t="str">
        <f ca="1">IFERROR(INDEX(Databas!$A$10:$BK$188,MATCH(Sammanfattning!D$149,Databas!$BH$10:$BH$188,0),MATCH($A162,Databas!$A$10:$BK$10,0)),"")</f>
        <v/>
      </c>
      <c r="E162" s="123" t="str">
        <f ca="1">IFERROR(INDEX(Databas!$A$10:$BK$188,MATCH(Sammanfattning!E$149,Databas!$BH$10:$BH$188,0),MATCH($A162,Databas!$A$10:$BK$10,0)),"")</f>
        <v/>
      </c>
      <c r="F162" s="123" t="str">
        <f ca="1">IFERROR(INDEX(Databas!$A$10:$BK$188,MATCH(Sammanfattning!F$149,Databas!$BH$10:$BH$188,0),MATCH($A162,Databas!$A$10:$BK$10,0)),"")</f>
        <v/>
      </c>
      <c r="G162" s="123" t="str">
        <f ca="1">IFERROR(INDEX(Databas!$A$10:$BK$188,MATCH(Sammanfattning!G$149,Databas!$BH$10:$BH$188,0),MATCH($A162,Databas!$A$10:$BK$10,0)),"")</f>
        <v/>
      </c>
      <c r="H162" s="123" t="str">
        <f ca="1">IFERROR(INDEX(Databas!$A$10:$BK$188,MATCH(Sammanfattning!H$149,Databas!$BH$10:$BH$188,0),MATCH($A162,Databas!$A$10:$BK$10,0)),"")</f>
        <v/>
      </c>
      <c r="I162" s="123" t="str">
        <f ca="1">IFERROR(INDEX(Databas!$A$10:$BK$188,MATCH(Sammanfattning!I$149,Databas!$BH$10:$BH$188,0),MATCH($A162,Databas!$A$10:$BK$10,0)),"")</f>
        <v/>
      </c>
      <c r="J162" s="123" t="str">
        <f ca="1">IFERROR(INDEX(Databas!$A$10:$BK$188,MATCH(Sammanfattning!J$149,Databas!$BH$10:$BH$188,0),MATCH($A162,Databas!$A$10:$BK$10,0)),"")</f>
        <v/>
      </c>
      <c r="K162" s="123" t="str">
        <f ca="1">IFERROR(INDEX(Databas!$A$10:$BK$188,MATCH(Sammanfattning!K$149,Databas!$BH$10:$BH$188,0),MATCH($A162,Databas!$A$10:$BK$10,0)),"")</f>
        <v/>
      </c>
    </row>
    <row r="163" spans="1:11" ht="18.75" customHeight="1" outlineLevel="1" x14ac:dyDescent="0.3">
      <c r="A163" s="45" t="s">
        <v>2</v>
      </c>
      <c r="B163" s="123" t="str">
        <f ca="1">IFERROR(INDEX(Databas!$A$10:$BK$188,MATCH(Sammanfattning!B$149,Databas!$BH$10:$BH$188,0),MATCH($A163,Databas!$A$10:$BK$10,0)),"")</f>
        <v/>
      </c>
      <c r="C163" s="123" t="str">
        <f ca="1">IFERROR(INDEX(Databas!$A$10:$BK$188,MATCH(Sammanfattning!C$149,Databas!$BH$10:$BH$188,0),MATCH($A163,Databas!$A$10:$BK$10,0)),"")</f>
        <v/>
      </c>
      <c r="D163" s="123" t="str">
        <f ca="1">IFERROR(INDEX(Databas!$A$10:$BK$188,MATCH(Sammanfattning!D$149,Databas!$BH$10:$BH$188,0),MATCH($A163,Databas!$A$10:$BK$10,0)),"")</f>
        <v/>
      </c>
      <c r="E163" s="123" t="str">
        <f ca="1">IFERROR(INDEX(Databas!$A$10:$BK$188,MATCH(Sammanfattning!E$149,Databas!$BH$10:$BH$188,0),MATCH($A163,Databas!$A$10:$BK$10,0)),"")</f>
        <v/>
      </c>
      <c r="F163" s="123" t="str">
        <f ca="1">IFERROR(INDEX(Databas!$A$10:$BK$188,MATCH(Sammanfattning!F$149,Databas!$BH$10:$BH$188,0),MATCH($A163,Databas!$A$10:$BK$10,0)),"")</f>
        <v/>
      </c>
      <c r="G163" s="123" t="str">
        <f ca="1">IFERROR(INDEX(Databas!$A$10:$BK$188,MATCH(Sammanfattning!G$149,Databas!$BH$10:$BH$188,0),MATCH($A163,Databas!$A$10:$BK$10,0)),"")</f>
        <v/>
      </c>
      <c r="H163" s="123" t="str">
        <f ca="1">IFERROR(INDEX(Databas!$A$10:$BK$188,MATCH(Sammanfattning!H$149,Databas!$BH$10:$BH$188,0),MATCH($A163,Databas!$A$10:$BK$10,0)),"")</f>
        <v/>
      </c>
      <c r="I163" s="123" t="str">
        <f ca="1">IFERROR(INDEX(Databas!$A$10:$BK$188,MATCH(Sammanfattning!I$149,Databas!$BH$10:$BH$188,0),MATCH($A163,Databas!$A$10:$BK$10,0)),"")</f>
        <v/>
      </c>
      <c r="J163" s="123" t="str">
        <f ca="1">IFERROR(INDEX(Databas!$A$10:$BK$188,MATCH(Sammanfattning!J$149,Databas!$BH$10:$BH$188,0),MATCH($A163,Databas!$A$10:$BK$10,0)),"")</f>
        <v/>
      </c>
      <c r="K163" s="123" t="str">
        <f ca="1">IFERROR(INDEX(Databas!$A$10:$BK$188,MATCH(Sammanfattning!K$149,Databas!$BH$10:$BH$188,0),MATCH($A163,Databas!$A$10:$BK$10,0)),"")</f>
        <v/>
      </c>
    </row>
    <row r="164" spans="1:11" ht="18.75" customHeight="1" outlineLevel="1" x14ac:dyDescent="0.3">
      <c r="A164" s="45" t="s">
        <v>17</v>
      </c>
      <c r="B164" s="123" t="str">
        <f ca="1">IFERROR(INDEX(Databas!$A$10:$BK$188,MATCH(Sammanfattning!B$149,Databas!$BH$10:$BH$188,0),MATCH($A164,Databas!$A$10:$BK$10,0)),"")</f>
        <v/>
      </c>
      <c r="C164" s="123" t="str">
        <f ca="1">IFERROR(INDEX(Databas!$A$10:$BK$188,MATCH(Sammanfattning!C$149,Databas!$BH$10:$BH$188,0),MATCH($A164,Databas!$A$10:$BK$10,0)),"")</f>
        <v/>
      </c>
      <c r="D164" s="123" t="str">
        <f ca="1">IFERROR(INDEX(Databas!$A$10:$BK$188,MATCH(Sammanfattning!D$149,Databas!$BH$10:$BH$188,0),MATCH($A164,Databas!$A$10:$BK$10,0)),"")</f>
        <v/>
      </c>
      <c r="E164" s="123" t="str">
        <f ca="1">IFERROR(INDEX(Databas!$A$10:$BK$188,MATCH(Sammanfattning!E$149,Databas!$BH$10:$BH$188,0),MATCH($A164,Databas!$A$10:$BK$10,0)),"")</f>
        <v/>
      </c>
      <c r="F164" s="123" t="str">
        <f ca="1">IFERROR(INDEX(Databas!$A$10:$BK$188,MATCH(Sammanfattning!F$149,Databas!$BH$10:$BH$188,0),MATCH($A164,Databas!$A$10:$BK$10,0)),"")</f>
        <v/>
      </c>
      <c r="G164" s="123" t="str">
        <f ca="1">IFERROR(INDEX(Databas!$A$10:$BK$188,MATCH(Sammanfattning!G$149,Databas!$BH$10:$BH$188,0),MATCH($A164,Databas!$A$10:$BK$10,0)),"")</f>
        <v/>
      </c>
      <c r="H164" s="123" t="str">
        <f ca="1">IFERROR(INDEX(Databas!$A$10:$BK$188,MATCH(Sammanfattning!H$149,Databas!$BH$10:$BH$188,0),MATCH($A164,Databas!$A$10:$BK$10,0)),"")</f>
        <v/>
      </c>
      <c r="I164" s="123" t="str">
        <f ca="1">IFERROR(INDEX(Databas!$A$10:$BK$188,MATCH(Sammanfattning!I$149,Databas!$BH$10:$BH$188,0),MATCH($A164,Databas!$A$10:$BK$10,0)),"")</f>
        <v/>
      </c>
      <c r="J164" s="123" t="str">
        <f ca="1">IFERROR(INDEX(Databas!$A$10:$BK$188,MATCH(Sammanfattning!J$149,Databas!$BH$10:$BH$188,0),MATCH($A164,Databas!$A$10:$BK$10,0)),"")</f>
        <v/>
      </c>
      <c r="K164" s="123" t="str">
        <f ca="1">IFERROR(INDEX(Databas!$A$10:$BK$188,MATCH(Sammanfattning!K$149,Databas!$BH$10:$BH$188,0),MATCH($A164,Databas!$A$10:$BK$10,0)),"")</f>
        <v/>
      </c>
    </row>
    <row r="165" spans="1:11" ht="18.75" customHeight="1" outlineLevel="1" x14ac:dyDescent="0.3">
      <c r="A165" s="45" t="s">
        <v>75</v>
      </c>
      <c r="B165" s="123" t="str">
        <f ca="1">IFERROR(INDEX(Databas!$A$10:$BK$188,MATCH(Sammanfattning!B$149,Databas!$BH$10:$BH$188,0),MATCH($A165,Databas!$A$10:$BK$10,0)),"")</f>
        <v/>
      </c>
      <c r="C165" s="123" t="str">
        <f ca="1">IFERROR(INDEX(Databas!$A$10:$BK$188,MATCH(Sammanfattning!C$149,Databas!$BH$10:$BH$188,0),MATCH($A165,Databas!$A$10:$BK$10,0)),"")</f>
        <v/>
      </c>
      <c r="D165" s="123" t="str">
        <f ca="1">IFERROR(INDEX(Databas!$A$10:$BK$188,MATCH(Sammanfattning!D$149,Databas!$BH$10:$BH$188,0),MATCH($A165,Databas!$A$10:$BK$10,0)),"")</f>
        <v/>
      </c>
      <c r="E165" s="123" t="str">
        <f ca="1">IFERROR(INDEX(Databas!$A$10:$BK$188,MATCH(Sammanfattning!E$149,Databas!$BH$10:$BH$188,0),MATCH($A165,Databas!$A$10:$BK$10,0)),"")</f>
        <v/>
      </c>
      <c r="F165" s="123" t="str">
        <f ca="1">IFERROR(INDEX(Databas!$A$10:$BK$188,MATCH(Sammanfattning!F$149,Databas!$BH$10:$BH$188,0),MATCH($A165,Databas!$A$10:$BK$10,0)),"")</f>
        <v/>
      </c>
      <c r="G165" s="123" t="str">
        <f ca="1">IFERROR(INDEX(Databas!$A$10:$BK$188,MATCH(Sammanfattning!G$149,Databas!$BH$10:$BH$188,0),MATCH($A165,Databas!$A$10:$BK$10,0)),"")</f>
        <v/>
      </c>
      <c r="H165" s="123" t="str">
        <f ca="1">IFERROR(INDEX(Databas!$A$10:$BK$188,MATCH(Sammanfattning!H$149,Databas!$BH$10:$BH$188,0),MATCH($A165,Databas!$A$10:$BK$10,0)),"")</f>
        <v/>
      </c>
      <c r="I165" s="123" t="str">
        <f ca="1">IFERROR(INDEX(Databas!$A$10:$BK$188,MATCH(Sammanfattning!I$149,Databas!$BH$10:$BH$188,0),MATCH($A165,Databas!$A$10:$BK$10,0)),"")</f>
        <v/>
      </c>
      <c r="J165" s="123" t="str">
        <f ca="1">IFERROR(INDEX(Databas!$A$10:$BK$188,MATCH(Sammanfattning!J$149,Databas!$BH$10:$BH$188,0),MATCH($A165,Databas!$A$10:$BK$10,0)),"")</f>
        <v/>
      </c>
      <c r="K165" s="123" t="str">
        <f ca="1">IFERROR(INDEX(Databas!$A$10:$BK$188,MATCH(Sammanfattning!K$149,Databas!$BH$10:$BH$188,0),MATCH($A165,Databas!$A$10:$BK$10,0)),"")</f>
        <v/>
      </c>
    </row>
    <row r="166" spans="1:11" ht="18.75" customHeight="1" outlineLevel="1" x14ac:dyDescent="0.3">
      <c r="A166" s="45" t="s">
        <v>103</v>
      </c>
      <c r="B166" s="123" t="str">
        <f ca="1">IFERROR(INDEX(Databas!$A$10:$BK$188,MATCH(Sammanfattning!B$149,Databas!$BH$10:$BH$188,0),MATCH($A166,Databas!$A$10:$BK$10,0)),"")</f>
        <v/>
      </c>
      <c r="C166" s="123" t="str">
        <f ca="1">IFERROR(INDEX(Databas!$A$10:$BK$188,MATCH(Sammanfattning!C$149,Databas!$BH$10:$BH$188,0),MATCH($A166,Databas!$A$10:$BK$10,0)),"")</f>
        <v/>
      </c>
      <c r="D166" s="123" t="str">
        <f ca="1">IFERROR(INDEX(Databas!$A$10:$BK$188,MATCH(Sammanfattning!D$149,Databas!$BH$10:$BH$188,0),MATCH($A166,Databas!$A$10:$BK$10,0)),"")</f>
        <v/>
      </c>
      <c r="E166" s="123" t="str">
        <f ca="1">IFERROR(INDEX(Databas!$A$10:$BK$188,MATCH(Sammanfattning!E$149,Databas!$BH$10:$BH$188,0),MATCH($A166,Databas!$A$10:$BK$10,0)),"")</f>
        <v/>
      </c>
      <c r="F166" s="123" t="str">
        <f ca="1">IFERROR(INDEX(Databas!$A$10:$BK$188,MATCH(Sammanfattning!F$149,Databas!$BH$10:$BH$188,0),MATCH($A166,Databas!$A$10:$BK$10,0)),"")</f>
        <v/>
      </c>
      <c r="G166" s="123" t="str">
        <f ca="1">IFERROR(INDEX(Databas!$A$10:$BK$188,MATCH(Sammanfattning!G$149,Databas!$BH$10:$BH$188,0),MATCH($A166,Databas!$A$10:$BK$10,0)),"")</f>
        <v/>
      </c>
      <c r="H166" s="123" t="str">
        <f ca="1">IFERROR(INDEX(Databas!$A$10:$BK$188,MATCH(Sammanfattning!H$149,Databas!$BH$10:$BH$188,0),MATCH($A166,Databas!$A$10:$BK$10,0)),"")</f>
        <v/>
      </c>
      <c r="I166" s="123" t="str">
        <f ca="1">IFERROR(INDEX(Databas!$A$10:$BK$188,MATCH(Sammanfattning!I$149,Databas!$BH$10:$BH$188,0),MATCH($A166,Databas!$A$10:$BK$10,0)),"")</f>
        <v/>
      </c>
      <c r="J166" s="123" t="str">
        <f ca="1">IFERROR(INDEX(Databas!$A$10:$BK$188,MATCH(Sammanfattning!J$149,Databas!$BH$10:$BH$188,0),MATCH($A166,Databas!$A$10:$BK$10,0)),"")</f>
        <v/>
      </c>
      <c r="K166" s="123" t="str">
        <f ca="1">IFERROR(INDEX(Databas!$A$10:$BK$188,MATCH(Sammanfattning!K$149,Databas!$BH$10:$BH$188,0),MATCH($A166,Databas!$A$10:$BK$10,0)),"")</f>
        <v/>
      </c>
    </row>
    <row r="167" spans="1:11" ht="18.75" customHeight="1" outlineLevel="1" x14ac:dyDescent="0.3">
      <c r="A167" s="45" t="s">
        <v>100</v>
      </c>
      <c r="B167" s="123" t="str">
        <f ca="1">IFERROR(INDEX(Databas!$A$10:$BK$188,MATCH(Sammanfattning!B$149,Databas!$BH$10:$BH$188,0),MATCH($A167,Databas!$A$10:$BK$10,0)),"")</f>
        <v/>
      </c>
      <c r="C167" s="123" t="str">
        <f ca="1">IFERROR(INDEX(Databas!$A$10:$BK$188,MATCH(Sammanfattning!C$149,Databas!$BH$10:$BH$188,0),MATCH($A167,Databas!$A$10:$BK$10,0)),"")</f>
        <v/>
      </c>
      <c r="D167" s="123" t="str">
        <f ca="1">IFERROR(INDEX(Databas!$A$10:$BK$188,MATCH(Sammanfattning!D$149,Databas!$BH$10:$BH$188,0),MATCH($A167,Databas!$A$10:$BK$10,0)),"")</f>
        <v/>
      </c>
      <c r="E167" s="123" t="str">
        <f ca="1">IFERROR(INDEX(Databas!$A$10:$BK$188,MATCH(Sammanfattning!E$149,Databas!$BH$10:$BH$188,0),MATCH($A167,Databas!$A$10:$BK$10,0)),"")</f>
        <v/>
      </c>
      <c r="F167" s="123" t="str">
        <f ca="1">IFERROR(INDEX(Databas!$A$10:$BK$188,MATCH(Sammanfattning!F$149,Databas!$BH$10:$BH$188,0),MATCH($A167,Databas!$A$10:$BK$10,0)),"")</f>
        <v/>
      </c>
      <c r="G167" s="123" t="str">
        <f ca="1">IFERROR(INDEX(Databas!$A$10:$BK$188,MATCH(Sammanfattning!G$149,Databas!$BH$10:$BH$188,0),MATCH($A167,Databas!$A$10:$BK$10,0)),"")</f>
        <v/>
      </c>
      <c r="H167" s="123" t="str">
        <f ca="1">IFERROR(INDEX(Databas!$A$10:$BK$188,MATCH(Sammanfattning!H$149,Databas!$BH$10:$BH$188,0),MATCH($A167,Databas!$A$10:$BK$10,0)),"")</f>
        <v/>
      </c>
      <c r="I167" s="123" t="str">
        <f ca="1">IFERROR(INDEX(Databas!$A$10:$BK$188,MATCH(Sammanfattning!I$149,Databas!$BH$10:$BH$188,0),MATCH($A167,Databas!$A$10:$BK$10,0)),"")</f>
        <v/>
      </c>
      <c r="J167" s="123" t="str">
        <f ca="1">IFERROR(INDEX(Databas!$A$10:$BK$188,MATCH(Sammanfattning!J$149,Databas!$BH$10:$BH$188,0),MATCH($A167,Databas!$A$10:$BK$10,0)),"")</f>
        <v/>
      </c>
      <c r="K167" s="123" t="str">
        <f ca="1">IFERROR(INDEX(Databas!$A$10:$BK$188,MATCH(Sammanfattning!K$149,Databas!$BH$10:$BH$188,0),MATCH($A167,Databas!$A$10:$BK$10,0)),"")</f>
        <v/>
      </c>
    </row>
    <row r="168" spans="1:11" ht="18.75" customHeight="1" outlineLevel="1" x14ac:dyDescent="0.3">
      <c r="A168" s="45" t="s">
        <v>102</v>
      </c>
      <c r="B168" s="123" t="str">
        <f ca="1">IFERROR(INDEX(Databas!$A$10:$BK$188,MATCH(Sammanfattning!B$149,Databas!$BH$10:$BH$188,0),MATCH($A168,Databas!$A$10:$BK$10,0)),"")</f>
        <v/>
      </c>
      <c r="C168" s="123" t="str">
        <f ca="1">IFERROR(INDEX(Databas!$A$10:$BK$188,MATCH(Sammanfattning!C$149,Databas!$BH$10:$BH$188,0),MATCH($A168,Databas!$A$10:$BK$10,0)),"")</f>
        <v/>
      </c>
      <c r="D168" s="123" t="str">
        <f ca="1">IFERROR(INDEX(Databas!$A$10:$BK$188,MATCH(Sammanfattning!D$149,Databas!$BH$10:$BH$188,0),MATCH($A168,Databas!$A$10:$BK$10,0)),"")</f>
        <v/>
      </c>
      <c r="E168" s="123" t="str">
        <f ca="1">IFERROR(INDEX(Databas!$A$10:$BK$188,MATCH(Sammanfattning!E$149,Databas!$BH$10:$BH$188,0),MATCH($A168,Databas!$A$10:$BK$10,0)),"")</f>
        <v/>
      </c>
      <c r="F168" s="123" t="str">
        <f ca="1">IFERROR(INDEX(Databas!$A$10:$BK$188,MATCH(Sammanfattning!F$149,Databas!$BH$10:$BH$188,0),MATCH($A168,Databas!$A$10:$BK$10,0)),"")</f>
        <v/>
      </c>
      <c r="G168" s="123" t="str">
        <f ca="1">IFERROR(INDEX(Databas!$A$10:$BK$188,MATCH(Sammanfattning!G$149,Databas!$BH$10:$BH$188,0),MATCH($A168,Databas!$A$10:$BK$10,0)),"")</f>
        <v/>
      </c>
      <c r="H168" s="123" t="str">
        <f ca="1">IFERROR(INDEX(Databas!$A$10:$BK$188,MATCH(Sammanfattning!H$149,Databas!$BH$10:$BH$188,0),MATCH($A168,Databas!$A$10:$BK$10,0)),"")</f>
        <v/>
      </c>
      <c r="I168" s="123" t="str">
        <f ca="1">IFERROR(INDEX(Databas!$A$10:$BK$188,MATCH(Sammanfattning!I$149,Databas!$BH$10:$BH$188,0),MATCH($A168,Databas!$A$10:$BK$10,0)),"")</f>
        <v/>
      </c>
      <c r="J168" s="123" t="str">
        <f ca="1">IFERROR(INDEX(Databas!$A$10:$BK$188,MATCH(Sammanfattning!J$149,Databas!$BH$10:$BH$188,0),MATCH($A168,Databas!$A$10:$BK$10,0)),"")</f>
        <v/>
      </c>
      <c r="K168" s="123" t="str">
        <f ca="1">IFERROR(INDEX(Databas!$A$10:$BK$188,MATCH(Sammanfattning!K$149,Databas!$BH$10:$BH$188,0),MATCH($A168,Databas!$A$10:$BK$10,0)),"")</f>
        <v/>
      </c>
    </row>
    <row r="169" spans="1:11" ht="18.75" customHeight="1" outlineLevel="1" x14ac:dyDescent="0.3">
      <c r="A169" s="45" t="s">
        <v>120</v>
      </c>
      <c r="B169" s="123" t="str">
        <f ca="1">IFERROR(INDEX(Databas!$A$10:$BK$188,MATCH(Sammanfattning!B$149,Databas!$BH$10:$BH$188,0),MATCH($A169,Databas!$A$10:$BK$10,0)),"")</f>
        <v/>
      </c>
      <c r="C169" s="123" t="str">
        <f ca="1">IFERROR(INDEX(Databas!$A$10:$BK$188,MATCH(Sammanfattning!C$149,Databas!$BH$10:$BH$188,0),MATCH($A169,Databas!$A$10:$BK$10,0)),"")</f>
        <v/>
      </c>
      <c r="D169" s="123" t="str">
        <f ca="1">IFERROR(INDEX(Databas!$A$10:$BK$188,MATCH(Sammanfattning!D$149,Databas!$BH$10:$BH$188,0),MATCH($A169,Databas!$A$10:$BK$10,0)),"")</f>
        <v/>
      </c>
      <c r="E169" s="123" t="str">
        <f ca="1">IFERROR(INDEX(Databas!$A$10:$BK$188,MATCH(Sammanfattning!E$149,Databas!$BH$10:$BH$188,0),MATCH($A169,Databas!$A$10:$BK$10,0)),"")</f>
        <v/>
      </c>
      <c r="F169" s="123" t="str">
        <f ca="1">IFERROR(INDEX(Databas!$A$10:$BK$188,MATCH(Sammanfattning!F$149,Databas!$BH$10:$BH$188,0),MATCH($A169,Databas!$A$10:$BK$10,0)),"")</f>
        <v/>
      </c>
      <c r="G169" s="123" t="str">
        <f ca="1">IFERROR(INDEX(Databas!$A$10:$BK$188,MATCH(Sammanfattning!G$149,Databas!$BH$10:$BH$188,0),MATCH($A169,Databas!$A$10:$BK$10,0)),"")</f>
        <v/>
      </c>
      <c r="H169" s="123" t="str">
        <f ca="1">IFERROR(INDEX(Databas!$A$10:$BK$188,MATCH(Sammanfattning!H$149,Databas!$BH$10:$BH$188,0),MATCH($A169,Databas!$A$10:$BK$10,0)),"")</f>
        <v/>
      </c>
      <c r="I169" s="123" t="str">
        <f ca="1">IFERROR(INDEX(Databas!$A$10:$BK$188,MATCH(Sammanfattning!I$149,Databas!$BH$10:$BH$188,0),MATCH($A169,Databas!$A$10:$BK$10,0)),"")</f>
        <v/>
      </c>
      <c r="J169" s="123" t="str">
        <f ca="1">IFERROR(INDEX(Databas!$A$10:$BK$188,MATCH(Sammanfattning!J$149,Databas!$BH$10:$BH$188,0),MATCH($A169,Databas!$A$10:$BK$10,0)),"")</f>
        <v/>
      </c>
      <c r="K169" s="123" t="str">
        <f ca="1">IFERROR(INDEX(Databas!$A$10:$BK$188,MATCH(Sammanfattning!K$149,Databas!$BH$10:$BH$188,0),MATCH($A169,Databas!$A$10:$BK$10,0)),"")</f>
        <v/>
      </c>
    </row>
    <row r="170" spans="1:11" ht="18.75" customHeight="1" outlineLevel="1" x14ac:dyDescent="0.3">
      <c r="A170" s="45" t="s">
        <v>5</v>
      </c>
      <c r="B170" s="123" t="str">
        <f ca="1">IFERROR(INDEX(Databas!$A$10:$BK$188,MATCH(Sammanfattning!B$149,Databas!$BH$10:$BH$188,0),MATCH($A170,Databas!$A$10:$BK$10,0)),"")</f>
        <v/>
      </c>
      <c r="C170" s="123" t="str">
        <f ca="1">IFERROR(INDEX(Databas!$A$10:$BK$188,MATCH(Sammanfattning!C$149,Databas!$BH$10:$BH$188,0),MATCH($A170,Databas!$A$10:$BK$10,0)),"")</f>
        <v/>
      </c>
      <c r="D170" s="123" t="str">
        <f ca="1">IFERROR(INDEX(Databas!$A$10:$BK$188,MATCH(Sammanfattning!D$149,Databas!$BH$10:$BH$188,0),MATCH($A170,Databas!$A$10:$BK$10,0)),"")</f>
        <v/>
      </c>
      <c r="E170" s="123" t="str">
        <f ca="1">IFERROR(INDEX(Databas!$A$10:$BK$188,MATCH(Sammanfattning!E$149,Databas!$BH$10:$BH$188,0),MATCH($A170,Databas!$A$10:$BK$10,0)),"")</f>
        <v/>
      </c>
      <c r="F170" s="123" t="str">
        <f ca="1">IFERROR(INDEX(Databas!$A$10:$BK$188,MATCH(Sammanfattning!F$149,Databas!$BH$10:$BH$188,0),MATCH($A170,Databas!$A$10:$BK$10,0)),"")</f>
        <v/>
      </c>
      <c r="G170" s="123" t="str">
        <f ca="1">IFERROR(INDEX(Databas!$A$10:$BK$188,MATCH(Sammanfattning!G$149,Databas!$BH$10:$BH$188,0),MATCH($A170,Databas!$A$10:$BK$10,0)),"")</f>
        <v/>
      </c>
      <c r="H170" s="123" t="str">
        <f ca="1">IFERROR(INDEX(Databas!$A$10:$BK$188,MATCH(Sammanfattning!H$149,Databas!$BH$10:$BH$188,0),MATCH($A170,Databas!$A$10:$BK$10,0)),"")</f>
        <v/>
      </c>
      <c r="I170" s="123" t="str">
        <f ca="1">IFERROR(INDEX(Databas!$A$10:$BK$188,MATCH(Sammanfattning!I$149,Databas!$BH$10:$BH$188,0),MATCH($A170,Databas!$A$10:$BK$10,0)),"")</f>
        <v/>
      </c>
      <c r="J170" s="123" t="str">
        <f ca="1">IFERROR(INDEX(Databas!$A$10:$BK$188,MATCH(Sammanfattning!J$149,Databas!$BH$10:$BH$188,0),MATCH($A170,Databas!$A$10:$BK$10,0)),"")</f>
        <v/>
      </c>
      <c r="K170" s="123" t="str">
        <f ca="1">IFERROR(INDEX(Databas!$A$10:$BK$188,MATCH(Sammanfattning!K$149,Databas!$BH$10:$BH$188,0),MATCH($A170,Databas!$A$10:$BK$10,0)),"")</f>
        <v/>
      </c>
    </row>
    <row r="171" spans="1:11" ht="18.75" customHeight="1" outlineLevel="1" x14ac:dyDescent="0.3">
      <c r="A171" s="45" t="s">
        <v>3</v>
      </c>
      <c r="B171" s="123" t="str">
        <f ca="1">IFERROR(INDEX(Databas!$A$10:$BK$188,MATCH(Sammanfattning!B$149,Databas!$BH$10:$BH$188,0),MATCH($A171,Databas!$A$10:$BK$10,0)),"")</f>
        <v/>
      </c>
      <c r="C171" s="123" t="str">
        <f ca="1">IFERROR(INDEX(Databas!$A$10:$BK$188,MATCH(Sammanfattning!C$149,Databas!$BH$10:$BH$188,0),MATCH($A171,Databas!$A$10:$BK$10,0)),"")</f>
        <v/>
      </c>
      <c r="D171" s="123" t="str">
        <f ca="1">IFERROR(INDEX(Databas!$A$10:$BK$188,MATCH(Sammanfattning!D$149,Databas!$BH$10:$BH$188,0),MATCH($A171,Databas!$A$10:$BK$10,0)),"")</f>
        <v/>
      </c>
      <c r="E171" s="123" t="str">
        <f ca="1">IFERROR(INDEX(Databas!$A$10:$BK$188,MATCH(Sammanfattning!E$149,Databas!$BH$10:$BH$188,0),MATCH($A171,Databas!$A$10:$BK$10,0)),"")</f>
        <v/>
      </c>
      <c r="F171" s="123" t="str">
        <f ca="1">IFERROR(INDEX(Databas!$A$10:$BK$188,MATCH(Sammanfattning!F$149,Databas!$BH$10:$BH$188,0),MATCH($A171,Databas!$A$10:$BK$10,0)),"")</f>
        <v/>
      </c>
      <c r="G171" s="123" t="str">
        <f ca="1">IFERROR(INDEX(Databas!$A$10:$BK$188,MATCH(Sammanfattning!G$149,Databas!$BH$10:$BH$188,0),MATCH($A171,Databas!$A$10:$BK$10,0)),"")</f>
        <v/>
      </c>
      <c r="H171" s="123" t="str">
        <f ca="1">IFERROR(INDEX(Databas!$A$10:$BK$188,MATCH(Sammanfattning!H$149,Databas!$BH$10:$BH$188,0),MATCH($A171,Databas!$A$10:$BK$10,0)),"")</f>
        <v/>
      </c>
      <c r="I171" s="123" t="str">
        <f ca="1">IFERROR(INDEX(Databas!$A$10:$BK$188,MATCH(Sammanfattning!I$149,Databas!$BH$10:$BH$188,0),MATCH($A171,Databas!$A$10:$BK$10,0)),"")</f>
        <v/>
      </c>
      <c r="J171" s="123" t="str">
        <f ca="1">IFERROR(INDEX(Databas!$A$10:$BK$188,MATCH(Sammanfattning!J$149,Databas!$BH$10:$BH$188,0),MATCH($A171,Databas!$A$10:$BK$10,0)),"")</f>
        <v/>
      </c>
      <c r="K171" s="123" t="str">
        <f ca="1">IFERROR(INDEX(Databas!$A$10:$BK$188,MATCH(Sammanfattning!K$149,Databas!$BH$10:$BH$188,0),MATCH($A171,Databas!$A$10:$BK$10,0)),"")</f>
        <v/>
      </c>
    </row>
    <row r="172" spans="1:11" ht="18.75" customHeight="1" outlineLevel="1" x14ac:dyDescent="0.3">
      <c r="A172" s="45" t="s">
        <v>39</v>
      </c>
      <c r="B172" s="123" t="str">
        <f ca="1">IFERROR(INDEX(Databas!$A$10:$BK$188,MATCH(Sammanfattning!B$149,Databas!$BH$10:$BH$188,0),MATCH($A172,Databas!$A$10:$BK$10,0)),"")</f>
        <v/>
      </c>
      <c r="C172" s="123" t="str">
        <f ca="1">IFERROR(INDEX(Databas!$A$10:$BK$188,MATCH(Sammanfattning!C$149,Databas!$BH$10:$BH$188,0),MATCH($A172,Databas!$A$10:$BK$10,0)),"")</f>
        <v/>
      </c>
      <c r="D172" s="123" t="str">
        <f ca="1">IFERROR(INDEX(Databas!$A$10:$BK$188,MATCH(Sammanfattning!D$149,Databas!$BH$10:$BH$188,0),MATCH($A172,Databas!$A$10:$BK$10,0)),"")</f>
        <v/>
      </c>
      <c r="E172" s="123" t="str">
        <f ca="1">IFERROR(INDEX(Databas!$A$10:$BK$188,MATCH(Sammanfattning!E$149,Databas!$BH$10:$BH$188,0),MATCH($A172,Databas!$A$10:$BK$10,0)),"")</f>
        <v/>
      </c>
      <c r="F172" s="123" t="str">
        <f ca="1">IFERROR(INDEX(Databas!$A$10:$BK$188,MATCH(Sammanfattning!F$149,Databas!$BH$10:$BH$188,0),MATCH($A172,Databas!$A$10:$BK$10,0)),"")</f>
        <v/>
      </c>
      <c r="G172" s="123" t="str">
        <f ca="1">IFERROR(INDEX(Databas!$A$10:$BK$188,MATCH(Sammanfattning!G$149,Databas!$BH$10:$BH$188,0),MATCH($A172,Databas!$A$10:$BK$10,0)),"")</f>
        <v/>
      </c>
      <c r="H172" s="123" t="str">
        <f ca="1">IFERROR(INDEX(Databas!$A$10:$BK$188,MATCH(Sammanfattning!H$149,Databas!$BH$10:$BH$188,0),MATCH($A172,Databas!$A$10:$BK$10,0)),"")</f>
        <v/>
      </c>
      <c r="I172" s="123" t="str">
        <f ca="1">IFERROR(INDEX(Databas!$A$10:$BK$188,MATCH(Sammanfattning!I$149,Databas!$BH$10:$BH$188,0),MATCH($A172,Databas!$A$10:$BK$10,0)),"")</f>
        <v/>
      </c>
      <c r="J172" s="123" t="str">
        <f ca="1">IFERROR(INDEX(Databas!$A$10:$BK$188,MATCH(Sammanfattning!J$149,Databas!$BH$10:$BH$188,0),MATCH($A172,Databas!$A$10:$BK$10,0)),"")</f>
        <v/>
      </c>
      <c r="K172" s="123" t="str">
        <f ca="1">IFERROR(INDEX(Databas!$A$10:$BK$188,MATCH(Sammanfattning!K$149,Databas!$BH$10:$BH$188,0),MATCH($A172,Databas!$A$10:$BK$10,0)),"")</f>
        <v/>
      </c>
    </row>
    <row r="173" spans="1:11" ht="18.75" customHeight="1" outlineLevel="1" x14ac:dyDescent="0.3">
      <c r="A173" s="45" t="s">
        <v>41</v>
      </c>
      <c r="B173" s="123" t="str">
        <f ca="1">IFERROR(INDEX(Databas!$A$10:$BK$188,MATCH(Sammanfattning!B$149,Databas!$BH$10:$BH$188,0),MATCH($A173,Databas!$A$10:$BK$10,0)),"")</f>
        <v/>
      </c>
      <c r="C173" s="123" t="str">
        <f ca="1">IFERROR(INDEX(Databas!$A$10:$BK$188,MATCH(Sammanfattning!C$149,Databas!$BH$10:$BH$188,0),MATCH($A173,Databas!$A$10:$BK$10,0)),"")</f>
        <v/>
      </c>
      <c r="D173" s="123" t="str">
        <f ca="1">IFERROR(INDEX(Databas!$A$10:$BK$188,MATCH(Sammanfattning!D$149,Databas!$BH$10:$BH$188,0),MATCH($A173,Databas!$A$10:$BK$10,0)),"")</f>
        <v/>
      </c>
      <c r="E173" s="123" t="str">
        <f ca="1">IFERROR(INDEX(Databas!$A$10:$BK$188,MATCH(Sammanfattning!E$149,Databas!$BH$10:$BH$188,0),MATCH($A173,Databas!$A$10:$BK$10,0)),"")</f>
        <v/>
      </c>
      <c r="F173" s="123" t="str">
        <f ca="1">IFERROR(INDEX(Databas!$A$10:$BK$188,MATCH(Sammanfattning!F$149,Databas!$BH$10:$BH$188,0),MATCH($A173,Databas!$A$10:$BK$10,0)),"")</f>
        <v/>
      </c>
      <c r="G173" s="123" t="str">
        <f ca="1">IFERROR(INDEX(Databas!$A$10:$BK$188,MATCH(Sammanfattning!G$149,Databas!$BH$10:$BH$188,0),MATCH($A173,Databas!$A$10:$BK$10,0)),"")</f>
        <v/>
      </c>
      <c r="H173" s="123" t="str">
        <f ca="1">IFERROR(INDEX(Databas!$A$10:$BK$188,MATCH(Sammanfattning!H$149,Databas!$BH$10:$BH$188,0),MATCH($A173,Databas!$A$10:$BK$10,0)),"")</f>
        <v/>
      </c>
      <c r="I173" s="123" t="str">
        <f ca="1">IFERROR(INDEX(Databas!$A$10:$BK$188,MATCH(Sammanfattning!I$149,Databas!$BH$10:$BH$188,0),MATCH($A173,Databas!$A$10:$BK$10,0)),"")</f>
        <v/>
      </c>
      <c r="J173" s="123" t="str">
        <f ca="1">IFERROR(INDEX(Databas!$A$10:$BK$188,MATCH(Sammanfattning!J$149,Databas!$BH$10:$BH$188,0),MATCH($A173,Databas!$A$10:$BK$10,0)),"")</f>
        <v/>
      </c>
      <c r="K173" s="123" t="str">
        <f ca="1">IFERROR(INDEX(Databas!$A$10:$BK$188,MATCH(Sammanfattning!K$149,Databas!$BH$10:$BH$188,0),MATCH($A173,Databas!$A$10:$BK$10,0)),"")</f>
        <v/>
      </c>
    </row>
    <row r="174" spans="1:11" ht="18.75" customHeight="1" outlineLevel="1" x14ac:dyDescent="0.3">
      <c r="A174" s="45" t="s">
        <v>1</v>
      </c>
      <c r="B174" s="123" t="str">
        <f ca="1">IFERROR(INDEX(Databas!$A$10:$BK$188,MATCH(Sammanfattning!B$149,Databas!$BH$10:$BH$188,0),MATCH($A174,Databas!$A$10:$BK$10,0)),"")</f>
        <v/>
      </c>
      <c r="C174" s="123" t="str">
        <f ca="1">IFERROR(INDEX(Databas!$A$10:$BK$188,MATCH(Sammanfattning!C$149,Databas!$BH$10:$BH$188,0),MATCH($A174,Databas!$A$10:$BK$10,0)),"")</f>
        <v/>
      </c>
      <c r="D174" s="123" t="str">
        <f ca="1">IFERROR(INDEX(Databas!$A$10:$BK$188,MATCH(Sammanfattning!D$149,Databas!$BH$10:$BH$188,0),MATCH($A174,Databas!$A$10:$BK$10,0)),"")</f>
        <v/>
      </c>
      <c r="E174" s="123" t="str">
        <f ca="1">IFERROR(INDEX(Databas!$A$10:$BK$188,MATCH(Sammanfattning!E$149,Databas!$BH$10:$BH$188,0),MATCH($A174,Databas!$A$10:$BK$10,0)),"")</f>
        <v/>
      </c>
      <c r="F174" s="123" t="str">
        <f ca="1">IFERROR(INDEX(Databas!$A$10:$BK$188,MATCH(Sammanfattning!F$149,Databas!$BH$10:$BH$188,0),MATCH($A174,Databas!$A$10:$BK$10,0)),"")</f>
        <v/>
      </c>
      <c r="G174" s="123" t="str">
        <f ca="1">IFERROR(INDEX(Databas!$A$10:$BK$188,MATCH(Sammanfattning!G$149,Databas!$BH$10:$BH$188,0),MATCH($A174,Databas!$A$10:$BK$10,0)),"")</f>
        <v/>
      </c>
      <c r="H174" s="123" t="str">
        <f ca="1">IFERROR(INDEX(Databas!$A$10:$BK$188,MATCH(Sammanfattning!H$149,Databas!$BH$10:$BH$188,0),MATCH($A174,Databas!$A$10:$BK$10,0)),"")</f>
        <v/>
      </c>
      <c r="I174" s="123" t="str">
        <f ca="1">IFERROR(INDEX(Databas!$A$10:$BK$188,MATCH(Sammanfattning!I$149,Databas!$BH$10:$BH$188,0),MATCH($A174,Databas!$A$10:$BK$10,0)),"")</f>
        <v/>
      </c>
      <c r="J174" s="123" t="str">
        <f ca="1">IFERROR(INDEX(Databas!$A$10:$BK$188,MATCH(Sammanfattning!J$149,Databas!$BH$10:$BH$188,0),MATCH($A174,Databas!$A$10:$BK$10,0)),"")</f>
        <v/>
      </c>
      <c r="K174" s="123" t="str">
        <f ca="1">IFERROR(INDEX(Databas!$A$10:$BK$188,MATCH(Sammanfattning!K$149,Databas!$BH$10:$BH$188,0),MATCH($A174,Databas!$A$10:$BK$10,0)),"")</f>
        <v/>
      </c>
    </row>
    <row r="175" spans="1:11" ht="18.75" customHeight="1" outlineLevel="1" x14ac:dyDescent="0.3">
      <c r="A175" s="45" t="s">
        <v>8</v>
      </c>
      <c r="B175" s="123" t="str">
        <f ca="1">IFERROR(INDEX(Databas!$A$10:$BK$188,MATCH(Sammanfattning!B$149,Databas!$BH$10:$BH$188,0),MATCH($A175,Databas!$A$10:$BK$10,0)),"")</f>
        <v/>
      </c>
      <c r="C175" s="123" t="str">
        <f ca="1">IFERROR(INDEX(Databas!$A$10:$BK$188,MATCH(Sammanfattning!C$149,Databas!$BH$10:$BH$188,0),MATCH($A175,Databas!$A$10:$BK$10,0)),"")</f>
        <v/>
      </c>
      <c r="D175" s="123" t="str">
        <f ca="1">IFERROR(INDEX(Databas!$A$10:$BK$188,MATCH(Sammanfattning!D$149,Databas!$BH$10:$BH$188,0),MATCH($A175,Databas!$A$10:$BK$10,0)),"")</f>
        <v/>
      </c>
      <c r="E175" s="123" t="str">
        <f ca="1">IFERROR(INDEX(Databas!$A$10:$BK$188,MATCH(Sammanfattning!E$149,Databas!$BH$10:$BH$188,0),MATCH($A175,Databas!$A$10:$BK$10,0)),"")</f>
        <v/>
      </c>
      <c r="F175" s="123" t="str">
        <f ca="1">IFERROR(INDEX(Databas!$A$10:$BK$188,MATCH(Sammanfattning!F$149,Databas!$BH$10:$BH$188,0),MATCH($A175,Databas!$A$10:$BK$10,0)),"")</f>
        <v/>
      </c>
      <c r="G175" s="123" t="str">
        <f ca="1">IFERROR(INDEX(Databas!$A$10:$BK$188,MATCH(Sammanfattning!G$149,Databas!$BH$10:$BH$188,0),MATCH($A175,Databas!$A$10:$BK$10,0)),"")</f>
        <v/>
      </c>
      <c r="H175" s="123" t="str">
        <f ca="1">IFERROR(INDEX(Databas!$A$10:$BK$188,MATCH(Sammanfattning!H$149,Databas!$BH$10:$BH$188,0),MATCH($A175,Databas!$A$10:$BK$10,0)),"")</f>
        <v/>
      </c>
      <c r="I175" s="123" t="str">
        <f ca="1">IFERROR(INDEX(Databas!$A$10:$BK$188,MATCH(Sammanfattning!I$149,Databas!$BH$10:$BH$188,0),MATCH($A175,Databas!$A$10:$BK$10,0)),"")</f>
        <v/>
      </c>
      <c r="J175" s="123" t="str">
        <f ca="1">IFERROR(INDEX(Databas!$A$10:$BK$188,MATCH(Sammanfattning!J$149,Databas!$BH$10:$BH$188,0),MATCH($A175,Databas!$A$10:$BK$10,0)),"")</f>
        <v/>
      </c>
      <c r="K175" s="123" t="str">
        <f ca="1">IFERROR(INDEX(Databas!$A$10:$BK$188,MATCH(Sammanfattning!K$149,Databas!$BH$10:$BH$188,0),MATCH($A175,Databas!$A$10:$BK$10,0)),"")</f>
        <v/>
      </c>
    </row>
    <row r="176" spans="1:11" ht="18.75" customHeight="1" outlineLevel="1" x14ac:dyDescent="0.3">
      <c r="A176" s="45" t="s">
        <v>9</v>
      </c>
      <c r="B176" s="123" t="str">
        <f ca="1">IFERROR(INDEX(Databas!$A$10:$BK$188,MATCH(Sammanfattning!B$149,Databas!$BH$10:$BH$188,0),MATCH($A176,Databas!$A$10:$BK$10,0)),"")</f>
        <v/>
      </c>
      <c r="C176" s="123" t="str">
        <f ca="1">IFERROR(INDEX(Databas!$A$10:$BK$188,MATCH(Sammanfattning!C$149,Databas!$BH$10:$BH$188,0),MATCH($A176,Databas!$A$10:$BK$10,0)),"")</f>
        <v/>
      </c>
      <c r="D176" s="123" t="str">
        <f ca="1">IFERROR(INDEX(Databas!$A$10:$BK$188,MATCH(Sammanfattning!D$149,Databas!$BH$10:$BH$188,0),MATCH($A176,Databas!$A$10:$BK$10,0)),"")</f>
        <v/>
      </c>
      <c r="E176" s="123" t="str">
        <f ca="1">IFERROR(INDEX(Databas!$A$10:$BK$188,MATCH(Sammanfattning!E$149,Databas!$BH$10:$BH$188,0),MATCH($A176,Databas!$A$10:$BK$10,0)),"")</f>
        <v/>
      </c>
      <c r="F176" s="123" t="str">
        <f ca="1">IFERROR(INDEX(Databas!$A$10:$BK$188,MATCH(Sammanfattning!F$149,Databas!$BH$10:$BH$188,0),MATCH($A176,Databas!$A$10:$BK$10,0)),"")</f>
        <v/>
      </c>
      <c r="G176" s="123" t="str">
        <f ca="1">IFERROR(INDEX(Databas!$A$10:$BK$188,MATCH(Sammanfattning!G$149,Databas!$BH$10:$BH$188,0),MATCH($A176,Databas!$A$10:$BK$10,0)),"")</f>
        <v/>
      </c>
      <c r="H176" s="123" t="str">
        <f ca="1">IFERROR(INDEX(Databas!$A$10:$BK$188,MATCH(Sammanfattning!H$149,Databas!$BH$10:$BH$188,0),MATCH($A176,Databas!$A$10:$BK$10,0)),"")</f>
        <v/>
      </c>
      <c r="I176" s="123" t="str">
        <f ca="1">IFERROR(INDEX(Databas!$A$10:$BK$188,MATCH(Sammanfattning!I$149,Databas!$BH$10:$BH$188,0),MATCH($A176,Databas!$A$10:$BK$10,0)),"")</f>
        <v/>
      </c>
      <c r="J176" s="123" t="str">
        <f ca="1">IFERROR(INDEX(Databas!$A$10:$BK$188,MATCH(Sammanfattning!J$149,Databas!$BH$10:$BH$188,0),MATCH($A176,Databas!$A$10:$BK$10,0)),"")</f>
        <v/>
      </c>
      <c r="K176" s="123" t="str">
        <f ca="1">IFERROR(INDEX(Databas!$A$10:$BK$188,MATCH(Sammanfattning!K$149,Databas!$BH$10:$BH$188,0),MATCH($A176,Databas!$A$10:$BK$10,0)),"")</f>
        <v/>
      </c>
    </row>
    <row r="177" spans="1:11" ht="18.75" customHeight="1" outlineLevel="1" x14ac:dyDescent="0.3">
      <c r="A177" s="45" t="s">
        <v>10</v>
      </c>
      <c r="B177" s="123" t="str">
        <f ca="1">IFERROR(INDEX(Databas!$A$10:$BK$188,MATCH(Sammanfattning!B$149,Databas!$BH$10:$BH$188,0),MATCH($A177,Databas!$A$10:$BK$10,0)),"")</f>
        <v/>
      </c>
      <c r="C177" s="123" t="str">
        <f ca="1">IFERROR(INDEX(Databas!$A$10:$BK$188,MATCH(Sammanfattning!C$149,Databas!$BH$10:$BH$188,0),MATCH($A177,Databas!$A$10:$BK$10,0)),"")</f>
        <v/>
      </c>
      <c r="D177" s="123" t="str">
        <f ca="1">IFERROR(INDEX(Databas!$A$10:$BK$188,MATCH(Sammanfattning!D$149,Databas!$BH$10:$BH$188,0),MATCH($A177,Databas!$A$10:$BK$10,0)),"")</f>
        <v/>
      </c>
      <c r="E177" s="123" t="str">
        <f ca="1">IFERROR(INDEX(Databas!$A$10:$BK$188,MATCH(Sammanfattning!E$149,Databas!$BH$10:$BH$188,0),MATCH($A177,Databas!$A$10:$BK$10,0)),"")</f>
        <v/>
      </c>
      <c r="F177" s="123" t="str">
        <f ca="1">IFERROR(INDEX(Databas!$A$10:$BK$188,MATCH(Sammanfattning!F$149,Databas!$BH$10:$BH$188,0),MATCH($A177,Databas!$A$10:$BK$10,0)),"")</f>
        <v/>
      </c>
      <c r="G177" s="123" t="str">
        <f ca="1">IFERROR(INDEX(Databas!$A$10:$BK$188,MATCH(Sammanfattning!G$149,Databas!$BH$10:$BH$188,0),MATCH($A177,Databas!$A$10:$BK$10,0)),"")</f>
        <v/>
      </c>
      <c r="H177" s="123" t="str">
        <f ca="1">IFERROR(INDEX(Databas!$A$10:$BK$188,MATCH(Sammanfattning!H$149,Databas!$BH$10:$BH$188,0),MATCH($A177,Databas!$A$10:$BK$10,0)),"")</f>
        <v/>
      </c>
      <c r="I177" s="123" t="str">
        <f ca="1">IFERROR(INDEX(Databas!$A$10:$BK$188,MATCH(Sammanfattning!I$149,Databas!$BH$10:$BH$188,0),MATCH($A177,Databas!$A$10:$BK$10,0)),"")</f>
        <v/>
      </c>
      <c r="J177" s="123" t="str">
        <f ca="1">IFERROR(INDEX(Databas!$A$10:$BK$188,MATCH(Sammanfattning!J$149,Databas!$BH$10:$BH$188,0),MATCH($A177,Databas!$A$10:$BK$10,0)),"")</f>
        <v/>
      </c>
      <c r="K177" s="123" t="str">
        <f ca="1">IFERROR(INDEX(Databas!$A$10:$BK$188,MATCH(Sammanfattning!K$149,Databas!$BH$10:$BH$188,0),MATCH($A177,Databas!$A$10:$BK$10,0)),"")</f>
        <v/>
      </c>
    </row>
    <row r="178" spans="1:11" ht="18.75" customHeight="1" outlineLevel="1" x14ac:dyDescent="0.3">
      <c r="A178" s="45" t="s">
        <v>104</v>
      </c>
      <c r="B178" s="123" t="str">
        <f ca="1">IFERROR(INDEX(Databas!$A$10:$BK$188,MATCH(Sammanfattning!B$149,Databas!$BH$10:$BH$188,0),MATCH($A178,Databas!$A$10:$BK$10,0)),"")</f>
        <v/>
      </c>
      <c r="C178" s="123" t="str">
        <f ca="1">IFERROR(INDEX(Databas!$A$10:$BK$188,MATCH(Sammanfattning!C$149,Databas!$BH$10:$BH$188,0),MATCH($A178,Databas!$A$10:$BK$10,0)),"")</f>
        <v/>
      </c>
      <c r="D178" s="123" t="str">
        <f ca="1">IFERROR(INDEX(Databas!$A$10:$BK$188,MATCH(Sammanfattning!D$149,Databas!$BH$10:$BH$188,0),MATCH($A178,Databas!$A$10:$BK$10,0)),"")</f>
        <v/>
      </c>
      <c r="E178" s="123" t="str">
        <f ca="1">IFERROR(INDEX(Databas!$A$10:$BK$188,MATCH(Sammanfattning!E$149,Databas!$BH$10:$BH$188,0),MATCH($A178,Databas!$A$10:$BK$10,0)),"")</f>
        <v/>
      </c>
      <c r="F178" s="123" t="str">
        <f ca="1">IFERROR(INDEX(Databas!$A$10:$BK$188,MATCH(Sammanfattning!F$149,Databas!$BH$10:$BH$188,0),MATCH($A178,Databas!$A$10:$BK$10,0)),"")</f>
        <v/>
      </c>
      <c r="G178" s="123" t="str">
        <f ca="1">IFERROR(INDEX(Databas!$A$10:$BK$188,MATCH(Sammanfattning!G$149,Databas!$BH$10:$BH$188,0),MATCH($A178,Databas!$A$10:$BK$10,0)),"")</f>
        <v/>
      </c>
      <c r="H178" s="123" t="str">
        <f ca="1">IFERROR(INDEX(Databas!$A$10:$BK$188,MATCH(Sammanfattning!H$149,Databas!$BH$10:$BH$188,0),MATCH($A178,Databas!$A$10:$BK$10,0)),"")</f>
        <v/>
      </c>
      <c r="I178" s="123" t="str">
        <f ca="1">IFERROR(INDEX(Databas!$A$10:$BK$188,MATCH(Sammanfattning!I$149,Databas!$BH$10:$BH$188,0),MATCH($A178,Databas!$A$10:$BK$10,0)),"")</f>
        <v/>
      </c>
      <c r="J178" s="123" t="str">
        <f ca="1">IFERROR(INDEX(Databas!$A$10:$BK$188,MATCH(Sammanfattning!J$149,Databas!$BH$10:$BH$188,0),MATCH($A178,Databas!$A$10:$BK$10,0)),"")</f>
        <v/>
      </c>
      <c r="K178" s="123" t="str">
        <f ca="1">IFERROR(INDEX(Databas!$A$10:$BK$188,MATCH(Sammanfattning!K$149,Databas!$BH$10:$BH$188,0),MATCH($A178,Databas!$A$10:$BK$10,0)),"")</f>
        <v/>
      </c>
    </row>
    <row r="179" spans="1:11" ht="18.75" customHeight="1" outlineLevel="1" x14ac:dyDescent="0.3">
      <c r="B179" s="124"/>
      <c r="C179" s="124"/>
      <c r="D179" s="124"/>
      <c r="E179" s="124"/>
      <c r="F179" s="124"/>
      <c r="G179" s="124"/>
      <c r="H179" s="124"/>
      <c r="I179" s="124"/>
      <c r="J179" s="124"/>
      <c r="K179" s="124"/>
    </row>
    <row r="180" spans="1:11" ht="18.75" customHeight="1" outlineLevel="1" x14ac:dyDescent="0.3">
      <c r="A180" s="36" t="s">
        <v>508</v>
      </c>
      <c r="B180" s="123" t="str">
        <f ca="1">IFERROR(INDEX(Databas!$A$10:$BK$188,MATCH(Sammanfattning!B$149,Databas!$BH$10:$BH$188,0),MATCH("Pris",Databas!$A$10:$BK$10,0)),"")</f>
        <v/>
      </c>
      <c r="C180" s="123" t="str">
        <f ca="1">IFERROR(INDEX(Databas!$A$10:$BK$188,MATCH(Sammanfattning!C$149,Databas!$BH$10:$BH$188,0),MATCH("Pris",Databas!$A$10:$BK$10,0)),"")</f>
        <v/>
      </c>
      <c r="D180" s="123" t="str">
        <f ca="1">IFERROR(INDEX(Databas!$A$10:$BK$188,MATCH(Sammanfattning!D$149,Databas!$BH$10:$BH$188,0),MATCH("Pris",Databas!$A$10:$BK$10,0)),"")</f>
        <v/>
      </c>
      <c r="E180" s="123" t="str">
        <f ca="1">IFERROR(INDEX(Databas!$A$10:$BK$188,MATCH(Sammanfattning!E$149,Databas!$BH$10:$BH$188,0),MATCH("Pris",Databas!$A$10:$BK$10,0)),"")</f>
        <v/>
      </c>
      <c r="F180" s="123" t="str">
        <f ca="1">IFERROR(INDEX(Databas!$A$10:$BK$188,MATCH(Sammanfattning!F$149,Databas!$BH$10:$BH$188,0),MATCH("Pris",Databas!$A$10:$BK$10,0)),"")</f>
        <v/>
      </c>
      <c r="G180" s="123" t="str">
        <f ca="1">IFERROR(INDEX(Databas!$A$10:$BK$188,MATCH(Sammanfattning!G$149,Databas!$BH$10:$BH$188,0),MATCH("Pris",Databas!$A$10:$BK$10,0)),"")</f>
        <v/>
      </c>
      <c r="H180" s="123" t="str">
        <f ca="1">IFERROR(INDEX(Databas!$A$10:$BK$188,MATCH(Sammanfattning!H$149,Databas!$BH$10:$BH$188,0),MATCH("Pris",Databas!$A$10:$BK$10,0)),"")</f>
        <v/>
      </c>
      <c r="I180" s="123" t="str">
        <f ca="1">IFERROR(INDEX(Databas!$A$10:$BK$188,MATCH(Sammanfattning!I$149,Databas!$BH$10:$BH$188,0),MATCH("Pris",Databas!$A$10:$BK$10,0)),"")</f>
        <v/>
      </c>
      <c r="J180" s="123" t="str">
        <f ca="1">IFERROR(INDEX(Databas!$A$10:$BK$188,MATCH(Sammanfattning!J$149,Databas!$BH$10:$BH$188,0),MATCH("Pris",Databas!$A$10:$BK$10,0)),"")</f>
        <v/>
      </c>
      <c r="K180" s="123" t="str">
        <f ca="1">IFERROR(INDEX(Databas!$A$10:$BK$188,MATCH(Sammanfattning!K$149,Databas!$BH$10:$BH$188,0),MATCH("Pris",Databas!$A$10:$BK$10,0)),"")</f>
        <v/>
      </c>
    </row>
    <row r="181" spans="1:11" ht="18.75" customHeight="1" outlineLevel="1" x14ac:dyDescent="0.3">
      <c r="B181" s="124"/>
      <c r="C181" s="124"/>
      <c r="D181" s="124"/>
      <c r="E181" s="124"/>
      <c r="F181" s="124"/>
      <c r="G181" s="124"/>
      <c r="H181" s="124"/>
      <c r="I181" s="124"/>
      <c r="J181" s="124"/>
      <c r="K181" s="124"/>
    </row>
    <row r="182" spans="1:11" ht="18.75" customHeight="1" outlineLevel="1" x14ac:dyDescent="0.3">
      <c r="A182" s="41" t="s">
        <v>236</v>
      </c>
      <c r="B182" s="124"/>
      <c r="C182" s="124"/>
      <c r="D182" s="124"/>
      <c r="E182" s="124"/>
      <c r="F182" s="124"/>
      <c r="G182" s="124"/>
      <c r="H182" s="124"/>
      <c r="I182" s="124"/>
      <c r="J182" s="124"/>
      <c r="K182" s="124"/>
    </row>
    <row r="183" spans="1:11" ht="37.5" customHeight="1" outlineLevel="1" x14ac:dyDescent="0.3">
      <c r="A183" s="42" t="s">
        <v>238</v>
      </c>
      <c r="B183" s="125" t="str" cm="1">
        <f t="array" aca="1" ref="B183" ca="1">IFERROR(IF(IFERROR(INDEX(Surfplattor!$D:$D,B$148-ROW($A$200)+ROW(B178),0),"")="","Ej Valt",INDEX(Surfplattor!F:F,B$148-ROW($A$200)+ROW(B178),0)),"")</f>
        <v>Ej Valt</v>
      </c>
      <c r="C183" s="125" t="str" cm="1">
        <f t="array" aca="1" ref="C183" ca="1">IFERROR(IF(IFERROR(INDEX(Surfplattor!$D:$D,C$148-ROW($A$200)+ROW(C178),0),"")="","Ej Valt",INDEX(Surfplattor!G:G,C$148-ROW($A$200)+ROW(C178),0)),"")</f>
        <v>Ej Valt</v>
      </c>
      <c r="D183" s="125" t="str" cm="1">
        <f t="array" aca="1" ref="D183" ca="1">IFERROR(IF(IFERROR(INDEX(Surfplattor!$D:$D,D$148-ROW($A$200)+ROW(D178),0),"")="","Ej Valt",INDEX(Surfplattor!H:H,D$148-ROW($A$200)+ROW(D178),0)),"")</f>
        <v>Ej Valt</v>
      </c>
      <c r="E183" s="125" t="str" cm="1">
        <f t="array" aca="1" ref="E183" ca="1">IFERROR(IF(IFERROR(INDEX(Surfplattor!$D:$D,E$148-ROW($A$200)+ROW(E178),0),"")="","Ej Valt",INDEX(Surfplattor!I:I,E$148-ROW($A$200)+ROW(E178),0)),"")</f>
        <v>Ej Valt</v>
      </c>
      <c r="F183" s="125" t="str" cm="1">
        <f t="array" aca="1" ref="F183" ca="1">IFERROR(IF(IFERROR(INDEX(Surfplattor!$D:$D,F$148-ROW($A$200)+ROW(F178),0),"")="","Ej Valt",INDEX(Surfplattor!J:J,F$148-ROW($A$200)+ROW(F178),0)),"")</f>
        <v>Ej Valt</v>
      </c>
      <c r="G183" s="125" t="str" cm="1">
        <f t="array" aca="1" ref="G183" ca="1">IFERROR(IF(IFERROR(INDEX(Surfplattor!$D:$D,G$148-ROW($A$200)+ROW(G178),0),"")="","Ej Valt",INDEX(Surfplattor!K:K,G$148-ROW($A$200)+ROW(G178),0)),"")</f>
        <v>Ej Valt</v>
      </c>
      <c r="H183" s="125" t="str" cm="1">
        <f t="array" aca="1" ref="H183" ca="1">IFERROR(IF(IFERROR(INDEX(Surfplattor!$D:$D,H$148-ROW($A$200)+ROW(H178),0),"")="","Ej Valt",INDEX(Surfplattor!L:L,H$148-ROW($A$200)+ROW(H178),0)),"")</f>
        <v>Ej Valt</v>
      </c>
      <c r="I183" s="125" t="str" cm="1">
        <f t="array" aca="1" ref="I183" ca="1">IFERROR(IF(IFERROR(INDEX(Surfplattor!$D:$D,I$148-ROW($A$200)+ROW(I178),0),"")="","Ej Valt",INDEX(Surfplattor!M:M,I$148-ROW($A$200)+ROW(I178),0)),"")</f>
        <v>Ej Valt</v>
      </c>
      <c r="J183" s="125" t="str" cm="1">
        <f t="array" aca="1" ref="J183" ca="1">IFERROR(IF(IFERROR(INDEX(Surfplattor!$D:$D,J$148-ROW($A$200)+ROW(J178),0),"")="","Ej Valt",INDEX(Surfplattor!N:N,J$148-ROW($A$200)+ROW(J178),0)),"")</f>
        <v>Ej Valt</v>
      </c>
      <c r="K183" s="125" t="str" cm="1">
        <f t="array" aca="1" ref="K183" ca="1">IFERROR(IF(IFERROR(INDEX(Surfplattor!$D:$D,K$148-ROW($A$200)+ROW(K178),0),"")="","Ej Valt",INDEX(Surfplattor!O:O,K$148-ROW($A$200)+ROW(K178),0)),"")</f>
        <v>Ej Valt</v>
      </c>
    </row>
    <row r="184" spans="1:11" ht="37.5" customHeight="1" outlineLevel="1" x14ac:dyDescent="0.3">
      <c r="A184" s="42" t="s">
        <v>340</v>
      </c>
      <c r="B184" s="125" t="str" cm="1">
        <f t="array" aca="1" ref="B184" ca="1">IFERROR(IF(IFERROR(INDEX(Surfplattor!$D:$D,B$148-ROW($A$200)+ROW(B179),0),"")="","-",INDEX(Surfplattor!F:F,B$148-ROW($A$200)+ROW(B179),0)),"")</f>
        <v>-</v>
      </c>
      <c r="C184" s="125" t="str" cm="1">
        <f t="array" aca="1" ref="C184" ca="1">IFERROR(IF(IFERROR(INDEX(Surfplattor!$D:$D,C$148-ROW($A$200)+ROW(C179),0),"")="","-",INDEX(Surfplattor!G:G,C$148-ROW($A$200)+ROW(C179),0)),"")</f>
        <v>-</v>
      </c>
      <c r="D184" s="125" t="str" cm="1">
        <f t="array" aca="1" ref="D184" ca="1">IFERROR(IF(IFERROR(INDEX(Surfplattor!$D:$D,D$148-ROW($A$200)+ROW(D179),0),"")="","-",INDEX(Surfplattor!H:H,D$148-ROW($A$200)+ROW(D179),0)),"")</f>
        <v>-</v>
      </c>
      <c r="E184" s="125" t="str" cm="1">
        <f t="array" aca="1" ref="E184" ca="1">IFERROR(IF(IFERROR(INDEX(Surfplattor!$D:$D,E$148-ROW($A$200)+ROW(E179),0),"")="","-",INDEX(Surfplattor!I:I,E$148-ROW($A$200)+ROW(E179),0)),"")</f>
        <v>-</v>
      </c>
      <c r="F184" s="125" t="str" cm="1">
        <f t="array" aca="1" ref="F184" ca="1">IFERROR(IF(IFERROR(INDEX(Surfplattor!$D:$D,F$148-ROW($A$200)+ROW(F179),0),"")="","-",INDEX(Surfplattor!J:J,F$148-ROW($A$200)+ROW(F179),0)),"")</f>
        <v>-</v>
      </c>
      <c r="G184" s="125" t="str" cm="1">
        <f t="array" aca="1" ref="G184" ca="1">IFERROR(IF(IFERROR(INDEX(Surfplattor!$D:$D,G$148-ROW($A$200)+ROW(G179),0),"")="","-",INDEX(Surfplattor!K:K,G$148-ROW($A$200)+ROW(G179),0)),"")</f>
        <v>-</v>
      </c>
      <c r="H184" s="125" t="str" cm="1">
        <f t="array" aca="1" ref="H184" ca="1">IFERROR(IF(IFERROR(INDEX(Surfplattor!$D:$D,H$148-ROW($A$200)+ROW(H179),0),"")="","-",INDEX(Surfplattor!L:L,H$148-ROW($A$200)+ROW(H179),0)),"")</f>
        <v>-</v>
      </c>
      <c r="I184" s="125" t="str" cm="1">
        <f t="array" aca="1" ref="I184" ca="1">IFERROR(IF(IFERROR(INDEX(Surfplattor!$D:$D,I$148-ROW($A$200)+ROW(I179),0),"")="","-",INDEX(Surfplattor!M:M,I$148-ROW($A$200)+ROW(I179),0)),"")</f>
        <v>-</v>
      </c>
      <c r="J184" s="125" t="str" cm="1">
        <f t="array" aca="1" ref="J184" ca="1">IFERROR(IF(IFERROR(INDEX(Surfplattor!$D:$D,J$148-ROW($A$200)+ROW(J179),0),"")="","-",INDEX(Surfplattor!N:N,J$148-ROW($A$200)+ROW(J179),0)),"")</f>
        <v>-</v>
      </c>
      <c r="K184" s="125" t="str" cm="1">
        <f t="array" aca="1" ref="K184" ca="1">IFERROR(IF(IFERROR(INDEX(Surfplattor!$D:$D,K$148-ROW($A$200)+ROW(K179),0),"")="","-",INDEX(Surfplattor!O:O,K$148-ROW($A$200)+ROW(K179),0)),"")</f>
        <v>-</v>
      </c>
    </row>
    <row r="185" spans="1:11" ht="37.5" customHeight="1" outlineLevel="1" x14ac:dyDescent="0.3">
      <c r="A185" s="42" t="s">
        <v>345</v>
      </c>
      <c r="B185" s="125" t="str" cm="1">
        <f t="array" aca="1" ref="B185" ca="1">IFERROR(IF(IFERROR(INDEX(Surfplattor!$D:$D,B$148-ROW($A$200)+ROW(B180),0),"")="","-",INDEX(Surfplattor!F:F,B$148-ROW($A$200)+ROW(B180),0)),"")</f>
        <v>-</v>
      </c>
      <c r="C185" s="125" t="str" cm="1">
        <f t="array" aca="1" ref="C185" ca="1">IFERROR(IF(IFERROR(INDEX(Surfplattor!$D:$D,C$148-ROW($A$200)+ROW(C180),0),"")="","-",INDEX(Surfplattor!G:G,C$148-ROW($A$200)+ROW(C180),0)),"")</f>
        <v>-</v>
      </c>
      <c r="D185" s="125" t="str" cm="1">
        <f t="array" aca="1" ref="D185" ca="1">IFERROR(IF(IFERROR(INDEX(Surfplattor!$D:$D,D$148-ROW($A$200)+ROW(D180),0),"")="","-",INDEX(Surfplattor!H:H,D$148-ROW($A$200)+ROW(D180),0)),"")</f>
        <v>-</v>
      </c>
      <c r="E185" s="125" t="str" cm="1">
        <f t="array" aca="1" ref="E185" ca="1">IFERROR(IF(IFERROR(INDEX(Surfplattor!$D:$D,E$148-ROW($A$200)+ROW(E180),0),"")="","-",INDEX(Surfplattor!I:I,E$148-ROW($A$200)+ROW(E180),0)),"")</f>
        <v>-</v>
      </c>
      <c r="F185" s="125" t="str" cm="1">
        <f t="array" aca="1" ref="F185" ca="1">IFERROR(IF(IFERROR(INDEX(Surfplattor!$D:$D,F$148-ROW($A$200)+ROW(F180),0),"")="","-",INDEX(Surfplattor!J:J,F$148-ROW($A$200)+ROW(F180),0)),"")</f>
        <v>-</v>
      </c>
      <c r="G185" s="125" t="str" cm="1">
        <f t="array" aca="1" ref="G185" ca="1">IFERROR(IF(IFERROR(INDEX(Surfplattor!$D:$D,G$148-ROW($A$200)+ROW(G180),0),"")="","-",INDEX(Surfplattor!K:K,G$148-ROW($A$200)+ROW(G180),0)),"")</f>
        <v>-</v>
      </c>
      <c r="H185" s="125" t="str" cm="1">
        <f t="array" aca="1" ref="H185" ca="1">IFERROR(IF(IFERROR(INDEX(Surfplattor!$D:$D,H$148-ROW($A$200)+ROW(H180),0),"")="","-",INDEX(Surfplattor!L:L,H$148-ROW($A$200)+ROW(H180),0)),"")</f>
        <v>-</v>
      </c>
      <c r="I185" s="125" t="str" cm="1">
        <f t="array" aca="1" ref="I185" ca="1">IFERROR(IF(IFERROR(INDEX(Surfplattor!$D:$D,I$148-ROW($A$200)+ROW(I180),0),"")="","-",INDEX(Surfplattor!M:M,I$148-ROW($A$200)+ROW(I180),0)),"")</f>
        <v>-</v>
      </c>
      <c r="J185" s="125" t="str" cm="1">
        <f t="array" aca="1" ref="J185" ca="1">IFERROR(IF(IFERROR(INDEX(Surfplattor!$D:$D,J$148-ROW($A$200)+ROW(J180),0),"")="","-",INDEX(Surfplattor!N:N,J$148-ROW($A$200)+ROW(J180),0)),"")</f>
        <v>-</v>
      </c>
      <c r="K185" s="125" t="str" cm="1">
        <f t="array" aca="1" ref="K185" ca="1">IFERROR(IF(IFERROR(INDEX(Surfplattor!$D:$D,K$148-ROW($A$200)+ROW(K180),0),"")="","-",INDEX(Surfplattor!O:O,K$148-ROW($A$200)+ROW(K180),0)),"")</f>
        <v>-</v>
      </c>
    </row>
    <row r="186" spans="1:11" ht="37.5" customHeight="1" outlineLevel="1" x14ac:dyDescent="0.3">
      <c r="A186" s="42" t="s">
        <v>237</v>
      </c>
      <c r="B186" s="125" t="str" cm="1">
        <f t="array" aca="1" ref="B186" ca="1">IFERROR(IF(IFERROR(INDEX(Surfplattor!$D:$D,B$148-ROW($A$200)+ROW(B181),0),"")="","Ej Valt",INDEX(Surfplattor!F:F,B$148-ROW($A$200)+ROW(B181),0)),"")</f>
        <v>Ej Valt</v>
      </c>
      <c r="C186" s="125" t="str" cm="1">
        <f t="array" aca="1" ref="C186" ca="1">IFERROR(IF(IFERROR(INDEX(Surfplattor!$D:$D,C$148-ROW($A$200)+ROW(C181),0),"")="","Ej Valt",INDEX(Surfplattor!G:G,C$148-ROW($A$200)+ROW(C181),0)),"")</f>
        <v>Ej Valt</v>
      </c>
      <c r="D186" s="125" t="str" cm="1">
        <f t="array" aca="1" ref="D186" ca="1">IFERROR(IF(IFERROR(INDEX(Surfplattor!$D:$D,D$148-ROW($A$200)+ROW(D181),0),"")="","Ej Valt",INDEX(Surfplattor!H:H,D$148-ROW($A$200)+ROW(D181),0)),"")</f>
        <v>Ej Valt</v>
      </c>
      <c r="E186" s="125" t="str" cm="1">
        <f t="array" aca="1" ref="E186" ca="1">IFERROR(IF(IFERROR(INDEX(Surfplattor!$D:$D,E$148-ROW($A$200)+ROW(E181),0),"")="","Ej Valt",INDEX(Surfplattor!I:I,E$148-ROW($A$200)+ROW(E181),0)),"")</f>
        <v>Ej Valt</v>
      </c>
      <c r="F186" s="125" t="str" cm="1">
        <f t="array" aca="1" ref="F186" ca="1">IFERROR(IF(IFERROR(INDEX(Surfplattor!$D:$D,F$148-ROW($A$200)+ROW(F181),0),"")="","Ej Valt",INDEX(Surfplattor!J:J,F$148-ROW($A$200)+ROW(F181),0)),"")</f>
        <v>Ej Valt</v>
      </c>
      <c r="G186" s="125" t="str" cm="1">
        <f t="array" aca="1" ref="G186" ca="1">IFERROR(IF(IFERROR(INDEX(Surfplattor!$D:$D,G$148-ROW($A$200)+ROW(G181),0),"")="","Ej Valt",INDEX(Surfplattor!K:K,G$148-ROW($A$200)+ROW(G181),0)),"")</f>
        <v>Ej Valt</v>
      </c>
      <c r="H186" s="125" t="str" cm="1">
        <f t="array" aca="1" ref="H186" ca="1">IFERROR(IF(IFERROR(INDEX(Surfplattor!$D:$D,H$148-ROW($A$200)+ROW(H181),0),"")="","Ej Valt",INDEX(Surfplattor!L:L,H$148-ROW($A$200)+ROW(H181),0)),"")</f>
        <v>Ej Valt</v>
      </c>
      <c r="I186" s="125" t="str" cm="1">
        <f t="array" aca="1" ref="I186" ca="1">IFERROR(IF(IFERROR(INDEX(Surfplattor!$D:$D,I$148-ROW($A$200)+ROW(I181),0),"")="","Ej Valt",INDEX(Surfplattor!M:M,I$148-ROW($A$200)+ROW(I181),0)),"")</f>
        <v>Ej Valt</v>
      </c>
      <c r="J186" s="125" t="str" cm="1">
        <f t="array" aca="1" ref="J186" ca="1">IFERROR(IF(IFERROR(INDEX(Surfplattor!$D:$D,J$148-ROW($A$200)+ROW(J181),0),"")="","Ej Valt",INDEX(Surfplattor!N:N,J$148-ROW($A$200)+ROW(J181),0)),"")</f>
        <v>Ej Valt</v>
      </c>
      <c r="K186" s="125" t="str" cm="1">
        <f t="array" aca="1" ref="K186" ca="1">IFERROR(IF(IFERROR(INDEX(Surfplattor!$D:$D,K$148-ROW($A$200)+ROW(K181),0),"")="","Ej Valt",INDEX(Surfplattor!O:O,K$148-ROW($A$200)+ROW(K181),0)),"")</f>
        <v>Ej Valt</v>
      </c>
    </row>
    <row r="187" spans="1:11" ht="37.5" customHeight="1" outlineLevel="1" x14ac:dyDescent="0.3">
      <c r="A187" s="42" t="s">
        <v>341</v>
      </c>
      <c r="B187" s="125" t="str" cm="1">
        <f t="array" aca="1" ref="B187" ca="1">IFERROR(IF(IFERROR(INDEX(Surfplattor!$D:$D,B$148-ROW($A$200)+ROW(B182),0),"")="","-",INDEX(Surfplattor!F:F,B$148-ROW($A$200)+ROW(B182),0)),"")</f>
        <v>-</v>
      </c>
      <c r="C187" s="125" t="str" cm="1">
        <f t="array" aca="1" ref="C187" ca="1">IFERROR(IF(IFERROR(INDEX(Surfplattor!$D:$D,C$148-ROW($A$200)+ROW(C182),0),"")="","-",INDEX(Surfplattor!G:G,C$148-ROW($A$200)+ROW(C182),0)),"")</f>
        <v>-</v>
      </c>
      <c r="D187" s="125" t="str" cm="1">
        <f t="array" aca="1" ref="D187" ca="1">IFERROR(IF(IFERROR(INDEX(Surfplattor!$D:$D,D$148-ROW($A$200)+ROW(D182),0),"")="","-",INDEX(Surfplattor!H:H,D$148-ROW($A$200)+ROW(D182),0)),"")</f>
        <v>-</v>
      </c>
      <c r="E187" s="125" t="str" cm="1">
        <f t="array" aca="1" ref="E187" ca="1">IFERROR(IF(IFERROR(INDEX(Surfplattor!$D:$D,E$148-ROW($A$200)+ROW(E182),0),"")="","-",INDEX(Surfplattor!I:I,E$148-ROW($A$200)+ROW(E182),0)),"")</f>
        <v>-</v>
      </c>
      <c r="F187" s="125" t="str" cm="1">
        <f t="array" aca="1" ref="F187" ca="1">IFERROR(IF(IFERROR(INDEX(Surfplattor!$D:$D,F$148-ROW($A$200)+ROW(F182),0),"")="","-",INDEX(Surfplattor!J:J,F$148-ROW($A$200)+ROW(F182),0)),"")</f>
        <v>-</v>
      </c>
      <c r="G187" s="125" t="str" cm="1">
        <f t="array" aca="1" ref="G187" ca="1">IFERROR(IF(IFERROR(INDEX(Surfplattor!$D:$D,G$148-ROW($A$200)+ROW(G182),0),"")="","-",INDEX(Surfplattor!K:K,G$148-ROW($A$200)+ROW(G182),0)),"")</f>
        <v>-</v>
      </c>
      <c r="H187" s="125" t="str" cm="1">
        <f t="array" aca="1" ref="H187" ca="1">IFERROR(IF(IFERROR(INDEX(Surfplattor!$D:$D,H$148-ROW($A$200)+ROW(H182),0),"")="","-",INDEX(Surfplattor!L:L,H$148-ROW($A$200)+ROW(H182),0)),"")</f>
        <v>-</v>
      </c>
      <c r="I187" s="125" t="str" cm="1">
        <f t="array" aca="1" ref="I187" ca="1">IFERROR(IF(IFERROR(INDEX(Surfplattor!$D:$D,I$148-ROW($A$200)+ROW(I182),0),"")="","-",INDEX(Surfplattor!M:M,I$148-ROW($A$200)+ROW(I182),0)),"")</f>
        <v>-</v>
      </c>
      <c r="J187" s="125" t="str" cm="1">
        <f t="array" aca="1" ref="J187" ca="1">IFERROR(IF(IFERROR(INDEX(Surfplattor!$D:$D,J$148-ROW($A$200)+ROW(J182),0),"")="","-",INDEX(Surfplattor!N:N,J$148-ROW($A$200)+ROW(J182),0)),"")</f>
        <v>-</v>
      </c>
      <c r="K187" s="125" t="str" cm="1">
        <f t="array" aca="1" ref="K187" ca="1">IFERROR(IF(IFERROR(INDEX(Surfplattor!$D:$D,K$148-ROW($A$200)+ROW(K182),0),"")="","-",INDEX(Surfplattor!O:O,K$148-ROW($A$200)+ROW(K182),0)),"")</f>
        <v>-</v>
      </c>
    </row>
    <row r="188" spans="1:11" ht="37.5" customHeight="1" outlineLevel="1" x14ac:dyDescent="0.3">
      <c r="A188" s="42" t="s">
        <v>346</v>
      </c>
      <c r="B188" s="125" t="str" cm="1">
        <f t="array" aca="1" ref="B188" ca="1">IFERROR(IF(IFERROR(INDEX(Surfplattor!$D:$D,B$148-ROW($A$200)+ROW(B183),0),"")="","-",INDEX(Surfplattor!F:F,B$148-ROW($A$200)+ROW(B183),0)),"")</f>
        <v>-</v>
      </c>
      <c r="C188" s="125" t="str" cm="1">
        <f t="array" aca="1" ref="C188" ca="1">IFERROR(IF(IFERROR(INDEX(Surfplattor!$D:$D,C$148-ROW($A$200)+ROW(C183),0),"")="","-",INDEX(Surfplattor!G:G,C$148-ROW($A$200)+ROW(C183),0)),"")</f>
        <v>-</v>
      </c>
      <c r="D188" s="125" t="str" cm="1">
        <f t="array" aca="1" ref="D188" ca="1">IFERROR(IF(IFERROR(INDEX(Surfplattor!$D:$D,D$148-ROW($A$200)+ROW(D183),0),"")="","-",INDEX(Surfplattor!H:H,D$148-ROW($A$200)+ROW(D183),0)),"")</f>
        <v>-</v>
      </c>
      <c r="E188" s="125" t="str" cm="1">
        <f t="array" aca="1" ref="E188" ca="1">IFERROR(IF(IFERROR(INDEX(Surfplattor!$D:$D,E$148-ROW($A$200)+ROW(E183),0),"")="","-",INDEX(Surfplattor!I:I,E$148-ROW($A$200)+ROW(E183),0)),"")</f>
        <v>-</v>
      </c>
      <c r="F188" s="125" t="str" cm="1">
        <f t="array" aca="1" ref="F188" ca="1">IFERROR(IF(IFERROR(INDEX(Surfplattor!$D:$D,F$148-ROW($A$200)+ROW(F183),0),"")="","-",INDEX(Surfplattor!J:J,F$148-ROW($A$200)+ROW(F183),0)),"")</f>
        <v>-</v>
      </c>
      <c r="G188" s="125" t="str" cm="1">
        <f t="array" aca="1" ref="G188" ca="1">IFERROR(IF(IFERROR(INDEX(Surfplattor!$D:$D,G$148-ROW($A$200)+ROW(G183),0),"")="","-",INDEX(Surfplattor!K:K,G$148-ROW($A$200)+ROW(G183),0)),"")</f>
        <v>-</v>
      </c>
      <c r="H188" s="125" t="str" cm="1">
        <f t="array" aca="1" ref="H188" ca="1">IFERROR(IF(IFERROR(INDEX(Surfplattor!$D:$D,H$148-ROW($A$200)+ROW(H183),0),"")="","-",INDEX(Surfplattor!L:L,H$148-ROW($A$200)+ROW(H183),0)),"")</f>
        <v>-</v>
      </c>
      <c r="I188" s="125" t="str" cm="1">
        <f t="array" aca="1" ref="I188" ca="1">IFERROR(IF(IFERROR(INDEX(Surfplattor!$D:$D,I$148-ROW($A$200)+ROW(I183),0),"")="","-",INDEX(Surfplattor!M:M,I$148-ROW($A$200)+ROW(I183),0)),"")</f>
        <v>-</v>
      </c>
      <c r="J188" s="125" t="str" cm="1">
        <f t="array" aca="1" ref="J188" ca="1">IFERROR(IF(IFERROR(INDEX(Surfplattor!$D:$D,J$148-ROW($A$200)+ROW(J183),0),"")="","-",INDEX(Surfplattor!N:N,J$148-ROW($A$200)+ROW(J183),0)),"")</f>
        <v>-</v>
      </c>
      <c r="K188" s="125" t="str" cm="1">
        <f t="array" aca="1" ref="K188" ca="1">IFERROR(IF(IFERROR(INDEX(Surfplattor!$D:$D,K$148-ROW($A$200)+ROW(K183),0),"")="","-",INDEX(Surfplattor!O:O,K$148-ROW($A$200)+ROW(K183),0)),"")</f>
        <v>-</v>
      </c>
    </row>
    <row r="189" spans="1:11" ht="37.5" customHeight="1" outlineLevel="1" x14ac:dyDescent="0.3">
      <c r="A189" s="42" t="s">
        <v>270</v>
      </c>
      <c r="B189" s="125" t="str" cm="1">
        <f t="array" aca="1" ref="B189" ca="1">IFERROR(IF(IFERROR(INDEX(Surfplattor!$D:$D,B$148-ROW($A$200)+ROW(B184),0),"")="","Ej Valt",INDEX(Surfplattor!F:F,B$148-ROW($A$200)+ROW(B184),0)),"")</f>
        <v>Ej Valt</v>
      </c>
      <c r="C189" s="125" t="str" cm="1">
        <f t="array" aca="1" ref="C189" ca="1">IFERROR(IF(IFERROR(INDEX(Surfplattor!$D:$D,C$148-ROW($A$200)+ROW(C184),0),"")="","Ej Valt",INDEX(Surfplattor!G:G,C$148-ROW($A$200)+ROW(C184),0)),"")</f>
        <v>Ej Valt</v>
      </c>
      <c r="D189" s="125" t="str" cm="1">
        <f t="array" aca="1" ref="D189" ca="1">IFERROR(IF(IFERROR(INDEX(Surfplattor!$D:$D,D$148-ROW($A$200)+ROW(D184),0),"")="","Ej Valt",INDEX(Surfplattor!H:H,D$148-ROW($A$200)+ROW(D184),0)),"")</f>
        <v>Ej Valt</v>
      </c>
      <c r="E189" s="125" t="str" cm="1">
        <f t="array" aca="1" ref="E189" ca="1">IFERROR(IF(IFERROR(INDEX(Surfplattor!$D:$D,E$148-ROW($A$200)+ROW(E184),0),"")="","Ej Valt",INDEX(Surfplattor!I:I,E$148-ROW($A$200)+ROW(E184),0)),"")</f>
        <v>Ej Valt</v>
      </c>
      <c r="F189" s="125" t="str" cm="1">
        <f t="array" aca="1" ref="F189" ca="1">IFERROR(IF(IFERROR(INDEX(Surfplattor!$D:$D,F$148-ROW($A$200)+ROW(F184),0),"")="","Ej Valt",INDEX(Surfplattor!J:J,F$148-ROW($A$200)+ROW(F184),0)),"")</f>
        <v>Ej Valt</v>
      </c>
      <c r="G189" s="125" t="str" cm="1">
        <f t="array" aca="1" ref="G189" ca="1">IFERROR(IF(IFERROR(INDEX(Surfplattor!$D:$D,G$148-ROW($A$200)+ROW(G184),0),"")="","Ej Valt",INDEX(Surfplattor!K:K,G$148-ROW($A$200)+ROW(G184),0)),"")</f>
        <v>Ej Valt</v>
      </c>
      <c r="H189" s="125" t="str" cm="1">
        <f t="array" aca="1" ref="H189" ca="1">IFERROR(IF(IFERROR(INDEX(Surfplattor!$D:$D,H$148-ROW($A$200)+ROW(H184),0),"")="","Ej Valt",INDEX(Surfplattor!L:L,H$148-ROW($A$200)+ROW(H184),0)),"")</f>
        <v>Ej Valt</v>
      </c>
      <c r="I189" s="125" t="str" cm="1">
        <f t="array" aca="1" ref="I189" ca="1">IFERROR(IF(IFERROR(INDEX(Surfplattor!$D:$D,I$148-ROW($A$200)+ROW(I184),0),"")="","Ej Valt",INDEX(Surfplattor!M:M,I$148-ROW($A$200)+ROW(I184),0)),"")</f>
        <v>Ej Valt</v>
      </c>
      <c r="J189" s="125" t="str" cm="1">
        <f t="array" aca="1" ref="J189" ca="1">IFERROR(IF(IFERROR(INDEX(Surfplattor!$D:$D,J$148-ROW($A$200)+ROW(J184),0),"")="","Ej Valt",INDEX(Surfplattor!N:N,J$148-ROW($A$200)+ROW(J184),0)),"")</f>
        <v>Ej Valt</v>
      </c>
      <c r="K189" s="125" t="str" cm="1">
        <f t="array" aca="1" ref="K189" ca="1">IFERROR(IF(IFERROR(INDEX(Surfplattor!$D:$D,K$148-ROW($A$200)+ROW(K184),0),"")="","Ej Valt",INDEX(Surfplattor!O:O,K$148-ROW($A$200)+ROW(K184),0)),"")</f>
        <v>Ej Valt</v>
      </c>
    </row>
    <row r="190" spans="1:11" ht="37.5" customHeight="1" outlineLevel="1" x14ac:dyDescent="0.3">
      <c r="A190" s="42" t="s">
        <v>342</v>
      </c>
      <c r="B190" s="125" t="str" cm="1">
        <f t="array" aca="1" ref="B190" ca="1">IFERROR(IF(IFERROR(INDEX(Surfplattor!$D:$D,B$148-ROW($A$200)+ROW(B185),0),"")="","-",INDEX(Surfplattor!F:F,B$148-ROW($A$200)+ROW(B185),0)),"")</f>
        <v>-</v>
      </c>
      <c r="C190" s="125" t="str" cm="1">
        <f t="array" aca="1" ref="C190" ca="1">IFERROR(IF(IFERROR(INDEX(Surfplattor!$D:$D,C$148-ROW($A$200)+ROW(C185),0),"")="","-",INDEX(Surfplattor!G:G,C$148-ROW($A$200)+ROW(C185),0)),"")</f>
        <v>-</v>
      </c>
      <c r="D190" s="125" t="str" cm="1">
        <f t="array" aca="1" ref="D190" ca="1">IFERROR(IF(IFERROR(INDEX(Surfplattor!$D:$D,D$148-ROW($A$200)+ROW(D185),0),"")="","-",INDEX(Surfplattor!H:H,D$148-ROW($A$200)+ROW(D185),0)),"")</f>
        <v>-</v>
      </c>
      <c r="E190" s="125" t="str" cm="1">
        <f t="array" aca="1" ref="E190" ca="1">IFERROR(IF(IFERROR(INDEX(Surfplattor!$D:$D,E$148-ROW($A$200)+ROW(E185),0),"")="","-",INDEX(Surfplattor!I:I,E$148-ROW($A$200)+ROW(E185),0)),"")</f>
        <v>-</v>
      </c>
      <c r="F190" s="125" t="str" cm="1">
        <f t="array" aca="1" ref="F190" ca="1">IFERROR(IF(IFERROR(INDEX(Surfplattor!$D:$D,F$148-ROW($A$200)+ROW(F185),0),"")="","-",INDEX(Surfplattor!J:J,F$148-ROW($A$200)+ROW(F185),0)),"")</f>
        <v>-</v>
      </c>
      <c r="G190" s="125" t="str" cm="1">
        <f t="array" aca="1" ref="G190" ca="1">IFERROR(IF(IFERROR(INDEX(Surfplattor!$D:$D,G$148-ROW($A$200)+ROW(G185),0),"")="","-",INDEX(Surfplattor!K:K,G$148-ROW($A$200)+ROW(G185),0)),"")</f>
        <v>-</v>
      </c>
      <c r="H190" s="125" t="str" cm="1">
        <f t="array" aca="1" ref="H190" ca="1">IFERROR(IF(IFERROR(INDEX(Surfplattor!$D:$D,H$148-ROW($A$200)+ROW(H185),0),"")="","-",INDEX(Surfplattor!L:L,H$148-ROW($A$200)+ROW(H185),0)),"")</f>
        <v>-</v>
      </c>
      <c r="I190" s="125" t="str" cm="1">
        <f t="array" aca="1" ref="I190" ca="1">IFERROR(IF(IFERROR(INDEX(Surfplattor!$D:$D,I$148-ROW($A$200)+ROW(I185),0),"")="","-",INDEX(Surfplattor!M:M,I$148-ROW($A$200)+ROW(I185),0)),"")</f>
        <v>-</v>
      </c>
      <c r="J190" s="125" t="str" cm="1">
        <f t="array" aca="1" ref="J190" ca="1">IFERROR(IF(IFERROR(INDEX(Surfplattor!$D:$D,J$148-ROW($A$200)+ROW(J185),0),"")="","-",INDEX(Surfplattor!N:N,J$148-ROW($A$200)+ROW(J185),0)),"")</f>
        <v>-</v>
      </c>
      <c r="K190" s="125" t="str" cm="1">
        <f t="array" aca="1" ref="K190" ca="1">IFERROR(IF(IFERROR(INDEX(Surfplattor!$D:$D,K$148-ROW($A$200)+ROW(K185),0),"")="","-",INDEX(Surfplattor!O:O,K$148-ROW($A$200)+ROW(K185),0)),"")</f>
        <v>-</v>
      </c>
    </row>
    <row r="191" spans="1:11" ht="37.5" customHeight="1" outlineLevel="1" x14ac:dyDescent="0.3">
      <c r="A191" s="42" t="s">
        <v>347</v>
      </c>
      <c r="B191" s="125" t="str" cm="1">
        <f t="array" aca="1" ref="B191" ca="1">IFERROR(IF(IFERROR(INDEX(Surfplattor!$D:$D,B$148-ROW($A$200)+ROW(B186),0),"")="","-",INDEX(Surfplattor!F:F,B$148-ROW($A$200)+ROW(B186),0)),"")</f>
        <v>-</v>
      </c>
      <c r="C191" s="125" t="str" cm="1">
        <f t="array" aca="1" ref="C191" ca="1">IFERROR(IF(IFERROR(INDEX(Surfplattor!$D:$D,C$148-ROW($A$200)+ROW(C186),0),"")="","-",INDEX(Surfplattor!G:G,C$148-ROW($A$200)+ROW(C186),0)),"")</f>
        <v>-</v>
      </c>
      <c r="D191" s="125" t="str" cm="1">
        <f t="array" aca="1" ref="D191" ca="1">IFERROR(IF(IFERROR(INDEX(Surfplattor!$D:$D,D$148-ROW($A$200)+ROW(D186),0),"")="","-",INDEX(Surfplattor!H:H,D$148-ROW($A$200)+ROW(D186),0)),"")</f>
        <v>-</v>
      </c>
      <c r="E191" s="125" t="str" cm="1">
        <f t="array" aca="1" ref="E191" ca="1">IFERROR(IF(IFERROR(INDEX(Surfplattor!$D:$D,E$148-ROW($A$200)+ROW(E186),0),"")="","-",INDEX(Surfplattor!I:I,E$148-ROW($A$200)+ROW(E186),0)),"")</f>
        <v>-</v>
      </c>
      <c r="F191" s="125" t="str" cm="1">
        <f t="array" aca="1" ref="F191" ca="1">IFERROR(IF(IFERROR(INDEX(Surfplattor!$D:$D,F$148-ROW($A$200)+ROW(F186),0),"")="","-",INDEX(Surfplattor!J:J,F$148-ROW($A$200)+ROW(F186),0)),"")</f>
        <v>-</v>
      </c>
      <c r="G191" s="125" t="str" cm="1">
        <f t="array" aca="1" ref="G191" ca="1">IFERROR(IF(IFERROR(INDEX(Surfplattor!$D:$D,G$148-ROW($A$200)+ROW(G186),0),"")="","-",INDEX(Surfplattor!K:K,G$148-ROW($A$200)+ROW(G186),0)),"")</f>
        <v>-</v>
      </c>
      <c r="H191" s="125" t="str" cm="1">
        <f t="array" aca="1" ref="H191" ca="1">IFERROR(IF(IFERROR(INDEX(Surfplattor!$D:$D,H$148-ROW($A$200)+ROW(H186),0),"")="","-",INDEX(Surfplattor!L:L,H$148-ROW($A$200)+ROW(H186),0)),"")</f>
        <v>-</v>
      </c>
      <c r="I191" s="125" t="str" cm="1">
        <f t="array" aca="1" ref="I191" ca="1">IFERROR(IF(IFERROR(INDEX(Surfplattor!$D:$D,I$148-ROW($A$200)+ROW(I186),0),"")="","-",INDEX(Surfplattor!M:M,I$148-ROW($A$200)+ROW(I186),0)),"")</f>
        <v>-</v>
      </c>
      <c r="J191" s="125" t="str" cm="1">
        <f t="array" aca="1" ref="J191" ca="1">IFERROR(IF(IFERROR(INDEX(Surfplattor!$D:$D,J$148-ROW($A$200)+ROW(J186),0),"")="","-",INDEX(Surfplattor!N:N,J$148-ROW($A$200)+ROW(J186),0)),"")</f>
        <v>-</v>
      </c>
      <c r="K191" s="125" t="str" cm="1">
        <f t="array" aca="1" ref="K191" ca="1">IFERROR(IF(IFERROR(INDEX(Surfplattor!$D:$D,K$148-ROW($A$200)+ROW(K186),0),"")="","-",INDEX(Surfplattor!O:O,K$148-ROW($A$200)+ROW(K186),0)),"")</f>
        <v>-</v>
      </c>
    </row>
    <row r="192" spans="1:11" ht="37.5" customHeight="1" outlineLevel="1" x14ac:dyDescent="0.3">
      <c r="A192" s="42" t="s">
        <v>239</v>
      </c>
      <c r="B192" s="125" t="str" cm="1">
        <f t="array" aca="1" ref="B192" ca="1">IFERROR(IF(IFERROR(INDEX(Surfplattor!$D:$D,B$148-ROW($A$200)+ROW(B187),0),"")="","Ej Valt",INDEX(Surfplattor!F:F,B$148-ROW($A$200)+ROW(B187),0)),"")</f>
        <v>Ej Valt</v>
      </c>
      <c r="C192" s="125" t="str" cm="1">
        <f t="array" aca="1" ref="C192" ca="1">IFERROR(IF(IFERROR(INDEX(Surfplattor!$D:$D,C$148-ROW($A$200)+ROW(C187),0),"")="","Ej Valt",INDEX(Surfplattor!G:G,C$148-ROW($A$200)+ROW(C187),0)),"")</f>
        <v>Ej Valt</v>
      </c>
      <c r="D192" s="125" t="str" cm="1">
        <f t="array" aca="1" ref="D192" ca="1">IFERROR(IF(IFERROR(INDEX(Surfplattor!$D:$D,D$148-ROW($A$200)+ROW(D187),0),"")="","Ej Valt",INDEX(Surfplattor!H:H,D$148-ROW($A$200)+ROW(D187),0)),"")</f>
        <v>Ej Valt</v>
      </c>
      <c r="E192" s="125" t="str" cm="1">
        <f t="array" aca="1" ref="E192" ca="1">IFERROR(IF(IFERROR(INDEX(Surfplattor!$D:$D,E$148-ROW($A$200)+ROW(E187),0),"")="","Ej Valt",INDEX(Surfplattor!I:I,E$148-ROW($A$200)+ROW(E187),0)),"")</f>
        <v>Ej Valt</v>
      </c>
      <c r="F192" s="125" t="str" cm="1">
        <f t="array" aca="1" ref="F192" ca="1">IFERROR(IF(IFERROR(INDEX(Surfplattor!$D:$D,F$148-ROW($A$200)+ROW(F187),0),"")="","Ej Valt",INDEX(Surfplattor!J:J,F$148-ROW($A$200)+ROW(F187),0)),"")</f>
        <v>Ej Valt</v>
      </c>
      <c r="G192" s="125" t="str" cm="1">
        <f t="array" aca="1" ref="G192" ca="1">IFERROR(IF(IFERROR(INDEX(Surfplattor!$D:$D,G$148-ROW($A$200)+ROW(G187),0),"")="","Ej Valt",INDEX(Surfplattor!K:K,G$148-ROW($A$200)+ROW(G187),0)),"")</f>
        <v>Ej Valt</v>
      </c>
      <c r="H192" s="125" t="str" cm="1">
        <f t="array" aca="1" ref="H192" ca="1">IFERROR(IF(IFERROR(INDEX(Surfplattor!$D:$D,H$148-ROW($A$200)+ROW(H187),0),"")="","Ej Valt",INDEX(Surfplattor!L:L,H$148-ROW($A$200)+ROW(H187),0)),"")</f>
        <v>Ej Valt</v>
      </c>
      <c r="I192" s="125" t="str" cm="1">
        <f t="array" aca="1" ref="I192" ca="1">IFERROR(IF(IFERROR(INDEX(Surfplattor!$D:$D,I$148-ROW($A$200)+ROW(I187),0),"")="","Ej Valt",INDEX(Surfplattor!M:M,I$148-ROW($A$200)+ROW(I187),0)),"")</f>
        <v>Ej Valt</v>
      </c>
      <c r="J192" s="125" t="str" cm="1">
        <f t="array" aca="1" ref="J192" ca="1">IFERROR(IF(IFERROR(INDEX(Surfplattor!$D:$D,J$148-ROW($A$200)+ROW(J187),0),"")="","Ej Valt",INDEX(Surfplattor!N:N,J$148-ROW($A$200)+ROW(J187),0)),"")</f>
        <v>Ej Valt</v>
      </c>
      <c r="K192" s="125" t="str" cm="1">
        <f t="array" aca="1" ref="K192" ca="1">IFERROR(IF(IFERROR(INDEX(Surfplattor!$D:$D,K$148-ROW($A$200)+ROW(K187),0),"")="","Ej Valt",INDEX(Surfplattor!O:O,K$148-ROW($A$200)+ROW(K187),0)),"")</f>
        <v>Ej Valt</v>
      </c>
    </row>
    <row r="193" spans="1:11" ht="37.5" customHeight="1" outlineLevel="1" x14ac:dyDescent="0.3">
      <c r="A193" s="42" t="s">
        <v>343</v>
      </c>
      <c r="B193" s="125" t="str" cm="1">
        <f t="array" aca="1" ref="B193" ca="1">IFERROR(IF(IFERROR(INDEX(Surfplattor!$D:$D,B$148-ROW($A$200)+ROW(B188),0),"")="","-",INDEX(Surfplattor!F:F,B$148-ROW($A$200)+ROW(B188),0)),"")</f>
        <v>-</v>
      </c>
      <c r="C193" s="125" t="str" cm="1">
        <f t="array" aca="1" ref="C193" ca="1">IFERROR(IF(IFERROR(INDEX(Surfplattor!$D:$D,C$148-ROW($A$200)+ROW(C188),0),"")="","-",INDEX(Surfplattor!G:G,C$148-ROW($A$200)+ROW(C188),0)),"")</f>
        <v>-</v>
      </c>
      <c r="D193" s="125" t="str" cm="1">
        <f t="array" aca="1" ref="D193" ca="1">IFERROR(IF(IFERROR(INDEX(Surfplattor!$D:$D,D$148-ROW($A$200)+ROW(D188),0),"")="","-",INDEX(Surfplattor!H:H,D$148-ROW($A$200)+ROW(D188),0)),"")</f>
        <v>-</v>
      </c>
      <c r="E193" s="125" t="str" cm="1">
        <f t="array" aca="1" ref="E193" ca="1">IFERROR(IF(IFERROR(INDEX(Surfplattor!$D:$D,E$148-ROW($A$200)+ROW(E188),0),"")="","-",INDEX(Surfplattor!I:I,E$148-ROW($A$200)+ROW(E188),0)),"")</f>
        <v>-</v>
      </c>
      <c r="F193" s="125" t="str" cm="1">
        <f t="array" aca="1" ref="F193" ca="1">IFERROR(IF(IFERROR(INDEX(Surfplattor!$D:$D,F$148-ROW($A$200)+ROW(F188),0),"")="","-",INDEX(Surfplattor!J:J,F$148-ROW($A$200)+ROW(F188),0)),"")</f>
        <v>-</v>
      </c>
      <c r="G193" s="125" t="str" cm="1">
        <f t="array" aca="1" ref="G193" ca="1">IFERROR(IF(IFERROR(INDEX(Surfplattor!$D:$D,G$148-ROW($A$200)+ROW(G188),0),"")="","-",INDEX(Surfplattor!K:K,G$148-ROW($A$200)+ROW(G188),0)),"")</f>
        <v>-</v>
      </c>
      <c r="H193" s="125" t="str" cm="1">
        <f t="array" aca="1" ref="H193" ca="1">IFERROR(IF(IFERROR(INDEX(Surfplattor!$D:$D,H$148-ROW($A$200)+ROW(H188),0),"")="","-",INDEX(Surfplattor!L:L,H$148-ROW($A$200)+ROW(H188),0)),"")</f>
        <v>-</v>
      </c>
      <c r="I193" s="125" t="str" cm="1">
        <f t="array" aca="1" ref="I193" ca="1">IFERROR(IF(IFERROR(INDEX(Surfplattor!$D:$D,I$148-ROW($A$200)+ROW(I188),0),"")="","-",INDEX(Surfplattor!M:M,I$148-ROW($A$200)+ROW(I188),0)),"")</f>
        <v>-</v>
      </c>
      <c r="J193" s="125" t="str" cm="1">
        <f t="array" aca="1" ref="J193" ca="1">IFERROR(IF(IFERROR(INDEX(Surfplattor!$D:$D,J$148-ROW($A$200)+ROW(J188),0),"")="","-",INDEX(Surfplattor!N:N,J$148-ROW($A$200)+ROW(J188),0)),"")</f>
        <v>-</v>
      </c>
      <c r="K193" s="125" t="str" cm="1">
        <f t="array" aca="1" ref="K193" ca="1">IFERROR(IF(IFERROR(INDEX(Surfplattor!$D:$D,K$148-ROW($A$200)+ROW(K188),0),"")="","-",INDEX(Surfplattor!O:O,K$148-ROW($A$200)+ROW(K188),0)),"")</f>
        <v>-</v>
      </c>
    </row>
    <row r="194" spans="1:11" ht="37.5" customHeight="1" outlineLevel="1" x14ac:dyDescent="0.3">
      <c r="A194" s="42" t="s">
        <v>348</v>
      </c>
      <c r="B194" s="125" t="str" cm="1">
        <f t="array" aca="1" ref="B194" ca="1">IFERROR(IF(IFERROR(INDEX(Surfplattor!$D:$D,B$148-ROW($A$200)+ROW(B189),0),"")="","-",INDEX(Surfplattor!F:F,B$148-ROW($A$200)+ROW(B189),0)),"")</f>
        <v>-</v>
      </c>
      <c r="C194" s="125" t="str" cm="1">
        <f t="array" aca="1" ref="C194" ca="1">IFERROR(IF(IFERROR(INDEX(Surfplattor!$D:$D,C$148-ROW($A$200)+ROW(C189),0),"")="","-",INDEX(Surfplattor!G:G,C$148-ROW($A$200)+ROW(C189),0)),"")</f>
        <v>-</v>
      </c>
      <c r="D194" s="125" t="str" cm="1">
        <f t="array" aca="1" ref="D194" ca="1">IFERROR(IF(IFERROR(INDEX(Surfplattor!$D:$D,D$148-ROW($A$200)+ROW(D189),0),"")="","-",INDEX(Surfplattor!H:H,D$148-ROW($A$200)+ROW(D189),0)),"")</f>
        <v>-</v>
      </c>
      <c r="E194" s="125" t="str" cm="1">
        <f t="array" aca="1" ref="E194" ca="1">IFERROR(IF(IFERROR(INDEX(Surfplattor!$D:$D,E$148-ROW($A$200)+ROW(E189),0),"")="","-",INDEX(Surfplattor!I:I,E$148-ROW($A$200)+ROW(E189),0)),"")</f>
        <v>-</v>
      </c>
      <c r="F194" s="125" t="str" cm="1">
        <f t="array" aca="1" ref="F194" ca="1">IFERROR(IF(IFERROR(INDEX(Surfplattor!$D:$D,F$148-ROW($A$200)+ROW(F189),0),"")="","-",INDEX(Surfplattor!J:J,F$148-ROW($A$200)+ROW(F189),0)),"")</f>
        <v>-</v>
      </c>
      <c r="G194" s="125" t="str" cm="1">
        <f t="array" aca="1" ref="G194" ca="1">IFERROR(IF(IFERROR(INDEX(Surfplattor!$D:$D,G$148-ROW($A$200)+ROW(G189),0),"")="","-",INDEX(Surfplattor!K:K,G$148-ROW($A$200)+ROW(G189),0)),"")</f>
        <v>-</v>
      </c>
      <c r="H194" s="125" t="str" cm="1">
        <f t="array" aca="1" ref="H194" ca="1">IFERROR(IF(IFERROR(INDEX(Surfplattor!$D:$D,H$148-ROW($A$200)+ROW(H189),0),"")="","-",INDEX(Surfplattor!L:L,H$148-ROW($A$200)+ROW(H189),0)),"")</f>
        <v>-</v>
      </c>
      <c r="I194" s="125" t="str" cm="1">
        <f t="array" aca="1" ref="I194" ca="1">IFERROR(IF(IFERROR(INDEX(Surfplattor!$D:$D,I$148-ROW($A$200)+ROW(I189),0),"")="","-",INDEX(Surfplattor!M:M,I$148-ROW($A$200)+ROW(I189),0)),"")</f>
        <v>-</v>
      </c>
      <c r="J194" s="125" t="str" cm="1">
        <f t="array" aca="1" ref="J194" ca="1">IFERROR(IF(IFERROR(INDEX(Surfplattor!$D:$D,J$148-ROW($A$200)+ROW(J189),0),"")="","-",INDEX(Surfplattor!N:N,J$148-ROW($A$200)+ROW(J189),0)),"")</f>
        <v>-</v>
      </c>
      <c r="K194" s="125" t="str" cm="1">
        <f t="array" aca="1" ref="K194" ca="1">IFERROR(IF(IFERROR(INDEX(Surfplattor!$D:$D,K$148-ROW($A$200)+ROW(K189),0),"")="","-",INDEX(Surfplattor!O:O,K$148-ROW($A$200)+ROW(K189),0)),"")</f>
        <v>-</v>
      </c>
    </row>
    <row r="195" spans="1:11" ht="37.5" customHeight="1" outlineLevel="1" x14ac:dyDescent="0.3">
      <c r="A195" s="42" t="s">
        <v>240</v>
      </c>
      <c r="B195" s="125" t="str" cm="1">
        <f t="array" aca="1" ref="B195" ca="1">IFERROR(IF(IFERROR(INDEX(Surfplattor!$D:$D,B$148-ROW($A$200)+ROW(B190),0),"")="","Ej Valt",INDEX(Surfplattor!F:F,B$148-ROW($A$200)+ROW(B190),0)),"")</f>
        <v>Ej Valt</v>
      </c>
      <c r="C195" s="125" t="str" cm="1">
        <f t="array" aca="1" ref="C195" ca="1">IFERROR(IF(IFERROR(INDEX(Surfplattor!$D:$D,C$148-ROW($A$200)+ROW(C190),0),"")="","Ej Valt",INDEX(Surfplattor!G:G,C$148-ROW($A$200)+ROW(C190),0)),"")</f>
        <v>Ej Valt</v>
      </c>
      <c r="D195" s="125" t="str" cm="1">
        <f t="array" aca="1" ref="D195" ca="1">IFERROR(IF(IFERROR(INDEX(Surfplattor!$D:$D,D$148-ROW($A$200)+ROW(D190),0),"")="","Ej Valt",INDEX(Surfplattor!H:H,D$148-ROW($A$200)+ROW(D190),0)),"")</f>
        <v>Ej Valt</v>
      </c>
      <c r="E195" s="125" t="str" cm="1">
        <f t="array" aca="1" ref="E195" ca="1">IFERROR(IF(IFERROR(INDEX(Surfplattor!$D:$D,E$148-ROW($A$200)+ROW(E190),0),"")="","Ej Valt",INDEX(Surfplattor!I:I,E$148-ROW($A$200)+ROW(E190),0)),"")</f>
        <v>Ej Valt</v>
      </c>
      <c r="F195" s="125" t="str" cm="1">
        <f t="array" aca="1" ref="F195" ca="1">IFERROR(IF(IFERROR(INDEX(Surfplattor!$D:$D,F$148-ROW($A$200)+ROW(F190),0),"")="","Ej Valt",INDEX(Surfplattor!J:J,F$148-ROW($A$200)+ROW(F190),0)),"")</f>
        <v>Ej Valt</v>
      </c>
      <c r="G195" s="125" t="str" cm="1">
        <f t="array" aca="1" ref="G195" ca="1">IFERROR(IF(IFERROR(INDEX(Surfplattor!$D:$D,G$148-ROW($A$200)+ROW(G190),0),"")="","Ej Valt",INDEX(Surfplattor!K:K,G$148-ROW($A$200)+ROW(G190),0)),"")</f>
        <v>Ej Valt</v>
      </c>
      <c r="H195" s="125" t="str" cm="1">
        <f t="array" aca="1" ref="H195" ca="1">IFERROR(IF(IFERROR(INDEX(Surfplattor!$D:$D,H$148-ROW($A$200)+ROW(H190),0),"")="","Ej Valt",INDEX(Surfplattor!L:L,H$148-ROW($A$200)+ROW(H190),0)),"")</f>
        <v>Ej Valt</v>
      </c>
      <c r="I195" s="125" t="str" cm="1">
        <f t="array" aca="1" ref="I195" ca="1">IFERROR(IF(IFERROR(INDEX(Surfplattor!$D:$D,I$148-ROW($A$200)+ROW(I190),0),"")="","Ej Valt",INDEX(Surfplattor!M:M,I$148-ROW($A$200)+ROW(I190),0)),"")</f>
        <v>Ej Valt</v>
      </c>
      <c r="J195" s="125" t="str" cm="1">
        <f t="array" aca="1" ref="J195" ca="1">IFERROR(IF(IFERROR(INDEX(Surfplattor!$D:$D,J$148-ROW($A$200)+ROW(J190),0),"")="","Ej Valt",INDEX(Surfplattor!N:N,J$148-ROW($A$200)+ROW(J190),0)),"")</f>
        <v>Ej Valt</v>
      </c>
      <c r="K195" s="125" t="str" cm="1">
        <f t="array" aca="1" ref="K195" ca="1">IFERROR(IF(IFERROR(INDEX(Surfplattor!$D:$D,K$148-ROW($A$200)+ROW(K190),0),"")="","Ej Valt",INDEX(Surfplattor!O:O,K$148-ROW($A$200)+ROW(K190),0)),"")</f>
        <v>Ej Valt</v>
      </c>
    </row>
    <row r="196" spans="1:11" ht="37.5" customHeight="1" outlineLevel="1" x14ac:dyDescent="0.3">
      <c r="A196" s="42" t="s">
        <v>344</v>
      </c>
      <c r="B196" s="125" t="str" cm="1">
        <f t="array" aca="1" ref="B196" ca="1">IFERROR(IF(IFERROR(INDEX(Surfplattor!$D:$D,B$148-ROW($A$200)+ROW(B191),0),"")="","-",INDEX(Surfplattor!F:F,B$148-ROW($A$200)+ROW(B191),0)),"")</f>
        <v>-</v>
      </c>
      <c r="C196" s="125" t="str" cm="1">
        <f t="array" aca="1" ref="C196" ca="1">IFERROR(IF(IFERROR(INDEX(Surfplattor!$D:$D,C$148-ROW($A$200)+ROW(C191),0),"")="","-",INDEX(Surfplattor!G:G,C$148-ROW($A$200)+ROW(C191),0)),"")</f>
        <v>-</v>
      </c>
      <c r="D196" s="125" t="str" cm="1">
        <f t="array" aca="1" ref="D196" ca="1">IFERROR(IF(IFERROR(INDEX(Surfplattor!$D:$D,D$148-ROW($A$200)+ROW(D191),0),"")="","-",INDEX(Surfplattor!H:H,D$148-ROW($A$200)+ROW(D191),0)),"")</f>
        <v>-</v>
      </c>
      <c r="E196" s="125" t="str" cm="1">
        <f t="array" aca="1" ref="E196" ca="1">IFERROR(IF(IFERROR(INDEX(Surfplattor!$D:$D,E$148-ROW($A$200)+ROW(E191),0),"")="","-",INDEX(Surfplattor!I:I,E$148-ROW($A$200)+ROW(E191),0)),"")</f>
        <v>-</v>
      </c>
      <c r="F196" s="125" t="str" cm="1">
        <f t="array" aca="1" ref="F196" ca="1">IFERROR(IF(IFERROR(INDEX(Surfplattor!$D:$D,F$148-ROW($A$200)+ROW(F191),0),"")="","-",INDEX(Surfplattor!J:J,F$148-ROW($A$200)+ROW(F191),0)),"")</f>
        <v>-</v>
      </c>
      <c r="G196" s="125" t="str" cm="1">
        <f t="array" aca="1" ref="G196" ca="1">IFERROR(IF(IFERROR(INDEX(Surfplattor!$D:$D,G$148-ROW($A$200)+ROW(G191),0),"")="","-",INDEX(Surfplattor!K:K,G$148-ROW($A$200)+ROW(G191),0)),"")</f>
        <v>-</v>
      </c>
      <c r="H196" s="125" t="str" cm="1">
        <f t="array" aca="1" ref="H196" ca="1">IFERROR(IF(IFERROR(INDEX(Surfplattor!$D:$D,H$148-ROW($A$200)+ROW(H191),0),"")="","-",INDEX(Surfplattor!L:L,H$148-ROW($A$200)+ROW(H191),0)),"")</f>
        <v>-</v>
      </c>
      <c r="I196" s="125" t="str" cm="1">
        <f t="array" aca="1" ref="I196" ca="1">IFERROR(IF(IFERROR(INDEX(Surfplattor!$D:$D,I$148-ROW($A$200)+ROW(I191),0),"")="","-",INDEX(Surfplattor!M:M,I$148-ROW($A$200)+ROW(I191),0)),"")</f>
        <v>-</v>
      </c>
      <c r="J196" s="125" t="str" cm="1">
        <f t="array" aca="1" ref="J196" ca="1">IFERROR(IF(IFERROR(INDEX(Surfplattor!$D:$D,J$148-ROW($A$200)+ROW(J191),0),"")="","-",INDEX(Surfplattor!N:N,J$148-ROW($A$200)+ROW(J191),0)),"")</f>
        <v>-</v>
      </c>
      <c r="K196" s="125" t="str" cm="1">
        <f t="array" aca="1" ref="K196" ca="1">IFERROR(IF(IFERROR(INDEX(Surfplattor!$D:$D,K$148-ROW($A$200)+ROW(K191),0),"")="","-",INDEX(Surfplattor!O:O,K$148-ROW($A$200)+ROW(K191),0)),"")</f>
        <v>-</v>
      </c>
    </row>
    <row r="197" spans="1:11" ht="37.5" customHeight="1" outlineLevel="1" x14ac:dyDescent="0.3">
      <c r="A197" s="42" t="s">
        <v>349</v>
      </c>
      <c r="B197" s="125" t="str" cm="1">
        <f t="array" aca="1" ref="B197" ca="1">IFERROR(IF(IFERROR(INDEX(Surfplattor!$D:$D,B$148-ROW($A$200)+ROW(B192),0),"")="","-",INDEX(Surfplattor!F:F,B$148-ROW($A$200)+ROW(B192),0)),"")</f>
        <v>-</v>
      </c>
      <c r="C197" s="125" t="str" cm="1">
        <f t="array" aca="1" ref="C197" ca="1">IFERROR(IF(IFERROR(INDEX(Surfplattor!$D:$D,C$148-ROW($A$200)+ROW(C192),0),"")="","-",INDEX(Surfplattor!G:G,C$148-ROW($A$200)+ROW(C192),0)),"")</f>
        <v>-</v>
      </c>
      <c r="D197" s="125" t="str" cm="1">
        <f t="array" aca="1" ref="D197" ca="1">IFERROR(IF(IFERROR(INDEX(Surfplattor!$D:$D,D$148-ROW($A$200)+ROW(D192),0),"")="","-",INDEX(Surfplattor!H:H,D$148-ROW($A$200)+ROW(D192),0)),"")</f>
        <v>-</v>
      </c>
      <c r="E197" s="125" t="str" cm="1">
        <f t="array" aca="1" ref="E197" ca="1">IFERROR(IF(IFERROR(INDEX(Surfplattor!$D:$D,E$148-ROW($A$200)+ROW(E192),0),"")="","-",INDEX(Surfplattor!I:I,E$148-ROW($A$200)+ROW(E192),0)),"")</f>
        <v>-</v>
      </c>
      <c r="F197" s="125" t="str" cm="1">
        <f t="array" aca="1" ref="F197" ca="1">IFERROR(IF(IFERROR(INDEX(Surfplattor!$D:$D,F$148-ROW($A$200)+ROW(F192),0),"")="","-",INDEX(Surfplattor!J:J,F$148-ROW($A$200)+ROW(F192),0)),"")</f>
        <v>-</v>
      </c>
      <c r="G197" s="125" t="str" cm="1">
        <f t="array" aca="1" ref="G197" ca="1">IFERROR(IF(IFERROR(INDEX(Surfplattor!$D:$D,G$148-ROW($A$200)+ROW(G192),0),"")="","-",INDEX(Surfplattor!K:K,G$148-ROW($A$200)+ROW(G192),0)),"")</f>
        <v>-</v>
      </c>
      <c r="H197" s="125" t="str" cm="1">
        <f t="array" aca="1" ref="H197" ca="1">IFERROR(IF(IFERROR(INDEX(Surfplattor!$D:$D,H$148-ROW($A$200)+ROW(H192),0),"")="","-",INDEX(Surfplattor!L:L,H$148-ROW($A$200)+ROW(H192),0)),"")</f>
        <v>-</v>
      </c>
      <c r="I197" s="125" t="str" cm="1">
        <f t="array" aca="1" ref="I197" ca="1">IFERROR(IF(IFERROR(INDEX(Surfplattor!$D:$D,I$148-ROW($A$200)+ROW(I192),0),"")="","-",INDEX(Surfplattor!M:M,I$148-ROW($A$200)+ROW(I192),0)),"")</f>
        <v>-</v>
      </c>
      <c r="J197" s="125" t="str" cm="1">
        <f t="array" aca="1" ref="J197" ca="1">IFERROR(IF(IFERROR(INDEX(Surfplattor!$D:$D,J$148-ROW($A$200)+ROW(J192),0),"")="","-",INDEX(Surfplattor!N:N,J$148-ROW($A$200)+ROW(J192),0)),"")</f>
        <v>-</v>
      </c>
      <c r="K197" s="125" t="str" cm="1">
        <f t="array" aca="1" ref="K197" ca="1">IFERROR(IF(IFERROR(INDEX(Surfplattor!$D:$D,K$148-ROW($A$200)+ROW(K192),0),"")="","-",INDEX(Surfplattor!O:O,K$148-ROW($A$200)+ROW(K192),0)),"")</f>
        <v>-</v>
      </c>
    </row>
    <row r="198" spans="1:11" ht="37.5" customHeight="1" outlineLevel="1" x14ac:dyDescent="0.3">
      <c r="A198" s="42" t="s">
        <v>262</v>
      </c>
      <c r="B198" s="125" t="str" cm="1">
        <f t="array" aca="1" ref="B198" ca="1">IFERROR(IF(IFERROR(INDEX(Surfplattor!$D:$D,B$148-ROW($A$200)+ROW(B194),0),"")="","Ej Valt",INDEX(Surfplattor!F:F,B$148-ROW($A$200)+ROW(B194),0)),"")</f>
        <v>Ej Valt</v>
      </c>
      <c r="C198" s="125" t="str" cm="1">
        <f t="array" aca="1" ref="C198" ca="1">IFERROR(IF(IFERROR(INDEX(Surfplattor!$D:$D,C$148-ROW($A$200)+ROW(C194),0),"")="","Ej Valt",INDEX(Surfplattor!G:G,C$148-ROW($A$200)+ROW(C194),0)),"")</f>
        <v>Ej Valt</v>
      </c>
      <c r="D198" s="125" t="str" cm="1">
        <f t="array" aca="1" ref="D198" ca="1">IFERROR(IF(IFERROR(INDEX(Surfplattor!$D:$D,D$148-ROW($A$200)+ROW(D194),0),"")="","Ej Valt",INDEX(Surfplattor!H:H,D$148-ROW($A$200)+ROW(D194),0)),"")</f>
        <v>Ej Valt</v>
      </c>
      <c r="E198" s="125" t="str" cm="1">
        <f t="array" aca="1" ref="E198" ca="1">IFERROR(IF(IFERROR(INDEX(Surfplattor!$D:$D,E$148-ROW($A$200)+ROW(E194),0),"")="","Ej Valt",INDEX(Surfplattor!I:I,E$148-ROW($A$200)+ROW(E194),0)),"")</f>
        <v>Ej Valt</v>
      </c>
      <c r="F198" s="125" t="str" cm="1">
        <f t="array" aca="1" ref="F198" ca="1">IFERROR(IF(IFERROR(INDEX(Surfplattor!$D:$D,F$148-ROW($A$200)+ROW(F194),0),"")="","Ej Valt",INDEX(Surfplattor!J:J,F$148-ROW($A$200)+ROW(F194),0)),"")</f>
        <v>Ej Valt</v>
      </c>
      <c r="G198" s="125" t="str" cm="1">
        <f t="array" aca="1" ref="G198" ca="1">IFERROR(IF(IFERROR(INDEX(Surfplattor!$D:$D,G$148-ROW($A$200)+ROW(G194),0),"")="","Ej Valt",INDEX(Surfplattor!K:K,G$148-ROW($A$200)+ROW(G194),0)),"")</f>
        <v>Ej Valt</v>
      </c>
      <c r="H198" s="125" t="str" cm="1">
        <f t="array" aca="1" ref="H198" ca="1">IFERROR(IF(IFERROR(INDEX(Surfplattor!$D:$D,H$148-ROW($A$200)+ROW(H194),0),"")="","Ej Valt",INDEX(Surfplattor!L:L,H$148-ROW($A$200)+ROW(H194),0)),"")</f>
        <v>Ej Valt</v>
      </c>
      <c r="I198" s="125" t="str" cm="1">
        <f t="array" aca="1" ref="I198" ca="1">IFERROR(IF(IFERROR(INDEX(Surfplattor!$D:$D,I$148-ROW($A$200)+ROW(I194),0),"")="","Ej Valt",INDEX(Surfplattor!M:M,I$148-ROW($A$200)+ROW(I194),0)),"")</f>
        <v>Ej Valt</v>
      </c>
      <c r="J198" s="125" t="str" cm="1">
        <f t="array" aca="1" ref="J198" ca="1">IFERROR(IF(IFERROR(INDEX(Surfplattor!$D:$D,J$148-ROW($A$200)+ROW(J194),0),"")="","Ej Valt",INDEX(Surfplattor!N:N,J$148-ROW($A$200)+ROW(J194),0)),"")</f>
        <v>Ej Valt</v>
      </c>
      <c r="K198" s="125" t="str" cm="1">
        <f t="array" aca="1" ref="K198" ca="1">IFERROR(IF(IFERROR(INDEX(Surfplattor!$D:$D,K$148-ROW($A$200)+ROW(K194),0),"")="","Ej Valt",INDEX(Surfplattor!O:O,K$148-ROW($A$200)+ROW(K194),0)),"")</f>
        <v>Ej Valt</v>
      </c>
    </row>
    <row r="199" spans="1:11" ht="37.5" customHeight="1" outlineLevel="1" x14ac:dyDescent="0.3">
      <c r="A199" s="42" t="s">
        <v>265</v>
      </c>
      <c r="B199" s="125" t="str" cm="1">
        <f t="array" aca="1" ref="B199" ca="1">IFERROR(IF(IFERROR(INDEX(Surfplattor!$D:$D,B$148-ROW($A$200)+ROW(B195),0),"")="","Ej Valt",INDEX(Surfplattor!F:F,B$148-ROW($A$200)+ROW(B195),0)),"")</f>
        <v>Ej Valt</v>
      </c>
      <c r="C199" s="125" t="str" cm="1">
        <f t="array" aca="1" ref="C199" ca="1">IFERROR(IF(IFERROR(INDEX(Surfplattor!$D:$D,C$148-ROW($A$200)+ROW(C195),0),"")="","Ej Valt",INDEX(Surfplattor!G:G,C$148-ROW($A$200)+ROW(C195),0)),"")</f>
        <v>Ej Valt</v>
      </c>
      <c r="D199" s="125" t="str" cm="1">
        <f t="array" aca="1" ref="D199" ca="1">IFERROR(IF(IFERROR(INDEX(Surfplattor!$D:$D,D$148-ROW($A$200)+ROW(D195),0),"")="","Ej Valt",INDEX(Surfplattor!H:H,D$148-ROW($A$200)+ROW(D195),0)),"")</f>
        <v>Ej Valt</v>
      </c>
      <c r="E199" s="125" t="str" cm="1">
        <f t="array" aca="1" ref="E199" ca="1">IFERROR(IF(IFERROR(INDEX(Surfplattor!$D:$D,E$148-ROW($A$200)+ROW(E195),0),"")="","Ej Valt",INDEX(Surfplattor!I:I,E$148-ROW($A$200)+ROW(E195),0)),"")</f>
        <v>Ej Valt</v>
      </c>
      <c r="F199" s="125" t="str" cm="1">
        <f t="array" aca="1" ref="F199" ca="1">IFERROR(IF(IFERROR(INDEX(Surfplattor!$D:$D,F$148-ROW($A$200)+ROW(F195),0),"")="","Ej Valt",INDEX(Surfplattor!J:J,F$148-ROW($A$200)+ROW(F195),0)),"")</f>
        <v>Ej Valt</v>
      </c>
      <c r="G199" s="125" t="str" cm="1">
        <f t="array" aca="1" ref="G199" ca="1">IFERROR(IF(IFERROR(INDEX(Surfplattor!$D:$D,G$148-ROW($A$200)+ROW(G195),0),"")="","Ej Valt",INDEX(Surfplattor!K:K,G$148-ROW($A$200)+ROW(G195),0)),"")</f>
        <v>Ej Valt</v>
      </c>
      <c r="H199" s="125" t="str" cm="1">
        <f t="array" aca="1" ref="H199" ca="1">IFERROR(IF(IFERROR(INDEX(Surfplattor!$D:$D,H$148-ROW($A$200)+ROW(H195),0),"")="","Ej Valt",INDEX(Surfplattor!L:L,H$148-ROW($A$200)+ROW(H195),0)),"")</f>
        <v>Ej Valt</v>
      </c>
      <c r="I199" s="125" t="str" cm="1">
        <f t="array" aca="1" ref="I199" ca="1">IFERROR(IF(IFERROR(INDEX(Surfplattor!$D:$D,I$148-ROW($A$200)+ROW(I195),0),"")="","Ej Valt",INDEX(Surfplattor!M:M,I$148-ROW($A$200)+ROW(I195),0)),"")</f>
        <v>Ej Valt</v>
      </c>
      <c r="J199" s="125" t="str" cm="1">
        <f t="array" aca="1" ref="J199" ca="1">IFERROR(IF(IFERROR(INDEX(Surfplattor!$D:$D,J$148-ROW($A$200)+ROW(J195),0),"")="","Ej Valt",INDEX(Surfplattor!N:N,J$148-ROW($A$200)+ROW(J195),0)),"")</f>
        <v>Ej Valt</v>
      </c>
      <c r="K199" s="125" t="str" cm="1">
        <f t="array" aca="1" ref="K199" ca="1">IFERROR(IF(IFERROR(INDEX(Surfplattor!$D:$D,K$148-ROW($A$200)+ROW(K195),0),"")="","Ej Valt",INDEX(Surfplattor!O:O,K$148-ROW($A$200)+ROW(K195),0)),"")</f>
        <v>Ej Valt</v>
      </c>
    </row>
    <row r="200" spans="1:11" ht="37.5" customHeight="1" outlineLevel="1" x14ac:dyDescent="0.3">
      <c r="A200" s="42" t="s">
        <v>266</v>
      </c>
      <c r="B200" s="125" t="str" cm="1">
        <f t="array" aca="1" ref="B200" ca="1">IFERROR(IF(IFERROR(INDEX(Surfplattor!$D:$D,B$148-ROW($A$200)+ROW(B196),0),"")="","Ej Valt",INDEX(Surfplattor!F:F,B$148-ROW($A$200)+ROW(B196),0)),"")</f>
        <v>Ej Valt</v>
      </c>
      <c r="C200" s="125" t="str" cm="1">
        <f t="array" aca="1" ref="C200" ca="1">IFERROR(IF(IFERROR(INDEX(Surfplattor!$D:$D,C$148-ROW($A$200)+ROW(C196),0),"")="","Ej Valt",INDEX(Surfplattor!G:G,C$148-ROW($A$200)+ROW(C196),0)),"")</f>
        <v>Ej Valt</v>
      </c>
      <c r="D200" s="125" t="str" cm="1">
        <f t="array" aca="1" ref="D200" ca="1">IFERROR(IF(IFERROR(INDEX(Surfplattor!$D:$D,D$148-ROW($A$200)+ROW(D196),0),"")="","Ej Valt",INDEX(Surfplattor!H:H,D$148-ROW($A$200)+ROW(D196),0)),"")</f>
        <v>Ej Valt</v>
      </c>
      <c r="E200" s="125" t="str" cm="1">
        <f t="array" aca="1" ref="E200" ca="1">IFERROR(IF(IFERROR(INDEX(Surfplattor!$D:$D,E$148-ROW($A$200)+ROW(E196),0),"")="","Ej Valt",INDEX(Surfplattor!I:I,E$148-ROW($A$200)+ROW(E196),0)),"")</f>
        <v>Ej Valt</v>
      </c>
      <c r="F200" s="125" t="str" cm="1">
        <f t="array" aca="1" ref="F200" ca="1">IFERROR(IF(IFERROR(INDEX(Surfplattor!$D:$D,F$148-ROW($A$200)+ROW(F196),0),"")="","Ej Valt",INDEX(Surfplattor!J:J,F$148-ROW($A$200)+ROW(F196),0)),"")</f>
        <v>Ej Valt</v>
      </c>
      <c r="G200" s="125" t="str" cm="1">
        <f t="array" aca="1" ref="G200" ca="1">IFERROR(IF(IFERROR(INDEX(Surfplattor!$D:$D,G$148-ROW($A$200)+ROW(G196),0),"")="","Ej Valt",INDEX(Surfplattor!K:K,G$148-ROW($A$200)+ROW(G196),0)),"")</f>
        <v>Ej Valt</v>
      </c>
      <c r="H200" s="125" t="str" cm="1">
        <f t="array" aca="1" ref="H200" ca="1">IFERROR(IF(IFERROR(INDEX(Surfplattor!$D:$D,H$148-ROW($A$200)+ROW(H196),0),"")="","Ej Valt",INDEX(Surfplattor!L:L,H$148-ROW($A$200)+ROW(H196),0)),"")</f>
        <v>Ej Valt</v>
      </c>
      <c r="I200" s="125" t="str" cm="1">
        <f t="array" aca="1" ref="I200" ca="1">IFERROR(IF(IFERROR(INDEX(Surfplattor!$D:$D,I$148-ROW($A$200)+ROW(I196),0),"")="","Ej Valt",INDEX(Surfplattor!M:M,I$148-ROW($A$200)+ROW(I196),0)),"")</f>
        <v>Ej Valt</v>
      </c>
      <c r="J200" s="125" t="str" cm="1">
        <f t="array" aca="1" ref="J200" ca="1">IFERROR(IF(IFERROR(INDEX(Surfplattor!$D:$D,J$148-ROW($A$200)+ROW(J196),0),"")="","Ej Valt",INDEX(Surfplattor!N:N,J$148-ROW($A$200)+ROW(J196),0)),"")</f>
        <v>Ej Valt</v>
      </c>
      <c r="K200" s="125" t="str" cm="1">
        <f t="array" aca="1" ref="K200" ca="1">IFERROR(IF(IFERROR(INDEX(Surfplattor!$D:$D,K$148-ROW($A$200)+ROW(K196),0),"")="","Ej Valt",INDEX(Surfplattor!O:O,K$148-ROW($A$200)+ROW(K196),0)),"")</f>
        <v>Ej Valt</v>
      </c>
    </row>
    <row r="201" spans="1:11" ht="18.75" customHeight="1" outlineLevel="1" x14ac:dyDescent="0.3">
      <c r="B201" s="124"/>
      <c r="C201" s="124"/>
      <c r="D201" s="124"/>
      <c r="E201" s="124"/>
      <c r="F201" s="124"/>
      <c r="G201" s="124"/>
      <c r="H201" s="124"/>
      <c r="I201" s="124"/>
      <c r="J201" s="124"/>
      <c r="K201" s="124"/>
    </row>
    <row r="202" spans="1:11" ht="18.75" customHeight="1" outlineLevel="1" x14ac:dyDescent="0.3">
      <c r="A202" s="39" t="s">
        <v>507</v>
      </c>
      <c r="B202" s="125">
        <f t="shared" ref="B202:K202" ca="1" si="9">SUM(B180:B200)</f>
        <v>0</v>
      </c>
      <c r="C202" s="125">
        <f t="shared" ca="1" si="9"/>
        <v>0</v>
      </c>
      <c r="D202" s="125">
        <f t="shared" ca="1" si="9"/>
        <v>0</v>
      </c>
      <c r="E202" s="125">
        <f t="shared" ca="1" si="9"/>
        <v>0</v>
      </c>
      <c r="F202" s="125">
        <f t="shared" ca="1" si="9"/>
        <v>0</v>
      </c>
      <c r="G202" s="125">
        <f t="shared" ca="1" si="9"/>
        <v>0</v>
      </c>
      <c r="H202" s="125">
        <f t="shared" ca="1" si="9"/>
        <v>0</v>
      </c>
      <c r="I202" s="125">
        <f t="shared" ca="1" si="9"/>
        <v>0</v>
      </c>
      <c r="J202" s="125">
        <f t="shared" ca="1" si="9"/>
        <v>0</v>
      </c>
      <c r="K202" s="125">
        <f t="shared" ca="1" si="9"/>
        <v>0</v>
      </c>
    </row>
    <row r="203" spans="1:11" ht="18.75" customHeight="1" outlineLevel="1" x14ac:dyDescent="0.3">
      <c r="A203" s="39" t="s">
        <v>121</v>
      </c>
      <c r="B203" s="125" cm="1">
        <f t="array" aca="1" ref="B203" ca="1">IFERROR(INDEX(Surfplattor!$D:$D,B148,0),"")</f>
        <v>0</v>
      </c>
      <c r="C203" s="125" cm="1">
        <f t="array" aca="1" ref="C203" ca="1">IFERROR(INDEX(Surfplattor!$D:$D,C148,0),"")</f>
        <v>0</v>
      </c>
      <c r="D203" s="125" cm="1">
        <f t="array" aca="1" ref="D203" ca="1">IFERROR(INDEX(Surfplattor!$D:$D,D148,0),"")</f>
        <v>0</v>
      </c>
      <c r="E203" s="125" cm="1">
        <f t="array" aca="1" ref="E203" ca="1">IFERROR(INDEX(Surfplattor!$D:$D,E148,0),"")</f>
        <v>0</v>
      </c>
      <c r="F203" s="125" cm="1">
        <f t="array" aca="1" ref="F203" ca="1">IFERROR(INDEX(Surfplattor!$D:$D,F148,0),"")</f>
        <v>0</v>
      </c>
      <c r="G203" s="125" cm="1">
        <f t="array" aca="1" ref="G203" ca="1">IFERROR(INDEX(Surfplattor!$D:$D,G148,0),"")</f>
        <v>0</v>
      </c>
      <c r="H203" s="125" cm="1">
        <f t="array" aca="1" ref="H203" ca="1">IFERROR(INDEX(Surfplattor!$D:$D,H148,0),"")</f>
        <v>0</v>
      </c>
      <c r="I203" s="125" cm="1">
        <f t="array" aca="1" ref="I203" ca="1">IFERROR(INDEX(Surfplattor!$D:$D,I148,0),"")</f>
        <v>0</v>
      </c>
      <c r="J203" s="125" cm="1">
        <f t="array" aca="1" ref="J203" ca="1">IFERROR(INDEX(Surfplattor!$D:$D,J148,0),"")</f>
        <v>0</v>
      </c>
      <c r="K203" s="125" cm="1">
        <f t="array" aca="1" ref="K203" ca="1">IFERROR(INDEX(Surfplattor!$D:$D,K148,0),"")</f>
        <v>0</v>
      </c>
    </row>
    <row r="204" spans="1:11" ht="18.75" customHeight="1" outlineLevel="1" x14ac:dyDescent="0.3">
      <c r="A204" s="39" t="s">
        <v>277</v>
      </c>
      <c r="B204" s="125">
        <f t="shared" ref="B204:K204" ca="1" si="10">IFERROR(B202*B203,"")</f>
        <v>0</v>
      </c>
      <c r="C204" s="125">
        <f t="shared" ca="1" si="10"/>
        <v>0</v>
      </c>
      <c r="D204" s="125">
        <f t="shared" ca="1" si="10"/>
        <v>0</v>
      </c>
      <c r="E204" s="125">
        <f t="shared" ca="1" si="10"/>
        <v>0</v>
      </c>
      <c r="F204" s="125">
        <f t="shared" ca="1" si="10"/>
        <v>0</v>
      </c>
      <c r="G204" s="125">
        <f t="shared" ca="1" si="10"/>
        <v>0</v>
      </c>
      <c r="H204" s="125">
        <f t="shared" ca="1" si="10"/>
        <v>0</v>
      </c>
      <c r="I204" s="125">
        <f t="shared" ca="1" si="10"/>
        <v>0</v>
      </c>
      <c r="J204" s="125">
        <f t="shared" ca="1" si="10"/>
        <v>0</v>
      </c>
      <c r="K204" s="125">
        <f t="shared" ca="1" si="10"/>
        <v>0</v>
      </c>
    </row>
    <row r="205" spans="1:11" ht="21.75" customHeight="1" x14ac:dyDescent="0.3">
      <c r="B205" s="124"/>
      <c r="C205" s="124"/>
      <c r="D205" s="124"/>
      <c r="E205" s="124"/>
      <c r="F205" s="124"/>
      <c r="G205" s="124"/>
      <c r="H205" s="124"/>
      <c r="I205" s="124"/>
      <c r="J205" s="124"/>
      <c r="K205" s="124"/>
    </row>
    <row r="206" spans="1:11" ht="28.5" hidden="1" customHeight="1" x14ac:dyDescent="0.3"/>
    <row r="207" spans="1:11" ht="28.5" hidden="1" customHeight="1" x14ac:dyDescent="0.3">
      <c r="B207" s="28" t="s">
        <v>377</v>
      </c>
      <c r="C207" s="28" t="s">
        <v>387</v>
      </c>
      <c r="D207" s="28" t="s">
        <v>388</v>
      </c>
      <c r="E207" s="28" t="s">
        <v>389</v>
      </c>
      <c r="F207" s="28" t="s">
        <v>390</v>
      </c>
      <c r="G207" s="28" t="s">
        <v>391</v>
      </c>
      <c r="H207" s="28" t="s">
        <v>392</v>
      </c>
      <c r="I207" s="28" t="s">
        <v>393</v>
      </c>
      <c r="J207" s="28" t="s">
        <v>394</v>
      </c>
      <c r="K207" s="28" t="s">
        <v>395</v>
      </c>
    </row>
    <row r="208" spans="1:11" ht="28.5" hidden="1" customHeight="1" x14ac:dyDescent="0.3">
      <c r="B208" s="28" t="s">
        <v>253</v>
      </c>
      <c r="C208" s="28" t="s">
        <v>254</v>
      </c>
      <c r="D208" s="28" t="s">
        <v>255</v>
      </c>
      <c r="E208" s="28" t="s">
        <v>256</v>
      </c>
      <c r="F208" s="28" t="s">
        <v>257</v>
      </c>
      <c r="G208" s="28" t="s">
        <v>258</v>
      </c>
      <c r="H208" s="28" t="s">
        <v>358</v>
      </c>
      <c r="I208" s="28" t="s">
        <v>359</v>
      </c>
      <c r="J208" s="28" t="s">
        <v>360</v>
      </c>
      <c r="K208" s="28" t="s">
        <v>361</v>
      </c>
    </row>
    <row r="209" spans="1:11" ht="28.5" hidden="1" customHeight="1" x14ac:dyDescent="0.3">
      <c r="B209" s="28">
        <f ca="1">IFERROR(MATCH(B208,Bildskärmar!$B:$B,0),"")</f>
        <v>9</v>
      </c>
      <c r="C209" s="28">
        <f ca="1">IFERROR(MATCH(C208,Bildskärmar!$B:$B,0),"")</f>
        <v>40</v>
      </c>
      <c r="D209" s="28">
        <f ca="1">IFERROR(MATCH(D208,Bildskärmar!$B:$B,0),"")</f>
        <v>74</v>
      </c>
      <c r="E209" s="28">
        <f ca="1">IFERROR(MATCH(E208,Bildskärmar!$B:$B,0),"")</f>
        <v>106</v>
      </c>
      <c r="F209" s="28">
        <f ca="1">IFERROR(MATCH(F208,Bildskärmar!$B:$B,0),"")</f>
        <v>137</v>
      </c>
      <c r="G209" s="28">
        <f ca="1">IFERROR(MATCH(G208,Bildskärmar!$B:$B,0),"")</f>
        <v>171</v>
      </c>
      <c r="H209" s="28">
        <f ca="1">IFERROR(MATCH(H208,Bildskärmar!$B:$B,0),"")</f>
        <v>202</v>
      </c>
      <c r="I209" s="28">
        <f ca="1">IFERROR(MATCH(I208,Bildskärmar!$B:$B,0),"")</f>
        <v>236</v>
      </c>
      <c r="J209" s="28">
        <f ca="1">IFERROR(MATCH(J208,Bildskärmar!$B:$B,0),"")</f>
        <v>268</v>
      </c>
      <c r="K209" s="28">
        <f ca="1">IFERROR(MATCH(K208,Bildskärmar!$B:$B,0),"")</f>
        <v>299</v>
      </c>
    </row>
    <row r="210" spans="1:11" ht="28.5" hidden="1" customHeight="1" x14ac:dyDescent="0.3">
      <c r="B210" s="28">
        <f ca="1">IFERROR(25+B209,"")</f>
        <v>34</v>
      </c>
      <c r="C210" s="28">
        <f t="shared" ref="C210:K210" ca="1" si="11">IFERROR(25+C209,"")</f>
        <v>65</v>
      </c>
      <c r="D210" s="28">
        <f t="shared" ca="1" si="11"/>
        <v>99</v>
      </c>
      <c r="E210" s="28">
        <f t="shared" ca="1" si="11"/>
        <v>131</v>
      </c>
      <c r="F210" s="28">
        <f t="shared" ca="1" si="11"/>
        <v>162</v>
      </c>
      <c r="G210" s="28">
        <f t="shared" ca="1" si="11"/>
        <v>196</v>
      </c>
      <c r="H210" s="28">
        <f t="shared" ca="1" si="11"/>
        <v>227</v>
      </c>
      <c r="I210" s="28">
        <f t="shared" ca="1" si="11"/>
        <v>261</v>
      </c>
      <c r="J210" s="28">
        <f t="shared" ca="1" si="11"/>
        <v>293</v>
      </c>
      <c r="K210" s="28">
        <f t="shared" ca="1" si="11"/>
        <v>324</v>
      </c>
    </row>
    <row r="211" spans="1:11" ht="28.5" hidden="1" customHeight="1" x14ac:dyDescent="0.3">
      <c r="B211" s="28" t="str" cm="1">
        <f t="array" aca="1" ref="B211" ca="1">IFERROR(IF(B251=0,"",INDEX(Bildskärmar!$F:$F,B209-2,0)),"")</f>
        <v/>
      </c>
      <c r="C211" s="28" t="str" cm="1">
        <f t="array" aca="1" ref="C211" ca="1">IFERROR(IF(C251=0,"",INDEX(Bildskärmar!$F:$F,C209-2,0)),"")</f>
        <v/>
      </c>
      <c r="D211" s="28" t="str" cm="1">
        <f t="array" aca="1" ref="D211" ca="1">IFERROR(IF(D251=0,"",INDEX(Bildskärmar!$F:$F,D209-2,0)),"")</f>
        <v/>
      </c>
      <c r="E211" s="28" t="str" cm="1">
        <f t="array" aca="1" ref="E211" ca="1">IFERROR(IF(E251=0,"",INDEX(Bildskärmar!$F:$F,E209-2,0)),"")</f>
        <v/>
      </c>
      <c r="F211" s="28" t="str" cm="1">
        <f t="array" aca="1" ref="F211" ca="1">IFERROR(IF(F251=0,"",INDEX(Bildskärmar!$F:$F,F209-2,0)),"")</f>
        <v/>
      </c>
      <c r="G211" s="28" t="str" cm="1">
        <f t="array" aca="1" ref="G211" ca="1">IFERROR(IF(G251=0,"",INDEX(Bildskärmar!$F:$F,G209-2,0)),"")</f>
        <v/>
      </c>
      <c r="H211" s="28" t="str" cm="1">
        <f t="array" aca="1" ref="H211" ca="1">IFERROR(IF(H251=0,"",INDEX(Bildskärmar!$F:$F,H209-2,0)),"")</f>
        <v/>
      </c>
      <c r="I211" s="28" t="str" cm="1">
        <f t="array" aca="1" ref="I211" ca="1">IFERROR(IF(I251=0,"",INDEX(Bildskärmar!$F:$F,I209-2,0)),"")</f>
        <v/>
      </c>
      <c r="J211" s="28" t="str" cm="1">
        <f t="array" aca="1" ref="J211" ca="1">IFERROR(IF(J251=0,"",INDEX(Bildskärmar!$F:$F,J209-2,0)),"")</f>
        <v/>
      </c>
      <c r="K211" s="28" t="str" cm="1">
        <f t="array" aca="1" ref="K211" ca="1">IFERROR(IF(K251=0,"",INDEX(Bildskärmar!$F:$F,K209-2,0)),"")</f>
        <v/>
      </c>
    </row>
    <row r="212" spans="1:11" ht="28.5" hidden="1" customHeight="1" x14ac:dyDescent="0.3"/>
    <row r="213" spans="1:11" ht="28.5" hidden="1" customHeight="1" x14ac:dyDescent="0.3"/>
    <row r="214" spans="1:11" ht="28.5" hidden="1" customHeight="1" x14ac:dyDescent="0.3"/>
    <row r="215" spans="1:11" ht="24" customHeight="1" collapsed="1" x14ac:dyDescent="0.3">
      <c r="B215" s="124"/>
      <c r="C215" s="124"/>
      <c r="D215" s="124"/>
      <c r="E215" s="124"/>
      <c r="F215" s="124"/>
      <c r="G215" s="124"/>
      <c r="H215" s="124"/>
      <c r="I215" s="124"/>
      <c r="J215" s="124"/>
      <c r="K215" s="124"/>
    </row>
    <row r="216" spans="1:11" ht="18.75" customHeight="1" x14ac:dyDescent="0.3">
      <c r="A216" s="31" t="s">
        <v>275</v>
      </c>
      <c r="B216" s="28" t="str">
        <f ca="1">"Antal varianter : "&amp; 10 - COUNTBLANK(B218:K218)</f>
        <v>Antal varianter : 0</v>
      </c>
      <c r="C216" s="28" t="str">
        <f ca="1">"Antal: "&amp;SUM(B251:K251)</f>
        <v>Antal: 0</v>
      </c>
      <c r="D216" s="124"/>
      <c r="E216" s="124"/>
      <c r="F216" s="124"/>
      <c r="G216" s="124"/>
      <c r="H216" s="124"/>
      <c r="I216" s="124"/>
      <c r="J216" s="124"/>
      <c r="K216" s="124"/>
    </row>
    <row r="217" spans="1:11" ht="18.75" customHeight="1" outlineLevel="1" x14ac:dyDescent="0.3">
      <c r="A217" s="111"/>
      <c r="B217" s="126"/>
      <c r="C217" s="124"/>
      <c r="D217" s="124"/>
      <c r="E217" s="124"/>
      <c r="F217" s="124"/>
      <c r="G217" s="124"/>
      <c r="H217" s="124"/>
      <c r="I217" s="124"/>
      <c r="J217" s="124"/>
      <c r="K217" s="124"/>
    </row>
    <row r="218" spans="1:11" ht="18.75" customHeight="1" outlineLevel="1" x14ac:dyDescent="0.3">
      <c r="A218" s="45" t="s">
        <v>107</v>
      </c>
      <c r="B218" s="122" t="str">
        <f ca="1">IFERROR(IF(""=INDEX(Databas!$A$10:$BK$188,MATCH(Sammanfattning!B$211,Databas!$BH$10:$BH$188,0),MATCH($A218,Databas!$A$10:$BK$10,0)),"",B207),"")</f>
        <v/>
      </c>
      <c r="C218" s="122" t="str">
        <f ca="1">IFERROR(IF(""=INDEX(Databas!$A$10:$BK$188,MATCH(Sammanfattning!C$211,Databas!$BH$10:$BH$188,0),MATCH($A218,Databas!$A$10:$BK$10,0)),"",C207),"")</f>
        <v/>
      </c>
      <c r="D218" s="122" t="str">
        <f ca="1">IFERROR(IF(""=INDEX(Databas!$A$10:$BK$188,MATCH(Sammanfattning!D$211,Databas!$BH$10:$BH$188,0),MATCH($A218,Databas!$A$10:$BK$10,0)),"",D207),"")</f>
        <v/>
      </c>
      <c r="E218" s="122" t="str">
        <f ca="1">IFERROR(IF(""=INDEX(Databas!$A$10:$BK$188,MATCH(Sammanfattning!E$211,Databas!$BH$10:$BH$188,0),MATCH($A218,Databas!$A$10:$BK$10,0)),"",E207),"")</f>
        <v/>
      </c>
      <c r="F218" s="122" t="str">
        <f ca="1">IFERROR(IF(""=INDEX(Databas!$A$10:$BK$188,MATCH(Sammanfattning!F$211,Databas!$BH$10:$BH$188,0),MATCH($A218,Databas!$A$10:$BK$10,0)),"",F207),"")</f>
        <v/>
      </c>
      <c r="G218" s="122" t="str">
        <f ca="1">IFERROR(IF(""=INDEX(Databas!$A$10:$BK$188,MATCH(Sammanfattning!G$211,Databas!$BH$10:$BH$188,0),MATCH($A218,Databas!$A$10:$BK$10,0)),"",G207),"")</f>
        <v/>
      </c>
      <c r="H218" s="122" t="str">
        <f ca="1">IFERROR(IF(""=INDEX(Databas!$A$10:$BK$188,MATCH(Sammanfattning!H$211,Databas!$BH$10:$BH$188,0),MATCH($A218,Databas!$A$10:$BK$10,0)),"",H207),"")</f>
        <v/>
      </c>
      <c r="I218" s="122" t="str">
        <f ca="1">IFERROR(IF(""=INDEX(Databas!$A$10:$BK$188,MATCH(Sammanfattning!I$211,Databas!$BH$10:$BH$188,0),MATCH($A218,Databas!$A$10:$BK$10,0)),"",I207),"")</f>
        <v/>
      </c>
      <c r="J218" s="122" t="str">
        <f ca="1">IFERROR(IF(""=INDEX(Databas!$A$10:$BK$188,MATCH(Sammanfattning!J$211,Databas!$BH$10:$BH$188,0),MATCH($A218,Databas!$A$10:$BK$10,0)),"",J207),"")</f>
        <v/>
      </c>
      <c r="K218" s="122" t="str">
        <f ca="1">IFERROR(IF(""=INDEX(Databas!$A$10:$BK$188,MATCH(Sammanfattning!K$211,Databas!$BH$10:$BH$188,0),MATCH($A218,Databas!$A$10:$BK$10,0)),"",K207),"")</f>
        <v/>
      </c>
    </row>
    <row r="219" spans="1:11" ht="18.75" customHeight="1" outlineLevel="1" x14ac:dyDescent="0.3">
      <c r="A219" s="45" t="s">
        <v>6</v>
      </c>
      <c r="B219" s="123" t="str">
        <f ca="1">IFERROR(INDEX(Databas!$A$10:$BK$188,MATCH(Sammanfattning!B$211,Databas!$BH$10:$BH$188,0),MATCH($A219,Databas!$A$10:$BK$10,0)),"")</f>
        <v/>
      </c>
      <c r="C219" s="123" t="str">
        <f ca="1">IFERROR(INDEX(Databas!$A$10:$BK$188,MATCH(Sammanfattning!C$211,Databas!$BH$10:$BH$188,0),MATCH($A219,Databas!$A$10:$BK$10,0)),"")</f>
        <v/>
      </c>
      <c r="D219" s="123" t="str">
        <f ca="1">IFERROR(INDEX(Databas!$A$10:$BK$188,MATCH(Sammanfattning!D$211,Databas!$BH$10:$BH$188,0),MATCH($A219,Databas!$A$10:$BK$10,0)),"")</f>
        <v/>
      </c>
      <c r="E219" s="123" t="str">
        <f ca="1">IFERROR(INDEX(Databas!$A$10:$BK$188,MATCH(Sammanfattning!E$211,Databas!$BH$10:$BH$188,0),MATCH($A219,Databas!$A$10:$BK$10,0)),"")</f>
        <v/>
      </c>
      <c r="F219" s="123" t="str">
        <f ca="1">IFERROR(INDEX(Databas!$A$10:$BK$188,MATCH(Sammanfattning!F$211,Databas!$BH$10:$BH$188,0),MATCH($A219,Databas!$A$10:$BK$10,0)),"")</f>
        <v/>
      </c>
      <c r="G219" s="123" t="str">
        <f ca="1">IFERROR(INDEX(Databas!$A$10:$BK$188,MATCH(Sammanfattning!G$211,Databas!$BH$10:$BH$188,0),MATCH($A219,Databas!$A$10:$BK$10,0)),"")</f>
        <v/>
      </c>
      <c r="H219" s="123" t="str">
        <f ca="1">IFERROR(INDEX(Databas!$A$10:$BK$188,MATCH(Sammanfattning!H$211,Databas!$BH$10:$BH$188,0),MATCH($A219,Databas!$A$10:$BK$10,0)),"")</f>
        <v/>
      </c>
      <c r="I219" s="123" t="str">
        <f ca="1">IFERROR(INDEX(Databas!$A$10:$BK$188,MATCH(Sammanfattning!I$211,Databas!$BH$10:$BH$188,0),MATCH($A219,Databas!$A$10:$BK$10,0)),"")</f>
        <v/>
      </c>
      <c r="J219" s="123" t="str">
        <f ca="1">IFERROR(INDEX(Databas!$A$10:$BK$188,MATCH(Sammanfattning!J$211,Databas!$BH$10:$BH$188,0),MATCH($A219,Databas!$A$10:$BK$10,0)),"")</f>
        <v/>
      </c>
      <c r="K219" s="123" t="str">
        <f ca="1">IFERROR(INDEX(Databas!$A$10:$BK$188,MATCH(Sammanfattning!K$211,Databas!$BH$10:$BH$188,0),MATCH($A219,Databas!$A$10:$BK$10,0)),"")</f>
        <v/>
      </c>
    </row>
    <row r="220" spans="1:11" ht="18.75" customHeight="1" outlineLevel="1" x14ac:dyDescent="0.3">
      <c r="A220" s="45" t="s">
        <v>51</v>
      </c>
      <c r="B220" s="123" t="str">
        <f ca="1">IFERROR(INDEX(Databas!$A$10:$BK$188,MATCH(Sammanfattning!B$211,Databas!$BH$10:$BH$188,0),MATCH($A220,Databas!$A$10:$BK$10,0)),"")</f>
        <v/>
      </c>
      <c r="C220" s="123" t="str">
        <f ca="1">IFERROR(INDEX(Databas!$A$10:$BK$188,MATCH(Sammanfattning!C$211,Databas!$BH$10:$BH$188,0),MATCH($A220,Databas!$A$10:$BK$10,0)),"")</f>
        <v/>
      </c>
      <c r="D220" s="123" t="str">
        <f ca="1">IFERROR(INDEX(Databas!$A$10:$BK$188,MATCH(Sammanfattning!D$211,Databas!$BH$10:$BH$188,0),MATCH($A220,Databas!$A$10:$BK$10,0)),"")</f>
        <v/>
      </c>
      <c r="E220" s="123" t="str">
        <f ca="1">IFERROR(INDEX(Databas!$A$10:$BK$188,MATCH(Sammanfattning!E$211,Databas!$BH$10:$BH$188,0),MATCH($A220,Databas!$A$10:$BK$10,0)),"")</f>
        <v/>
      </c>
      <c r="F220" s="123" t="str">
        <f ca="1">IFERROR(INDEX(Databas!$A$10:$BK$188,MATCH(Sammanfattning!F$211,Databas!$BH$10:$BH$188,0),MATCH($A220,Databas!$A$10:$BK$10,0)),"")</f>
        <v/>
      </c>
      <c r="G220" s="123" t="str">
        <f ca="1">IFERROR(INDEX(Databas!$A$10:$BK$188,MATCH(Sammanfattning!G$211,Databas!$BH$10:$BH$188,0),MATCH($A220,Databas!$A$10:$BK$10,0)),"")</f>
        <v/>
      </c>
      <c r="H220" s="123" t="str">
        <f ca="1">IFERROR(INDEX(Databas!$A$10:$BK$188,MATCH(Sammanfattning!H$211,Databas!$BH$10:$BH$188,0),MATCH($A220,Databas!$A$10:$BK$10,0)),"")</f>
        <v/>
      </c>
      <c r="I220" s="123" t="str">
        <f ca="1">IFERROR(INDEX(Databas!$A$10:$BK$188,MATCH(Sammanfattning!I$211,Databas!$BH$10:$BH$188,0),MATCH($A220,Databas!$A$10:$BK$10,0)),"")</f>
        <v/>
      </c>
      <c r="J220" s="123" t="str">
        <f ca="1">IFERROR(INDEX(Databas!$A$10:$BK$188,MATCH(Sammanfattning!J$211,Databas!$BH$10:$BH$188,0),MATCH($A220,Databas!$A$10:$BK$10,0)),"")</f>
        <v/>
      </c>
      <c r="K220" s="123" t="str">
        <f ca="1">IFERROR(INDEX(Databas!$A$10:$BK$188,MATCH(Sammanfattning!K$211,Databas!$BH$10:$BH$188,0),MATCH($A220,Databas!$A$10:$BK$10,0)),"")</f>
        <v/>
      </c>
    </row>
    <row r="221" spans="1:11" ht="18.75" customHeight="1" outlineLevel="1" x14ac:dyDescent="0.3">
      <c r="A221" s="45" t="s">
        <v>52</v>
      </c>
      <c r="B221" s="123" t="str">
        <f ca="1">IFERROR(INDEX(Databas!$A$10:$BK$188,MATCH(Sammanfattning!B$211,Databas!$BH$10:$BH$188,0),MATCH($A221,Databas!$A$10:$BK$10,0)),"")</f>
        <v/>
      </c>
      <c r="C221" s="123" t="str">
        <f ca="1">IFERROR(INDEX(Databas!$A$10:$BK$188,MATCH(Sammanfattning!C$211,Databas!$BH$10:$BH$188,0),MATCH($A221,Databas!$A$10:$BK$10,0)),"")</f>
        <v/>
      </c>
      <c r="D221" s="123" t="str">
        <f ca="1">IFERROR(INDEX(Databas!$A$10:$BK$188,MATCH(Sammanfattning!D$211,Databas!$BH$10:$BH$188,0),MATCH($A221,Databas!$A$10:$BK$10,0)),"")</f>
        <v/>
      </c>
      <c r="E221" s="123" t="str">
        <f ca="1">IFERROR(INDEX(Databas!$A$10:$BK$188,MATCH(Sammanfattning!E$211,Databas!$BH$10:$BH$188,0),MATCH($A221,Databas!$A$10:$BK$10,0)),"")</f>
        <v/>
      </c>
      <c r="F221" s="123" t="str">
        <f ca="1">IFERROR(INDEX(Databas!$A$10:$BK$188,MATCH(Sammanfattning!F$211,Databas!$BH$10:$BH$188,0),MATCH($A221,Databas!$A$10:$BK$10,0)),"")</f>
        <v/>
      </c>
      <c r="G221" s="123" t="str">
        <f ca="1">IFERROR(INDEX(Databas!$A$10:$BK$188,MATCH(Sammanfattning!G$211,Databas!$BH$10:$BH$188,0),MATCH($A221,Databas!$A$10:$BK$10,0)),"")</f>
        <v/>
      </c>
      <c r="H221" s="123" t="str">
        <f ca="1">IFERROR(INDEX(Databas!$A$10:$BK$188,MATCH(Sammanfattning!H$211,Databas!$BH$10:$BH$188,0),MATCH($A221,Databas!$A$10:$BK$10,0)),"")</f>
        <v/>
      </c>
      <c r="I221" s="123" t="str">
        <f ca="1">IFERROR(INDEX(Databas!$A$10:$BK$188,MATCH(Sammanfattning!I$211,Databas!$BH$10:$BH$188,0),MATCH($A221,Databas!$A$10:$BK$10,0)),"")</f>
        <v/>
      </c>
      <c r="J221" s="123" t="str">
        <f ca="1">IFERROR(INDEX(Databas!$A$10:$BK$188,MATCH(Sammanfattning!J$211,Databas!$BH$10:$BH$188,0),MATCH($A221,Databas!$A$10:$BK$10,0)),"")</f>
        <v/>
      </c>
      <c r="K221" s="123" t="str">
        <f ca="1">IFERROR(INDEX(Databas!$A$10:$BK$188,MATCH(Sammanfattning!K$211,Databas!$BH$10:$BH$188,0),MATCH($A221,Databas!$A$10:$BK$10,0)),"")</f>
        <v/>
      </c>
    </row>
    <row r="222" spans="1:11" ht="18.75" customHeight="1" outlineLevel="1" x14ac:dyDescent="0.3">
      <c r="A222" s="45" t="s">
        <v>11</v>
      </c>
      <c r="B222" s="123" t="str">
        <f ca="1">IFERROR(INDEX(Databas!$A$10:$BK$188,MATCH(Sammanfattning!B$211,Databas!$BH$10:$BH$188,0),MATCH($A222,Databas!$A$10:$BK$10,0)),"")</f>
        <v/>
      </c>
      <c r="C222" s="123" t="str">
        <f ca="1">IFERROR(INDEX(Databas!$A$10:$BK$188,MATCH(Sammanfattning!C$211,Databas!$BH$10:$BH$188,0),MATCH($A222,Databas!$A$10:$BK$10,0)),"")</f>
        <v/>
      </c>
      <c r="D222" s="123" t="str">
        <f ca="1">IFERROR(INDEX(Databas!$A$10:$BK$188,MATCH(Sammanfattning!D$211,Databas!$BH$10:$BH$188,0),MATCH($A222,Databas!$A$10:$BK$10,0)),"")</f>
        <v/>
      </c>
      <c r="E222" s="123" t="str">
        <f ca="1">IFERROR(INDEX(Databas!$A$10:$BK$188,MATCH(Sammanfattning!E$211,Databas!$BH$10:$BH$188,0),MATCH($A222,Databas!$A$10:$BK$10,0)),"")</f>
        <v/>
      </c>
      <c r="F222" s="123" t="str">
        <f ca="1">IFERROR(INDEX(Databas!$A$10:$BK$188,MATCH(Sammanfattning!F$211,Databas!$BH$10:$BH$188,0),MATCH($A222,Databas!$A$10:$BK$10,0)),"")</f>
        <v/>
      </c>
      <c r="G222" s="123" t="str">
        <f ca="1">IFERROR(INDEX(Databas!$A$10:$BK$188,MATCH(Sammanfattning!G$211,Databas!$BH$10:$BH$188,0),MATCH($A222,Databas!$A$10:$BK$10,0)),"")</f>
        <v/>
      </c>
      <c r="H222" s="123" t="str">
        <f ca="1">IFERROR(INDEX(Databas!$A$10:$BK$188,MATCH(Sammanfattning!H$211,Databas!$BH$10:$BH$188,0),MATCH($A222,Databas!$A$10:$BK$10,0)),"")</f>
        <v/>
      </c>
      <c r="I222" s="123" t="str">
        <f ca="1">IFERROR(INDEX(Databas!$A$10:$BK$188,MATCH(Sammanfattning!I$211,Databas!$BH$10:$BH$188,0),MATCH($A222,Databas!$A$10:$BK$10,0)),"")</f>
        <v/>
      </c>
      <c r="J222" s="123" t="str">
        <f ca="1">IFERROR(INDEX(Databas!$A$10:$BK$188,MATCH(Sammanfattning!J$211,Databas!$BH$10:$BH$188,0),MATCH($A222,Databas!$A$10:$BK$10,0)),"")</f>
        <v/>
      </c>
      <c r="K222" s="123" t="str">
        <f ca="1">IFERROR(INDEX(Databas!$A$10:$BK$188,MATCH(Sammanfattning!K$211,Databas!$BH$10:$BH$188,0),MATCH($A222,Databas!$A$10:$BK$10,0)),"")</f>
        <v/>
      </c>
    </row>
    <row r="223" spans="1:11" ht="18.75" customHeight="1" outlineLevel="1" x14ac:dyDescent="0.3">
      <c r="A223" s="45" t="s">
        <v>0</v>
      </c>
      <c r="B223" s="123" t="str">
        <f ca="1">IFERROR(INDEX(Databas!$A$10:$BK$188,MATCH(Sammanfattning!B$211,Databas!$BH$10:$BH$188,0),MATCH($A223,Databas!$A$10:$BK$10,0)),"")</f>
        <v/>
      </c>
      <c r="C223" s="123" t="str">
        <f ca="1">IFERROR(INDEX(Databas!$A$10:$BK$188,MATCH(Sammanfattning!C$211,Databas!$BH$10:$BH$188,0),MATCH($A223,Databas!$A$10:$BK$10,0)),"")</f>
        <v/>
      </c>
      <c r="D223" s="123" t="str">
        <f ca="1">IFERROR(INDEX(Databas!$A$10:$BK$188,MATCH(Sammanfattning!D$211,Databas!$BH$10:$BH$188,0),MATCH($A223,Databas!$A$10:$BK$10,0)),"")</f>
        <v/>
      </c>
      <c r="E223" s="123" t="str">
        <f ca="1">IFERROR(INDEX(Databas!$A$10:$BK$188,MATCH(Sammanfattning!E$211,Databas!$BH$10:$BH$188,0),MATCH($A223,Databas!$A$10:$BK$10,0)),"")</f>
        <v/>
      </c>
      <c r="F223" s="123" t="str">
        <f ca="1">IFERROR(INDEX(Databas!$A$10:$BK$188,MATCH(Sammanfattning!F$211,Databas!$BH$10:$BH$188,0),MATCH($A223,Databas!$A$10:$BK$10,0)),"")</f>
        <v/>
      </c>
      <c r="G223" s="123" t="str">
        <f ca="1">IFERROR(INDEX(Databas!$A$10:$BK$188,MATCH(Sammanfattning!G$211,Databas!$BH$10:$BH$188,0),MATCH($A223,Databas!$A$10:$BK$10,0)),"")</f>
        <v/>
      </c>
      <c r="H223" s="123" t="str">
        <f ca="1">IFERROR(INDEX(Databas!$A$10:$BK$188,MATCH(Sammanfattning!H$211,Databas!$BH$10:$BH$188,0),MATCH($A223,Databas!$A$10:$BK$10,0)),"")</f>
        <v/>
      </c>
      <c r="I223" s="123" t="str">
        <f ca="1">IFERROR(INDEX(Databas!$A$10:$BK$188,MATCH(Sammanfattning!I$211,Databas!$BH$10:$BH$188,0),MATCH($A223,Databas!$A$10:$BK$10,0)),"")</f>
        <v/>
      </c>
      <c r="J223" s="123" t="str">
        <f ca="1">IFERROR(INDEX(Databas!$A$10:$BK$188,MATCH(Sammanfattning!J$211,Databas!$BH$10:$BH$188,0),MATCH($A223,Databas!$A$10:$BK$10,0)),"")</f>
        <v/>
      </c>
      <c r="K223" s="123" t="str">
        <f ca="1">IFERROR(INDEX(Databas!$A$10:$BK$188,MATCH(Sammanfattning!K$211,Databas!$BH$10:$BH$188,0),MATCH($A223,Databas!$A$10:$BK$10,0)),"")</f>
        <v/>
      </c>
    </row>
    <row r="224" spans="1:11" ht="18.75" customHeight="1" outlineLevel="1" x14ac:dyDescent="0.3">
      <c r="A224" s="45" t="s">
        <v>7</v>
      </c>
      <c r="B224" s="123" t="str">
        <f ca="1">IFERROR(INDEX(Databas!$A$10:$BK$188,MATCH(Sammanfattning!B$211,Databas!$BH$10:$BH$188,0),MATCH($A224,Databas!$A$10:$BK$10,0)),"")</f>
        <v/>
      </c>
      <c r="C224" s="123" t="str">
        <f ca="1">IFERROR(INDEX(Databas!$A$10:$BK$188,MATCH(Sammanfattning!C$211,Databas!$BH$10:$BH$188,0),MATCH($A224,Databas!$A$10:$BK$10,0)),"")</f>
        <v/>
      </c>
      <c r="D224" s="123" t="str">
        <f ca="1">IFERROR(INDEX(Databas!$A$10:$BK$188,MATCH(Sammanfattning!D$211,Databas!$BH$10:$BH$188,0),MATCH($A224,Databas!$A$10:$BK$10,0)),"")</f>
        <v/>
      </c>
      <c r="E224" s="123" t="str">
        <f ca="1">IFERROR(INDEX(Databas!$A$10:$BK$188,MATCH(Sammanfattning!E$211,Databas!$BH$10:$BH$188,0),MATCH($A224,Databas!$A$10:$BK$10,0)),"")</f>
        <v/>
      </c>
      <c r="F224" s="123" t="str">
        <f ca="1">IFERROR(INDEX(Databas!$A$10:$BK$188,MATCH(Sammanfattning!F$211,Databas!$BH$10:$BH$188,0),MATCH($A224,Databas!$A$10:$BK$10,0)),"")</f>
        <v/>
      </c>
      <c r="G224" s="123" t="str">
        <f ca="1">IFERROR(INDEX(Databas!$A$10:$BK$188,MATCH(Sammanfattning!G$211,Databas!$BH$10:$BH$188,0),MATCH($A224,Databas!$A$10:$BK$10,0)),"")</f>
        <v/>
      </c>
      <c r="H224" s="123" t="str">
        <f ca="1">IFERROR(INDEX(Databas!$A$10:$BK$188,MATCH(Sammanfattning!H$211,Databas!$BH$10:$BH$188,0),MATCH($A224,Databas!$A$10:$BK$10,0)),"")</f>
        <v/>
      </c>
      <c r="I224" s="123" t="str">
        <f ca="1">IFERROR(INDEX(Databas!$A$10:$BK$188,MATCH(Sammanfattning!I$211,Databas!$BH$10:$BH$188,0),MATCH($A224,Databas!$A$10:$BK$10,0)),"")</f>
        <v/>
      </c>
      <c r="J224" s="123" t="str">
        <f ca="1">IFERROR(INDEX(Databas!$A$10:$BK$188,MATCH(Sammanfattning!J$211,Databas!$BH$10:$BH$188,0),MATCH($A224,Databas!$A$10:$BK$10,0)),"")</f>
        <v/>
      </c>
      <c r="K224" s="123" t="str">
        <f ca="1">IFERROR(INDEX(Databas!$A$10:$BK$188,MATCH(Sammanfattning!K$211,Databas!$BH$10:$BH$188,0),MATCH($A224,Databas!$A$10:$BK$10,0)),"")</f>
        <v/>
      </c>
    </row>
    <row r="225" spans="1:11" ht="18.75" customHeight="1" outlineLevel="1" x14ac:dyDescent="0.3">
      <c r="A225" s="45" t="s">
        <v>2</v>
      </c>
      <c r="B225" s="123" t="str">
        <f ca="1">IFERROR(INDEX(Databas!$A$10:$BK$188,MATCH(Sammanfattning!B$211,Databas!$BH$10:$BH$188,0),MATCH($A225,Databas!$A$10:$BK$10,0)),"")</f>
        <v/>
      </c>
      <c r="C225" s="123" t="str">
        <f ca="1">IFERROR(INDEX(Databas!$A$10:$BK$188,MATCH(Sammanfattning!C$211,Databas!$BH$10:$BH$188,0),MATCH($A225,Databas!$A$10:$BK$10,0)),"")</f>
        <v/>
      </c>
      <c r="D225" s="123" t="str">
        <f ca="1">IFERROR(INDEX(Databas!$A$10:$BK$188,MATCH(Sammanfattning!D$211,Databas!$BH$10:$BH$188,0),MATCH($A225,Databas!$A$10:$BK$10,0)),"")</f>
        <v/>
      </c>
      <c r="E225" s="123" t="str">
        <f ca="1">IFERROR(INDEX(Databas!$A$10:$BK$188,MATCH(Sammanfattning!E$211,Databas!$BH$10:$BH$188,0),MATCH($A225,Databas!$A$10:$BK$10,0)),"")</f>
        <v/>
      </c>
      <c r="F225" s="123" t="str">
        <f ca="1">IFERROR(INDEX(Databas!$A$10:$BK$188,MATCH(Sammanfattning!F$211,Databas!$BH$10:$BH$188,0),MATCH($A225,Databas!$A$10:$BK$10,0)),"")</f>
        <v/>
      </c>
      <c r="G225" s="123" t="str">
        <f ca="1">IFERROR(INDEX(Databas!$A$10:$BK$188,MATCH(Sammanfattning!G$211,Databas!$BH$10:$BH$188,0),MATCH($A225,Databas!$A$10:$BK$10,0)),"")</f>
        <v/>
      </c>
      <c r="H225" s="123" t="str">
        <f ca="1">IFERROR(INDEX(Databas!$A$10:$BK$188,MATCH(Sammanfattning!H$211,Databas!$BH$10:$BH$188,0),MATCH($A225,Databas!$A$10:$BK$10,0)),"")</f>
        <v/>
      </c>
      <c r="I225" s="123" t="str">
        <f ca="1">IFERROR(INDEX(Databas!$A$10:$BK$188,MATCH(Sammanfattning!I$211,Databas!$BH$10:$BH$188,0),MATCH($A225,Databas!$A$10:$BK$10,0)),"")</f>
        <v/>
      </c>
      <c r="J225" s="123" t="str">
        <f ca="1">IFERROR(INDEX(Databas!$A$10:$BK$188,MATCH(Sammanfattning!J$211,Databas!$BH$10:$BH$188,0),MATCH($A225,Databas!$A$10:$BK$10,0)),"")</f>
        <v/>
      </c>
      <c r="K225" s="123" t="str">
        <f ca="1">IFERROR(INDEX(Databas!$A$10:$BK$188,MATCH(Sammanfattning!K$211,Databas!$BH$10:$BH$188,0),MATCH($A225,Databas!$A$10:$BK$10,0)),"")</f>
        <v/>
      </c>
    </row>
    <row r="226" spans="1:11" ht="18.75" customHeight="1" outlineLevel="1" x14ac:dyDescent="0.3">
      <c r="A226" s="45" t="s">
        <v>13</v>
      </c>
      <c r="B226" s="123" t="str">
        <f ca="1">IFERROR(INDEX(Databas!$A$10:$BK$188,MATCH(Sammanfattning!B$211,Databas!$BH$10:$BH$188,0),MATCH($A226,Databas!$A$10:$BK$10,0)),"")</f>
        <v/>
      </c>
      <c r="C226" s="123" t="str">
        <f ca="1">IFERROR(INDEX(Databas!$A$10:$BK$188,MATCH(Sammanfattning!C$211,Databas!$BH$10:$BH$188,0),MATCH($A226,Databas!$A$10:$BK$10,0)),"")</f>
        <v/>
      </c>
      <c r="D226" s="123" t="str">
        <f ca="1">IFERROR(INDEX(Databas!$A$10:$BK$188,MATCH(Sammanfattning!D$211,Databas!$BH$10:$BH$188,0),MATCH($A226,Databas!$A$10:$BK$10,0)),"")</f>
        <v/>
      </c>
      <c r="E226" s="123" t="str">
        <f ca="1">IFERROR(INDEX(Databas!$A$10:$BK$188,MATCH(Sammanfattning!E$211,Databas!$BH$10:$BH$188,0),MATCH($A226,Databas!$A$10:$BK$10,0)),"")</f>
        <v/>
      </c>
      <c r="F226" s="123" t="str">
        <f ca="1">IFERROR(INDEX(Databas!$A$10:$BK$188,MATCH(Sammanfattning!F$211,Databas!$BH$10:$BH$188,0),MATCH($A226,Databas!$A$10:$BK$10,0)),"")</f>
        <v/>
      </c>
      <c r="G226" s="123" t="str">
        <f ca="1">IFERROR(INDEX(Databas!$A$10:$BK$188,MATCH(Sammanfattning!G$211,Databas!$BH$10:$BH$188,0),MATCH($A226,Databas!$A$10:$BK$10,0)),"")</f>
        <v/>
      </c>
      <c r="H226" s="123" t="str">
        <f ca="1">IFERROR(INDEX(Databas!$A$10:$BK$188,MATCH(Sammanfattning!H$211,Databas!$BH$10:$BH$188,0),MATCH($A226,Databas!$A$10:$BK$10,0)),"")</f>
        <v/>
      </c>
      <c r="I226" s="123" t="str">
        <f ca="1">IFERROR(INDEX(Databas!$A$10:$BK$188,MATCH(Sammanfattning!I$211,Databas!$BH$10:$BH$188,0),MATCH($A226,Databas!$A$10:$BK$10,0)),"")</f>
        <v/>
      </c>
      <c r="J226" s="123" t="str">
        <f ca="1">IFERROR(INDEX(Databas!$A$10:$BK$188,MATCH(Sammanfattning!J$211,Databas!$BH$10:$BH$188,0),MATCH($A226,Databas!$A$10:$BK$10,0)),"")</f>
        <v/>
      </c>
      <c r="K226" s="123" t="str">
        <f ca="1">IFERROR(INDEX(Databas!$A$10:$BK$188,MATCH(Sammanfattning!K$211,Databas!$BH$10:$BH$188,0),MATCH($A226,Databas!$A$10:$BK$10,0)),"")</f>
        <v/>
      </c>
    </row>
    <row r="227" spans="1:11" ht="18.75" customHeight="1" outlineLevel="1" x14ac:dyDescent="0.3">
      <c r="A227" s="45" t="s">
        <v>14</v>
      </c>
      <c r="B227" s="123" t="str">
        <f ca="1">IFERROR(INDEX(Databas!$A$10:$BK$188,MATCH(Sammanfattning!B$211,Databas!$BH$10:$BH$188,0),MATCH($A227,Databas!$A$10:$BK$10,0)),"")</f>
        <v/>
      </c>
      <c r="C227" s="123" t="str">
        <f ca="1">IFERROR(INDEX(Databas!$A$10:$BK$188,MATCH(Sammanfattning!C$211,Databas!$BH$10:$BH$188,0),MATCH($A227,Databas!$A$10:$BK$10,0)),"")</f>
        <v/>
      </c>
      <c r="D227" s="123" t="str">
        <f ca="1">IFERROR(INDEX(Databas!$A$10:$BK$188,MATCH(Sammanfattning!D$211,Databas!$BH$10:$BH$188,0),MATCH($A227,Databas!$A$10:$BK$10,0)),"")</f>
        <v/>
      </c>
      <c r="E227" s="123" t="str">
        <f ca="1">IFERROR(INDEX(Databas!$A$10:$BK$188,MATCH(Sammanfattning!E$211,Databas!$BH$10:$BH$188,0),MATCH($A227,Databas!$A$10:$BK$10,0)),"")</f>
        <v/>
      </c>
      <c r="F227" s="123" t="str">
        <f ca="1">IFERROR(INDEX(Databas!$A$10:$BK$188,MATCH(Sammanfattning!F$211,Databas!$BH$10:$BH$188,0),MATCH($A227,Databas!$A$10:$BK$10,0)),"")</f>
        <v/>
      </c>
      <c r="G227" s="123" t="str">
        <f ca="1">IFERROR(INDEX(Databas!$A$10:$BK$188,MATCH(Sammanfattning!G$211,Databas!$BH$10:$BH$188,0),MATCH($A227,Databas!$A$10:$BK$10,0)),"")</f>
        <v/>
      </c>
      <c r="H227" s="123" t="str">
        <f ca="1">IFERROR(INDEX(Databas!$A$10:$BK$188,MATCH(Sammanfattning!H$211,Databas!$BH$10:$BH$188,0),MATCH($A227,Databas!$A$10:$BK$10,0)),"")</f>
        <v/>
      </c>
      <c r="I227" s="123" t="str">
        <f ca="1">IFERROR(INDEX(Databas!$A$10:$BK$188,MATCH(Sammanfattning!I$211,Databas!$BH$10:$BH$188,0),MATCH($A227,Databas!$A$10:$BK$10,0)),"")</f>
        <v/>
      </c>
      <c r="J227" s="123" t="str">
        <f ca="1">IFERROR(INDEX(Databas!$A$10:$BK$188,MATCH(Sammanfattning!J$211,Databas!$BH$10:$BH$188,0),MATCH($A227,Databas!$A$10:$BK$10,0)),"")</f>
        <v/>
      </c>
      <c r="K227" s="123" t="str">
        <f ca="1">IFERROR(INDEX(Databas!$A$10:$BK$188,MATCH(Sammanfattning!K$211,Databas!$BH$10:$BH$188,0),MATCH($A227,Databas!$A$10:$BK$10,0)),"")</f>
        <v/>
      </c>
    </row>
    <row r="228" spans="1:11" ht="18.75" customHeight="1" outlineLevel="1" x14ac:dyDescent="0.3">
      <c r="A228" s="45" t="s">
        <v>15</v>
      </c>
      <c r="B228" s="123" t="str">
        <f ca="1">IFERROR(INDEX(Databas!$A$10:$BK$188,MATCH(Sammanfattning!B$211,Databas!$BH$10:$BH$188,0),MATCH($A228,Databas!$A$10:$BK$10,0)),"")</f>
        <v/>
      </c>
      <c r="C228" s="123" t="str">
        <f ca="1">IFERROR(INDEX(Databas!$A$10:$BK$188,MATCH(Sammanfattning!C$211,Databas!$BH$10:$BH$188,0),MATCH($A228,Databas!$A$10:$BK$10,0)),"")</f>
        <v/>
      </c>
      <c r="D228" s="123" t="str">
        <f ca="1">IFERROR(INDEX(Databas!$A$10:$BK$188,MATCH(Sammanfattning!D$211,Databas!$BH$10:$BH$188,0),MATCH($A228,Databas!$A$10:$BK$10,0)),"")</f>
        <v/>
      </c>
      <c r="E228" s="123" t="str">
        <f ca="1">IFERROR(INDEX(Databas!$A$10:$BK$188,MATCH(Sammanfattning!E$211,Databas!$BH$10:$BH$188,0),MATCH($A228,Databas!$A$10:$BK$10,0)),"")</f>
        <v/>
      </c>
      <c r="F228" s="123" t="str">
        <f ca="1">IFERROR(INDEX(Databas!$A$10:$BK$188,MATCH(Sammanfattning!F$211,Databas!$BH$10:$BH$188,0),MATCH($A228,Databas!$A$10:$BK$10,0)),"")</f>
        <v/>
      </c>
      <c r="G228" s="123" t="str">
        <f ca="1">IFERROR(INDEX(Databas!$A$10:$BK$188,MATCH(Sammanfattning!G$211,Databas!$BH$10:$BH$188,0),MATCH($A228,Databas!$A$10:$BK$10,0)),"")</f>
        <v/>
      </c>
      <c r="H228" s="123" t="str">
        <f ca="1">IFERROR(INDEX(Databas!$A$10:$BK$188,MATCH(Sammanfattning!H$211,Databas!$BH$10:$BH$188,0),MATCH($A228,Databas!$A$10:$BK$10,0)),"")</f>
        <v/>
      </c>
      <c r="I228" s="123" t="str">
        <f ca="1">IFERROR(INDEX(Databas!$A$10:$BK$188,MATCH(Sammanfattning!I$211,Databas!$BH$10:$BH$188,0),MATCH($A228,Databas!$A$10:$BK$10,0)),"")</f>
        <v/>
      </c>
      <c r="J228" s="123" t="str">
        <f ca="1">IFERROR(INDEX(Databas!$A$10:$BK$188,MATCH(Sammanfattning!J$211,Databas!$BH$10:$BH$188,0),MATCH($A228,Databas!$A$10:$BK$10,0)),"")</f>
        <v/>
      </c>
      <c r="K228" s="123" t="str">
        <f ca="1">IFERROR(INDEX(Databas!$A$10:$BK$188,MATCH(Sammanfattning!K$211,Databas!$BH$10:$BH$188,0),MATCH($A228,Databas!$A$10:$BK$10,0)),"")</f>
        <v/>
      </c>
    </row>
    <row r="229" spans="1:11" ht="18.75" customHeight="1" outlineLevel="1" x14ac:dyDescent="0.3">
      <c r="A229" s="45" t="s">
        <v>73</v>
      </c>
      <c r="B229" s="123" t="str">
        <f ca="1">IFERROR(INDEX(Databas!$A$10:$BK$188,MATCH(Sammanfattning!B$211,Databas!$BH$10:$BH$188,0),MATCH($A229,Databas!$A$10:$BK$10,0)),"")</f>
        <v/>
      </c>
      <c r="C229" s="123" t="str">
        <f ca="1">IFERROR(INDEX(Databas!$A$10:$BK$188,MATCH(Sammanfattning!C$211,Databas!$BH$10:$BH$188,0),MATCH($A229,Databas!$A$10:$BK$10,0)),"")</f>
        <v/>
      </c>
      <c r="D229" s="123" t="str">
        <f ca="1">IFERROR(INDEX(Databas!$A$10:$BK$188,MATCH(Sammanfattning!D$211,Databas!$BH$10:$BH$188,0),MATCH($A229,Databas!$A$10:$BK$10,0)),"")</f>
        <v/>
      </c>
      <c r="E229" s="123" t="str">
        <f ca="1">IFERROR(INDEX(Databas!$A$10:$BK$188,MATCH(Sammanfattning!E$211,Databas!$BH$10:$BH$188,0),MATCH($A229,Databas!$A$10:$BK$10,0)),"")</f>
        <v/>
      </c>
      <c r="F229" s="123" t="str">
        <f ca="1">IFERROR(INDEX(Databas!$A$10:$BK$188,MATCH(Sammanfattning!F$211,Databas!$BH$10:$BH$188,0),MATCH($A229,Databas!$A$10:$BK$10,0)),"")</f>
        <v/>
      </c>
      <c r="G229" s="123" t="str">
        <f ca="1">IFERROR(INDEX(Databas!$A$10:$BK$188,MATCH(Sammanfattning!G$211,Databas!$BH$10:$BH$188,0),MATCH($A229,Databas!$A$10:$BK$10,0)),"")</f>
        <v/>
      </c>
      <c r="H229" s="123" t="str">
        <f ca="1">IFERROR(INDEX(Databas!$A$10:$BK$188,MATCH(Sammanfattning!H$211,Databas!$BH$10:$BH$188,0),MATCH($A229,Databas!$A$10:$BK$10,0)),"")</f>
        <v/>
      </c>
      <c r="I229" s="123" t="str">
        <f ca="1">IFERROR(INDEX(Databas!$A$10:$BK$188,MATCH(Sammanfattning!I$211,Databas!$BH$10:$BH$188,0),MATCH($A229,Databas!$A$10:$BK$10,0)),"")</f>
        <v/>
      </c>
      <c r="J229" s="123" t="str">
        <f ca="1">IFERROR(INDEX(Databas!$A$10:$BK$188,MATCH(Sammanfattning!J$211,Databas!$BH$10:$BH$188,0),MATCH($A229,Databas!$A$10:$BK$10,0)),"")</f>
        <v/>
      </c>
      <c r="K229" s="123" t="str">
        <f ca="1">IFERROR(INDEX(Databas!$A$10:$BK$188,MATCH(Sammanfattning!K$211,Databas!$BH$10:$BH$188,0),MATCH($A229,Databas!$A$10:$BK$10,0)),"")</f>
        <v/>
      </c>
    </row>
    <row r="230" spans="1:11" ht="18.75" customHeight="1" outlineLevel="1" x14ac:dyDescent="0.3">
      <c r="A230" s="45" t="s">
        <v>68</v>
      </c>
      <c r="B230" s="123" t="str">
        <f ca="1">IFERROR(INDEX(Databas!$A$10:$BK$188,MATCH(Sammanfattning!B$211,Databas!$BH$10:$BH$188,0),MATCH($A230,Databas!$A$10:$BK$10,0)),"")</f>
        <v/>
      </c>
      <c r="C230" s="123" t="str">
        <f ca="1">IFERROR(INDEX(Databas!$A$10:$BK$188,MATCH(Sammanfattning!C$211,Databas!$BH$10:$BH$188,0),MATCH($A230,Databas!$A$10:$BK$10,0)),"")</f>
        <v/>
      </c>
      <c r="D230" s="123" t="str">
        <f ca="1">IFERROR(INDEX(Databas!$A$10:$BK$188,MATCH(Sammanfattning!D$211,Databas!$BH$10:$BH$188,0),MATCH($A230,Databas!$A$10:$BK$10,0)),"")</f>
        <v/>
      </c>
      <c r="E230" s="123" t="str">
        <f ca="1">IFERROR(INDEX(Databas!$A$10:$BK$188,MATCH(Sammanfattning!E$211,Databas!$BH$10:$BH$188,0),MATCH($A230,Databas!$A$10:$BK$10,0)),"")</f>
        <v/>
      </c>
      <c r="F230" s="123" t="str">
        <f ca="1">IFERROR(INDEX(Databas!$A$10:$BK$188,MATCH(Sammanfattning!F$211,Databas!$BH$10:$BH$188,0),MATCH($A230,Databas!$A$10:$BK$10,0)),"")</f>
        <v/>
      </c>
      <c r="G230" s="123" t="str">
        <f ca="1">IFERROR(INDEX(Databas!$A$10:$BK$188,MATCH(Sammanfattning!G$211,Databas!$BH$10:$BH$188,0),MATCH($A230,Databas!$A$10:$BK$10,0)),"")</f>
        <v/>
      </c>
      <c r="H230" s="123" t="str">
        <f ca="1">IFERROR(INDEX(Databas!$A$10:$BK$188,MATCH(Sammanfattning!H$211,Databas!$BH$10:$BH$188,0),MATCH($A230,Databas!$A$10:$BK$10,0)),"")</f>
        <v/>
      </c>
      <c r="I230" s="123" t="str">
        <f ca="1">IFERROR(INDEX(Databas!$A$10:$BK$188,MATCH(Sammanfattning!I$211,Databas!$BH$10:$BH$188,0),MATCH($A230,Databas!$A$10:$BK$10,0)),"")</f>
        <v/>
      </c>
      <c r="J230" s="123" t="str">
        <f ca="1">IFERROR(INDEX(Databas!$A$10:$BK$188,MATCH(Sammanfattning!J$211,Databas!$BH$10:$BH$188,0),MATCH($A230,Databas!$A$10:$BK$10,0)),"")</f>
        <v/>
      </c>
      <c r="K230" s="123" t="str">
        <f ca="1">IFERROR(INDEX(Databas!$A$10:$BK$188,MATCH(Sammanfattning!K$211,Databas!$BH$10:$BH$188,0),MATCH($A230,Databas!$A$10:$BK$10,0)),"")</f>
        <v/>
      </c>
    </row>
    <row r="231" spans="1:11" ht="18.75" customHeight="1" outlineLevel="1" x14ac:dyDescent="0.3">
      <c r="A231" s="45" t="s">
        <v>67</v>
      </c>
      <c r="B231" s="123" t="str">
        <f ca="1">IFERROR(INDEX(Databas!$A$10:$BK$188,MATCH(Sammanfattning!B$211,Databas!$BH$10:$BH$188,0),MATCH($A231,Databas!$A$10:$BK$10,0)),"")</f>
        <v/>
      </c>
      <c r="C231" s="123" t="str">
        <f ca="1">IFERROR(INDEX(Databas!$A$10:$BK$188,MATCH(Sammanfattning!C$211,Databas!$BH$10:$BH$188,0),MATCH($A231,Databas!$A$10:$BK$10,0)),"")</f>
        <v/>
      </c>
      <c r="D231" s="123" t="str">
        <f ca="1">IFERROR(INDEX(Databas!$A$10:$BK$188,MATCH(Sammanfattning!D$211,Databas!$BH$10:$BH$188,0),MATCH($A231,Databas!$A$10:$BK$10,0)),"")</f>
        <v/>
      </c>
      <c r="E231" s="123" t="str">
        <f ca="1">IFERROR(INDEX(Databas!$A$10:$BK$188,MATCH(Sammanfattning!E$211,Databas!$BH$10:$BH$188,0),MATCH($A231,Databas!$A$10:$BK$10,0)),"")</f>
        <v/>
      </c>
      <c r="F231" s="123" t="str">
        <f ca="1">IFERROR(INDEX(Databas!$A$10:$BK$188,MATCH(Sammanfattning!F$211,Databas!$BH$10:$BH$188,0),MATCH($A231,Databas!$A$10:$BK$10,0)),"")</f>
        <v/>
      </c>
      <c r="G231" s="123" t="str">
        <f ca="1">IFERROR(INDEX(Databas!$A$10:$BK$188,MATCH(Sammanfattning!G$211,Databas!$BH$10:$BH$188,0),MATCH($A231,Databas!$A$10:$BK$10,0)),"")</f>
        <v/>
      </c>
      <c r="H231" s="123" t="str">
        <f ca="1">IFERROR(INDEX(Databas!$A$10:$BK$188,MATCH(Sammanfattning!H$211,Databas!$BH$10:$BH$188,0),MATCH($A231,Databas!$A$10:$BK$10,0)),"")</f>
        <v/>
      </c>
      <c r="I231" s="123" t="str">
        <f ca="1">IFERROR(INDEX(Databas!$A$10:$BK$188,MATCH(Sammanfattning!I$211,Databas!$BH$10:$BH$188,0),MATCH($A231,Databas!$A$10:$BK$10,0)),"")</f>
        <v/>
      </c>
      <c r="J231" s="123" t="str">
        <f ca="1">IFERROR(INDEX(Databas!$A$10:$BK$188,MATCH(Sammanfattning!J$211,Databas!$BH$10:$BH$188,0),MATCH($A231,Databas!$A$10:$BK$10,0)),"")</f>
        <v/>
      </c>
      <c r="K231" s="123" t="str">
        <f ca="1">IFERROR(INDEX(Databas!$A$10:$BK$188,MATCH(Sammanfattning!K$211,Databas!$BH$10:$BH$188,0),MATCH($A231,Databas!$A$10:$BK$10,0)),"")</f>
        <v/>
      </c>
    </row>
    <row r="232" spans="1:11" ht="18.75" customHeight="1" outlineLevel="1" x14ac:dyDescent="0.3">
      <c r="A232" s="45" t="s">
        <v>77</v>
      </c>
      <c r="B232" s="123" t="str">
        <f ca="1">IFERROR(INDEX(Databas!$A$10:$BK$188,MATCH(Sammanfattning!B$211,Databas!$BH$10:$BH$188,0),MATCH($A232,Databas!$A$10:$BK$10,0)),"")</f>
        <v/>
      </c>
      <c r="C232" s="123" t="str">
        <f ca="1">IFERROR(INDEX(Databas!$A$10:$BK$188,MATCH(Sammanfattning!C$211,Databas!$BH$10:$BH$188,0),MATCH($A232,Databas!$A$10:$BK$10,0)),"")</f>
        <v/>
      </c>
      <c r="D232" s="123" t="str">
        <f ca="1">IFERROR(INDEX(Databas!$A$10:$BK$188,MATCH(Sammanfattning!D$211,Databas!$BH$10:$BH$188,0),MATCH($A232,Databas!$A$10:$BK$10,0)),"")</f>
        <v/>
      </c>
      <c r="E232" s="123" t="str">
        <f ca="1">IFERROR(INDEX(Databas!$A$10:$BK$188,MATCH(Sammanfattning!E$211,Databas!$BH$10:$BH$188,0),MATCH($A232,Databas!$A$10:$BK$10,0)),"")</f>
        <v/>
      </c>
      <c r="F232" s="123" t="str">
        <f ca="1">IFERROR(INDEX(Databas!$A$10:$BK$188,MATCH(Sammanfattning!F$211,Databas!$BH$10:$BH$188,0),MATCH($A232,Databas!$A$10:$BK$10,0)),"")</f>
        <v/>
      </c>
      <c r="G232" s="123" t="str">
        <f ca="1">IFERROR(INDEX(Databas!$A$10:$BK$188,MATCH(Sammanfattning!G$211,Databas!$BH$10:$BH$188,0),MATCH($A232,Databas!$A$10:$BK$10,0)),"")</f>
        <v/>
      </c>
      <c r="H232" s="123" t="str">
        <f ca="1">IFERROR(INDEX(Databas!$A$10:$BK$188,MATCH(Sammanfattning!H$211,Databas!$BH$10:$BH$188,0),MATCH($A232,Databas!$A$10:$BK$10,0)),"")</f>
        <v/>
      </c>
      <c r="I232" s="123" t="str">
        <f ca="1">IFERROR(INDEX(Databas!$A$10:$BK$188,MATCH(Sammanfattning!I$211,Databas!$BH$10:$BH$188,0),MATCH($A232,Databas!$A$10:$BK$10,0)),"")</f>
        <v/>
      </c>
      <c r="J232" s="123" t="str">
        <f ca="1">IFERROR(INDEX(Databas!$A$10:$BK$188,MATCH(Sammanfattning!J$211,Databas!$BH$10:$BH$188,0),MATCH($A232,Databas!$A$10:$BK$10,0)),"")</f>
        <v/>
      </c>
      <c r="K232" s="123" t="str">
        <f ca="1">IFERROR(INDEX(Databas!$A$10:$BK$188,MATCH(Sammanfattning!K$211,Databas!$BH$10:$BH$188,0),MATCH($A232,Databas!$A$10:$BK$10,0)),"")</f>
        <v/>
      </c>
    </row>
    <row r="233" spans="1:11" ht="18.75" customHeight="1" outlineLevel="1" x14ac:dyDescent="0.3">
      <c r="A233" s="45" t="s">
        <v>37</v>
      </c>
      <c r="B233" s="123" t="str">
        <f ca="1">IFERROR(INDEX(Databas!$A$10:$BK$188,MATCH(Sammanfattning!B$211,Databas!$BH$10:$BH$188,0),MATCH($A233,Databas!$A$10:$BK$10,0)),"")</f>
        <v/>
      </c>
      <c r="C233" s="123" t="str">
        <f ca="1">IFERROR(INDEX(Databas!$A$10:$BK$188,MATCH(Sammanfattning!C$211,Databas!$BH$10:$BH$188,0),MATCH($A233,Databas!$A$10:$BK$10,0)),"")</f>
        <v/>
      </c>
      <c r="D233" s="123" t="str">
        <f ca="1">IFERROR(INDEX(Databas!$A$10:$BK$188,MATCH(Sammanfattning!D$211,Databas!$BH$10:$BH$188,0),MATCH($A233,Databas!$A$10:$BK$10,0)),"")</f>
        <v/>
      </c>
      <c r="E233" s="123" t="str">
        <f ca="1">IFERROR(INDEX(Databas!$A$10:$BK$188,MATCH(Sammanfattning!E$211,Databas!$BH$10:$BH$188,0),MATCH($A233,Databas!$A$10:$BK$10,0)),"")</f>
        <v/>
      </c>
      <c r="F233" s="123" t="str">
        <f ca="1">IFERROR(INDEX(Databas!$A$10:$BK$188,MATCH(Sammanfattning!F$211,Databas!$BH$10:$BH$188,0),MATCH($A233,Databas!$A$10:$BK$10,0)),"")</f>
        <v/>
      </c>
      <c r="G233" s="123" t="str">
        <f ca="1">IFERROR(INDEX(Databas!$A$10:$BK$188,MATCH(Sammanfattning!G$211,Databas!$BH$10:$BH$188,0),MATCH($A233,Databas!$A$10:$BK$10,0)),"")</f>
        <v/>
      </c>
      <c r="H233" s="123" t="str">
        <f ca="1">IFERROR(INDEX(Databas!$A$10:$BK$188,MATCH(Sammanfattning!H$211,Databas!$BH$10:$BH$188,0),MATCH($A233,Databas!$A$10:$BK$10,0)),"")</f>
        <v/>
      </c>
      <c r="I233" s="123" t="str">
        <f ca="1">IFERROR(INDEX(Databas!$A$10:$BK$188,MATCH(Sammanfattning!I$211,Databas!$BH$10:$BH$188,0),MATCH($A233,Databas!$A$10:$BK$10,0)),"")</f>
        <v/>
      </c>
      <c r="J233" s="123" t="str">
        <f ca="1">IFERROR(INDEX(Databas!$A$10:$BK$188,MATCH(Sammanfattning!J$211,Databas!$BH$10:$BH$188,0),MATCH($A233,Databas!$A$10:$BK$10,0)),"")</f>
        <v/>
      </c>
      <c r="K233" s="123" t="str">
        <f ca="1">IFERROR(INDEX(Databas!$A$10:$BK$188,MATCH(Sammanfattning!K$211,Databas!$BH$10:$BH$188,0),MATCH($A233,Databas!$A$10:$BK$10,0)),"")</f>
        <v/>
      </c>
    </row>
    <row r="234" spans="1:11" ht="18.75" customHeight="1" outlineLevel="1" x14ac:dyDescent="0.3">
      <c r="A234" s="45" t="s">
        <v>38</v>
      </c>
      <c r="B234" s="123" t="str">
        <f ca="1">IFERROR(INDEX(Databas!$A$10:$BK$188,MATCH(Sammanfattning!B$211,Databas!$BH$10:$BH$188,0),MATCH($A234,Databas!$A$10:$BK$10,0)),"")</f>
        <v/>
      </c>
      <c r="C234" s="123" t="str">
        <f ca="1">IFERROR(INDEX(Databas!$A$10:$BK$188,MATCH(Sammanfattning!C$211,Databas!$BH$10:$BH$188,0),MATCH($A234,Databas!$A$10:$BK$10,0)),"")</f>
        <v/>
      </c>
      <c r="D234" s="123" t="str">
        <f ca="1">IFERROR(INDEX(Databas!$A$10:$BK$188,MATCH(Sammanfattning!D$211,Databas!$BH$10:$BH$188,0),MATCH($A234,Databas!$A$10:$BK$10,0)),"")</f>
        <v/>
      </c>
      <c r="E234" s="123" t="str">
        <f ca="1">IFERROR(INDEX(Databas!$A$10:$BK$188,MATCH(Sammanfattning!E$211,Databas!$BH$10:$BH$188,0),MATCH($A234,Databas!$A$10:$BK$10,0)),"")</f>
        <v/>
      </c>
      <c r="F234" s="123" t="str">
        <f ca="1">IFERROR(INDEX(Databas!$A$10:$BK$188,MATCH(Sammanfattning!F$211,Databas!$BH$10:$BH$188,0),MATCH($A234,Databas!$A$10:$BK$10,0)),"")</f>
        <v/>
      </c>
      <c r="G234" s="123" t="str">
        <f ca="1">IFERROR(INDEX(Databas!$A$10:$BK$188,MATCH(Sammanfattning!G$211,Databas!$BH$10:$BH$188,0),MATCH($A234,Databas!$A$10:$BK$10,0)),"")</f>
        <v/>
      </c>
      <c r="H234" s="123" t="str">
        <f ca="1">IFERROR(INDEX(Databas!$A$10:$BK$188,MATCH(Sammanfattning!H$211,Databas!$BH$10:$BH$188,0),MATCH($A234,Databas!$A$10:$BK$10,0)),"")</f>
        <v/>
      </c>
      <c r="I234" s="123" t="str">
        <f ca="1">IFERROR(INDEX(Databas!$A$10:$BK$188,MATCH(Sammanfattning!I$211,Databas!$BH$10:$BH$188,0),MATCH($A234,Databas!$A$10:$BK$10,0)),"")</f>
        <v/>
      </c>
      <c r="J234" s="123" t="str">
        <f ca="1">IFERROR(INDEX(Databas!$A$10:$BK$188,MATCH(Sammanfattning!J$211,Databas!$BH$10:$BH$188,0),MATCH($A234,Databas!$A$10:$BK$10,0)),"")</f>
        <v/>
      </c>
      <c r="K234" s="123" t="str">
        <f ca="1">IFERROR(INDEX(Databas!$A$10:$BK$188,MATCH(Sammanfattning!K$211,Databas!$BH$10:$BH$188,0),MATCH($A234,Databas!$A$10:$BK$10,0)),"")</f>
        <v/>
      </c>
    </row>
    <row r="235" spans="1:11" ht="18.75" customHeight="1" outlineLevel="1" x14ac:dyDescent="0.3">
      <c r="A235" s="45" t="s">
        <v>76</v>
      </c>
      <c r="B235" s="123" t="str">
        <f ca="1">IFERROR(INDEX(Databas!$A$10:$BK$188,MATCH(Sammanfattning!B$211,Databas!$BH$10:$BH$188,0),MATCH($A235,Databas!$A$10:$BK$10,0)),"")</f>
        <v/>
      </c>
      <c r="C235" s="123" t="str">
        <f ca="1">IFERROR(INDEX(Databas!$A$10:$BK$188,MATCH(Sammanfattning!C$211,Databas!$BH$10:$BH$188,0),MATCH($A235,Databas!$A$10:$BK$10,0)),"")</f>
        <v/>
      </c>
      <c r="D235" s="123" t="str">
        <f ca="1">IFERROR(INDEX(Databas!$A$10:$BK$188,MATCH(Sammanfattning!D$211,Databas!$BH$10:$BH$188,0),MATCH($A235,Databas!$A$10:$BK$10,0)),"")</f>
        <v/>
      </c>
      <c r="E235" s="123" t="str">
        <f ca="1">IFERROR(INDEX(Databas!$A$10:$BK$188,MATCH(Sammanfattning!E$211,Databas!$BH$10:$BH$188,0),MATCH($A235,Databas!$A$10:$BK$10,0)),"")</f>
        <v/>
      </c>
      <c r="F235" s="123" t="str">
        <f ca="1">IFERROR(INDEX(Databas!$A$10:$BK$188,MATCH(Sammanfattning!F$211,Databas!$BH$10:$BH$188,0),MATCH($A235,Databas!$A$10:$BK$10,0)),"")</f>
        <v/>
      </c>
      <c r="G235" s="123" t="str">
        <f ca="1">IFERROR(INDEX(Databas!$A$10:$BK$188,MATCH(Sammanfattning!G$211,Databas!$BH$10:$BH$188,0),MATCH($A235,Databas!$A$10:$BK$10,0)),"")</f>
        <v/>
      </c>
      <c r="H235" s="123" t="str">
        <f ca="1">IFERROR(INDEX(Databas!$A$10:$BK$188,MATCH(Sammanfattning!H$211,Databas!$BH$10:$BH$188,0),MATCH($A235,Databas!$A$10:$BK$10,0)),"")</f>
        <v/>
      </c>
      <c r="I235" s="123" t="str">
        <f ca="1">IFERROR(INDEX(Databas!$A$10:$BK$188,MATCH(Sammanfattning!I$211,Databas!$BH$10:$BH$188,0),MATCH($A235,Databas!$A$10:$BK$10,0)),"")</f>
        <v/>
      </c>
      <c r="J235" s="123" t="str">
        <f ca="1">IFERROR(INDEX(Databas!$A$10:$BK$188,MATCH(Sammanfattning!J$211,Databas!$BH$10:$BH$188,0),MATCH($A235,Databas!$A$10:$BK$10,0)),"")</f>
        <v/>
      </c>
      <c r="K235" s="123" t="str">
        <f ca="1">IFERROR(INDEX(Databas!$A$10:$BK$188,MATCH(Sammanfattning!K$211,Databas!$BH$10:$BH$188,0),MATCH($A235,Databas!$A$10:$BK$10,0)),"")</f>
        <v/>
      </c>
    </row>
    <row r="236" spans="1:11" ht="18.75" customHeight="1" outlineLevel="1" x14ac:dyDescent="0.3">
      <c r="A236" s="45" t="s">
        <v>39</v>
      </c>
      <c r="B236" s="123" t="str">
        <f ca="1">IFERROR(INDEX(Databas!$A$10:$BK$188,MATCH(Sammanfattning!B$211,Databas!$BH$10:$BH$188,0),MATCH($A236,Databas!$A$10:$BK$10,0)),"")</f>
        <v/>
      </c>
      <c r="C236" s="123" t="str">
        <f ca="1">IFERROR(INDEX(Databas!$A$10:$BK$188,MATCH(Sammanfattning!C$211,Databas!$BH$10:$BH$188,0),MATCH($A236,Databas!$A$10:$BK$10,0)),"")</f>
        <v/>
      </c>
      <c r="D236" s="123" t="str">
        <f ca="1">IFERROR(INDEX(Databas!$A$10:$BK$188,MATCH(Sammanfattning!D$211,Databas!$BH$10:$BH$188,0),MATCH($A236,Databas!$A$10:$BK$10,0)),"")</f>
        <v/>
      </c>
      <c r="E236" s="123" t="str">
        <f ca="1">IFERROR(INDEX(Databas!$A$10:$BK$188,MATCH(Sammanfattning!E$211,Databas!$BH$10:$BH$188,0),MATCH($A236,Databas!$A$10:$BK$10,0)),"")</f>
        <v/>
      </c>
      <c r="F236" s="123" t="str">
        <f ca="1">IFERROR(INDEX(Databas!$A$10:$BK$188,MATCH(Sammanfattning!F$211,Databas!$BH$10:$BH$188,0),MATCH($A236,Databas!$A$10:$BK$10,0)),"")</f>
        <v/>
      </c>
      <c r="G236" s="123" t="str">
        <f ca="1">IFERROR(INDEX(Databas!$A$10:$BK$188,MATCH(Sammanfattning!G$211,Databas!$BH$10:$BH$188,0),MATCH($A236,Databas!$A$10:$BK$10,0)),"")</f>
        <v/>
      </c>
      <c r="H236" s="123" t="str">
        <f ca="1">IFERROR(INDEX(Databas!$A$10:$BK$188,MATCH(Sammanfattning!H$211,Databas!$BH$10:$BH$188,0),MATCH($A236,Databas!$A$10:$BK$10,0)),"")</f>
        <v/>
      </c>
      <c r="I236" s="123" t="str">
        <f ca="1">IFERROR(INDEX(Databas!$A$10:$BK$188,MATCH(Sammanfattning!I$211,Databas!$BH$10:$BH$188,0),MATCH($A236,Databas!$A$10:$BK$10,0)),"")</f>
        <v/>
      </c>
      <c r="J236" s="123" t="str">
        <f ca="1">IFERROR(INDEX(Databas!$A$10:$BK$188,MATCH(Sammanfattning!J$211,Databas!$BH$10:$BH$188,0),MATCH($A236,Databas!$A$10:$BK$10,0)),"")</f>
        <v/>
      </c>
      <c r="K236" s="123" t="str">
        <f ca="1">IFERROR(INDEX(Databas!$A$10:$BK$188,MATCH(Sammanfattning!K$211,Databas!$BH$10:$BH$188,0),MATCH($A236,Databas!$A$10:$BK$10,0)),"")</f>
        <v/>
      </c>
    </row>
    <row r="237" spans="1:11" ht="18.75" customHeight="1" outlineLevel="1" x14ac:dyDescent="0.3">
      <c r="A237" s="45" t="s">
        <v>41</v>
      </c>
      <c r="B237" s="123" t="str">
        <f ca="1">IFERROR(INDEX(Databas!$A$10:$BK$188,MATCH(Sammanfattning!B$211,Databas!$BH$10:$BH$188,0),MATCH($A237,Databas!$A$10:$BK$10,0)),"")</f>
        <v/>
      </c>
      <c r="C237" s="123" t="str">
        <f ca="1">IFERROR(INDEX(Databas!$A$10:$BK$188,MATCH(Sammanfattning!C$211,Databas!$BH$10:$BH$188,0),MATCH($A237,Databas!$A$10:$BK$10,0)),"")</f>
        <v/>
      </c>
      <c r="D237" s="123" t="str">
        <f ca="1">IFERROR(INDEX(Databas!$A$10:$BK$188,MATCH(Sammanfattning!D$211,Databas!$BH$10:$BH$188,0),MATCH($A237,Databas!$A$10:$BK$10,0)),"")</f>
        <v/>
      </c>
      <c r="E237" s="123" t="str">
        <f ca="1">IFERROR(INDEX(Databas!$A$10:$BK$188,MATCH(Sammanfattning!E$211,Databas!$BH$10:$BH$188,0),MATCH($A237,Databas!$A$10:$BK$10,0)),"")</f>
        <v/>
      </c>
      <c r="F237" s="123" t="str">
        <f ca="1">IFERROR(INDEX(Databas!$A$10:$BK$188,MATCH(Sammanfattning!F$211,Databas!$BH$10:$BH$188,0),MATCH($A237,Databas!$A$10:$BK$10,0)),"")</f>
        <v/>
      </c>
      <c r="G237" s="123" t="str">
        <f ca="1">IFERROR(INDEX(Databas!$A$10:$BK$188,MATCH(Sammanfattning!G$211,Databas!$BH$10:$BH$188,0),MATCH($A237,Databas!$A$10:$BK$10,0)),"")</f>
        <v/>
      </c>
      <c r="H237" s="123" t="str">
        <f ca="1">IFERROR(INDEX(Databas!$A$10:$BK$188,MATCH(Sammanfattning!H$211,Databas!$BH$10:$BH$188,0),MATCH($A237,Databas!$A$10:$BK$10,0)),"")</f>
        <v/>
      </c>
      <c r="I237" s="123" t="str">
        <f ca="1">IFERROR(INDEX(Databas!$A$10:$BK$188,MATCH(Sammanfattning!I$211,Databas!$BH$10:$BH$188,0),MATCH($A237,Databas!$A$10:$BK$10,0)),"")</f>
        <v/>
      </c>
      <c r="J237" s="123" t="str">
        <f ca="1">IFERROR(INDEX(Databas!$A$10:$BK$188,MATCH(Sammanfattning!J$211,Databas!$BH$10:$BH$188,0),MATCH($A237,Databas!$A$10:$BK$10,0)),"")</f>
        <v/>
      </c>
      <c r="K237" s="123" t="str">
        <f ca="1">IFERROR(INDEX(Databas!$A$10:$BK$188,MATCH(Sammanfattning!K$211,Databas!$BH$10:$BH$188,0),MATCH($A237,Databas!$A$10:$BK$10,0)),"")</f>
        <v/>
      </c>
    </row>
    <row r="238" spans="1:11" ht="18.75" customHeight="1" outlineLevel="1" x14ac:dyDescent="0.3">
      <c r="A238" s="45" t="s">
        <v>104</v>
      </c>
      <c r="B238" s="123" t="str">
        <f ca="1">IFERROR(INDEX(Databas!$A$10:$BK$188,MATCH(Sammanfattning!B$211,Databas!$BH$10:$BH$188,0),MATCH($A238,Databas!$A$10:$BK$10,0)),"")</f>
        <v/>
      </c>
      <c r="C238" s="123" t="str">
        <f ca="1">IFERROR(INDEX(Databas!$A$10:$BK$188,MATCH(Sammanfattning!C$211,Databas!$BH$10:$BH$188,0),MATCH($A238,Databas!$A$10:$BK$10,0)),"")</f>
        <v/>
      </c>
      <c r="D238" s="123" t="str">
        <f ca="1">IFERROR(INDEX(Databas!$A$10:$BK$188,MATCH(Sammanfattning!D$211,Databas!$BH$10:$BH$188,0),MATCH($A238,Databas!$A$10:$BK$10,0)),"")</f>
        <v/>
      </c>
      <c r="E238" s="123" t="str">
        <f ca="1">IFERROR(INDEX(Databas!$A$10:$BK$188,MATCH(Sammanfattning!E$211,Databas!$BH$10:$BH$188,0),MATCH($A238,Databas!$A$10:$BK$10,0)),"")</f>
        <v/>
      </c>
      <c r="F238" s="123" t="str">
        <f ca="1">IFERROR(INDEX(Databas!$A$10:$BK$188,MATCH(Sammanfattning!F$211,Databas!$BH$10:$BH$188,0),MATCH($A238,Databas!$A$10:$BK$10,0)),"")</f>
        <v/>
      </c>
      <c r="G238" s="123" t="str">
        <f ca="1">IFERROR(INDEX(Databas!$A$10:$BK$188,MATCH(Sammanfattning!G$211,Databas!$BH$10:$BH$188,0),MATCH($A238,Databas!$A$10:$BK$10,0)),"")</f>
        <v/>
      </c>
      <c r="H238" s="123" t="str">
        <f ca="1">IFERROR(INDEX(Databas!$A$10:$BK$188,MATCH(Sammanfattning!H$211,Databas!$BH$10:$BH$188,0),MATCH($A238,Databas!$A$10:$BK$10,0)),"")</f>
        <v/>
      </c>
      <c r="I238" s="123" t="str">
        <f ca="1">IFERROR(INDEX(Databas!$A$10:$BK$188,MATCH(Sammanfattning!I$211,Databas!$BH$10:$BH$188,0),MATCH($A238,Databas!$A$10:$BK$10,0)),"")</f>
        <v/>
      </c>
      <c r="J238" s="123" t="str">
        <f ca="1">IFERROR(INDEX(Databas!$A$10:$BK$188,MATCH(Sammanfattning!J$211,Databas!$BH$10:$BH$188,0),MATCH($A238,Databas!$A$10:$BK$10,0)),"")</f>
        <v/>
      </c>
      <c r="K238" s="123" t="str">
        <f ca="1">IFERROR(INDEX(Databas!$A$10:$BK$188,MATCH(Sammanfattning!K$211,Databas!$BH$10:$BH$188,0),MATCH($A238,Databas!$A$10:$BK$10,0)),"")</f>
        <v/>
      </c>
    </row>
    <row r="239" spans="1:11" ht="18.75" customHeight="1" outlineLevel="1" x14ac:dyDescent="0.3">
      <c r="B239" s="124"/>
      <c r="C239" s="124"/>
      <c r="D239" s="124"/>
      <c r="E239" s="124"/>
      <c r="F239" s="124"/>
      <c r="G239" s="124"/>
      <c r="H239" s="124"/>
      <c r="I239" s="124"/>
      <c r="J239" s="124"/>
      <c r="K239" s="124"/>
    </row>
    <row r="240" spans="1:11" ht="18.75" customHeight="1" outlineLevel="1" x14ac:dyDescent="0.3">
      <c r="A240" s="36" t="s">
        <v>508</v>
      </c>
      <c r="B240" s="123" t="str">
        <f ca="1">IFERROR(INDEX(Databas!$A$10:$BK$188,MATCH(Sammanfattning!B$211,Databas!$BH$10:$BH$188,0),MATCH("Pris",Databas!$A$10:$BK$10,0)),"")</f>
        <v/>
      </c>
      <c r="C240" s="123" t="str">
        <f ca="1">IFERROR(INDEX(Databas!$A$10:$BK$188,MATCH(Sammanfattning!C$211,Databas!$BH$10:$BH$188,0),MATCH("Pris",Databas!$A$10:$BK$10,0)),"")</f>
        <v/>
      </c>
      <c r="D240" s="123" t="str">
        <f ca="1">IFERROR(INDEX(Databas!$A$10:$BK$188,MATCH(Sammanfattning!D$211,Databas!$BH$10:$BH$188,0),MATCH("Pris",Databas!$A$10:$BK$10,0)),"")</f>
        <v/>
      </c>
      <c r="E240" s="123" t="str">
        <f ca="1">IFERROR(INDEX(Databas!$A$10:$BK$188,MATCH(Sammanfattning!E$211,Databas!$BH$10:$BH$188,0),MATCH("Pris",Databas!$A$10:$BK$10,0)),"")</f>
        <v/>
      </c>
      <c r="F240" s="123" t="str">
        <f ca="1">IFERROR(INDEX(Databas!$A$10:$BK$188,MATCH(Sammanfattning!F$211,Databas!$BH$10:$BH$188,0),MATCH("Pris",Databas!$A$10:$BK$10,0)),"")</f>
        <v/>
      </c>
      <c r="G240" s="123" t="str">
        <f ca="1">IFERROR(INDEX(Databas!$A$10:$BK$188,MATCH(Sammanfattning!G$211,Databas!$BH$10:$BH$188,0),MATCH("Pris",Databas!$A$10:$BK$10,0)),"")</f>
        <v/>
      </c>
      <c r="H240" s="123" t="str">
        <f ca="1">IFERROR(INDEX(Databas!$A$10:$BK$188,MATCH(Sammanfattning!H$211,Databas!$BH$10:$BH$188,0),MATCH("Pris",Databas!$A$10:$BK$10,0)),"")</f>
        <v/>
      </c>
      <c r="I240" s="123" t="str">
        <f ca="1">IFERROR(INDEX(Databas!$A$10:$BK$188,MATCH(Sammanfattning!I$211,Databas!$BH$10:$BH$188,0),MATCH("Pris",Databas!$A$10:$BK$10,0)),"")</f>
        <v/>
      </c>
      <c r="J240" s="123" t="str">
        <f ca="1">IFERROR(INDEX(Databas!$A$10:$BK$188,MATCH(Sammanfattning!J$211,Databas!$BH$10:$BH$188,0),MATCH("Pris",Databas!$A$10:$BK$10,0)),"")</f>
        <v/>
      </c>
      <c r="K240" s="123" t="str">
        <f ca="1">IFERROR(INDEX(Databas!$A$10:$BK$188,MATCH(Sammanfattning!K$211,Databas!$BH$10:$BH$188,0),MATCH("Pris",Databas!$A$10:$BK$10,0)),"")</f>
        <v/>
      </c>
    </row>
    <row r="241" spans="1:11" ht="18.75" customHeight="1" outlineLevel="1" x14ac:dyDescent="0.3">
      <c r="B241" s="124"/>
      <c r="C241" s="124"/>
      <c r="D241" s="124"/>
      <c r="E241" s="124"/>
      <c r="F241" s="124"/>
      <c r="G241" s="124"/>
      <c r="H241" s="124"/>
      <c r="I241" s="124"/>
      <c r="J241" s="124"/>
      <c r="K241" s="124"/>
    </row>
    <row r="242" spans="1:11" ht="18.75" customHeight="1" outlineLevel="1" x14ac:dyDescent="0.3">
      <c r="A242" s="41" t="s">
        <v>236</v>
      </c>
      <c r="B242" s="124"/>
      <c r="C242" s="124"/>
      <c r="D242" s="124"/>
      <c r="E242" s="124"/>
      <c r="F242" s="124"/>
      <c r="G242" s="124"/>
      <c r="H242" s="124"/>
      <c r="I242" s="124"/>
      <c r="J242" s="124"/>
      <c r="K242" s="124"/>
    </row>
    <row r="243" spans="1:11" ht="37.5" customHeight="1" outlineLevel="1" x14ac:dyDescent="0.3">
      <c r="A243" s="42" t="s">
        <v>268</v>
      </c>
      <c r="B243" s="125" t="str" cm="1">
        <f t="array" aca="1" ref="B243" ca="1">IFERROR(IF(IFERROR(INDEX(Bildskärmar!$D:$D,B$210-ROW($A$248)+ROW(B238),0),"")="","Ej Valt",INDEX(Bildskärmar!F:F,B$210-ROW($A$248)+ROW(B238),0)),"")</f>
        <v>Ej Valt</v>
      </c>
      <c r="C243" s="125" t="str" cm="1">
        <f t="array" aca="1" ref="C243" ca="1">IFERROR(IF(IFERROR(INDEX(Bildskärmar!$D:$D,C$210-ROW($A$248)+ROW(C238),0),"")="","Ej Valt",INDEX(Bildskärmar!G:G,C$210-ROW($A$248)+ROW(C238),0)),"")</f>
        <v>Ej Valt</v>
      </c>
      <c r="D243" s="125" t="str" cm="1">
        <f t="array" aca="1" ref="D243" ca="1">IFERROR(IF(IFERROR(INDEX(Bildskärmar!$D:$D,D$210-ROW($A$248)+ROW(D238),0),"")="","Ej Valt",INDEX(Bildskärmar!H:H,D$210-ROW($A$248)+ROW(D238),0)),"")</f>
        <v>Ej Valt</v>
      </c>
      <c r="E243" s="125" t="str" cm="1">
        <f t="array" aca="1" ref="E243" ca="1">IFERROR(IF(IFERROR(INDEX(Bildskärmar!$D:$D,E$210-ROW($A$248)+ROW(E238),0),"")="","Ej Valt",INDEX(Bildskärmar!I:I,E$210-ROW($A$248)+ROW(E238),0)),"")</f>
        <v>Ej Valt</v>
      </c>
      <c r="F243" s="125" t="str" cm="1">
        <f t="array" aca="1" ref="F243" ca="1">IFERROR(IF(IFERROR(INDEX(Bildskärmar!$D:$D,F$210-ROW($A$248)+ROW(F238),0),"")="","Ej Valt",INDEX(Bildskärmar!J:J,F$210-ROW($A$248)+ROW(F238),0)),"")</f>
        <v>Ej Valt</v>
      </c>
      <c r="G243" s="125" t="str" cm="1">
        <f t="array" aca="1" ref="G243" ca="1">IFERROR(IF(IFERROR(INDEX(Bildskärmar!$D:$D,G$210-ROW($A$248)+ROW(G238),0),"")="","Ej Valt",INDEX(Bildskärmar!K:K,G$210-ROW($A$248)+ROW(G238),0)),"")</f>
        <v>Ej Valt</v>
      </c>
      <c r="H243" s="125" t="str" cm="1">
        <f t="array" aca="1" ref="H243" ca="1">IFERROR(IF(IFERROR(INDEX(Bildskärmar!$D:$D,H$210-ROW($A$248)+ROW(H238),0),"")="","Ej Valt",INDEX(Bildskärmar!L:L,H$210-ROW($A$248)+ROW(H238),0)),"")</f>
        <v>Ej Valt</v>
      </c>
      <c r="I243" s="125" t="str" cm="1">
        <f t="array" aca="1" ref="I243" ca="1">IFERROR(IF(IFERROR(INDEX(Bildskärmar!$D:$D,I$210-ROW($A$248)+ROW(I238),0),"")="","Ej Valt",INDEX(Bildskärmar!M:M,I$210-ROW($A$248)+ROW(I238),0)),"")</f>
        <v>Ej Valt</v>
      </c>
      <c r="J243" s="125" t="str" cm="1">
        <f t="array" aca="1" ref="J243" ca="1">IFERROR(IF(IFERROR(INDEX(Bildskärmar!$D:$D,J$210-ROW($A$248)+ROW(J238),0),"")="","Ej Valt",INDEX(Bildskärmar!N:N,J$210-ROW($A$248)+ROW(J238),0)),"")</f>
        <v>Ej Valt</v>
      </c>
      <c r="K243" s="125" t="str" cm="1">
        <f t="array" aca="1" ref="K243" ca="1">IFERROR(IF(IFERROR(INDEX(Bildskärmar!$D:$D,K$210-ROW($A$248)+ROW(K238),0),"")="","Ej Valt",INDEX(Bildskärmar!O:O,K$210-ROW($A$248)+ROW(K238),0)),"")</f>
        <v>Ej Valt</v>
      </c>
    </row>
    <row r="244" spans="1:11" ht="37.5" customHeight="1" outlineLevel="1" x14ac:dyDescent="0.3">
      <c r="A244" s="42" t="s">
        <v>340</v>
      </c>
      <c r="B244" s="125" t="str" cm="1">
        <f t="array" aca="1" ref="B244" ca="1">IFERROR(IF(IFERROR(INDEX(Bildskärmar!$D:$D,B$210-ROW($A$248)+ROW(B239),0),"")="","-",INDEX(Bildskärmar!F:F,B$210-ROW($A$248)+ROW(B239),0)),"")</f>
        <v>-</v>
      </c>
      <c r="C244" s="125" t="str" cm="1">
        <f t="array" aca="1" ref="C244" ca="1">IFERROR(IF(IFERROR(INDEX(Bildskärmar!$D:$D,C$210-ROW($A$248)+ROW(C239),0),"")="","-",INDEX(Bildskärmar!G:G,C$210-ROW($A$248)+ROW(C239),0)),"")</f>
        <v>-</v>
      </c>
      <c r="D244" s="125" t="str" cm="1">
        <f t="array" aca="1" ref="D244" ca="1">IFERROR(IF(IFERROR(INDEX(Bildskärmar!$D:$D,D$210-ROW($A$248)+ROW(D239),0),"")="","-",INDEX(Bildskärmar!H:H,D$210-ROW($A$248)+ROW(D239),0)),"")</f>
        <v>-</v>
      </c>
      <c r="E244" s="125" t="str" cm="1">
        <f t="array" aca="1" ref="E244" ca="1">IFERROR(IF(IFERROR(INDEX(Bildskärmar!$D:$D,E$210-ROW($A$248)+ROW(E239),0),"")="","-",INDEX(Bildskärmar!I:I,E$210-ROW($A$248)+ROW(E239),0)),"")</f>
        <v>-</v>
      </c>
      <c r="F244" s="125" t="str" cm="1">
        <f t="array" aca="1" ref="F244" ca="1">IFERROR(IF(IFERROR(INDEX(Bildskärmar!$D:$D,F$210-ROW($A$248)+ROW(F239),0),"")="","-",INDEX(Bildskärmar!J:J,F$210-ROW($A$248)+ROW(F239),0)),"")</f>
        <v>-</v>
      </c>
      <c r="G244" s="125" t="str" cm="1">
        <f t="array" aca="1" ref="G244" ca="1">IFERROR(IF(IFERROR(INDEX(Bildskärmar!$D:$D,G$210-ROW($A$248)+ROW(G239),0),"")="","-",INDEX(Bildskärmar!K:K,G$210-ROW($A$248)+ROW(G239),0)),"")</f>
        <v>-</v>
      </c>
      <c r="H244" s="125" t="str" cm="1">
        <f t="array" aca="1" ref="H244" ca="1">IFERROR(IF(IFERROR(INDEX(Bildskärmar!$D:$D,H$210-ROW($A$248)+ROW(H239),0),"")="","-",INDEX(Bildskärmar!L:L,H$210-ROW($A$248)+ROW(H239),0)),"")</f>
        <v>-</v>
      </c>
      <c r="I244" s="125" t="str" cm="1">
        <f t="array" aca="1" ref="I244" ca="1">IFERROR(IF(IFERROR(INDEX(Bildskärmar!$D:$D,I$210-ROW($A$248)+ROW(I239),0),"")="","-",INDEX(Bildskärmar!M:M,I$210-ROW($A$248)+ROW(I239),0)),"")</f>
        <v>-</v>
      </c>
      <c r="J244" s="125" t="str" cm="1">
        <f t="array" aca="1" ref="J244" ca="1">IFERROR(IF(IFERROR(INDEX(Bildskärmar!$D:$D,J$210-ROW($A$248)+ROW(J239),0),"")="","-",INDEX(Bildskärmar!N:N,J$210-ROW($A$248)+ROW(J239),0)),"")</f>
        <v>-</v>
      </c>
      <c r="K244" s="125" t="str" cm="1">
        <f t="array" aca="1" ref="K244" ca="1">IFERROR(IF(IFERROR(INDEX(Bildskärmar!$D:$D,K$210-ROW($A$248)+ROW(K239),0),"")="","-",INDEX(Bildskärmar!O:O,K$210-ROW($A$248)+ROW(K239),0)),"")</f>
        <v>-</v>
      </c>
    </row>
    <row r="245" spans="1:11" ht="37.5" customHeight="1" outlineLevel="1" x14ac:dyDescent="0.3">
      <c r="A245" s="42" t="s">
        <v>345</v>
      </c>
      <c r="B245" s="125" t="str" cm="1">
        <f t="array" aca="1" ref="B245" ca="1">IFERROR(IF(IFERROR(INDEX(Bildskärmar!$D:$D,B$210-ROW($A$248)+ROW(B240),0),"")="","-",INDEX(Bildskärmar!F:F,B$210-ROW($A$248)+ROW(B240),0)),"")</f>
        <v>-</v>
      </c>
      <c r="C245" s="125" t="str" cm="1">
        <f t="array" aca="1" ref="C245" ca="1">IFERROR(IF(IFERROR(INDEX(Bildskärmar!$D:$D,C$210-ROW($A$248)+ROW(C240),0),"")="","-",INDEX(Bildskärmar!G:G,C$210-ROW($A$248)+ROW(C240),0)),"")</f>
        <v>-</v>
      </c>
      <c r="D245" s="125" t="str" cm="1">
        <f t="array" aca="1" ref="D245" ca="1">IFERROR(IF(IFERROR(INDEX(Bildskärmar!$D:$D,D$210-ROW($A$248)+ROW(D240),0),"")="","-",INDEX(Bildskärmar!H:H,D$210-ROW($A$248)+ROW(D240),0)),"")</f>
        <v>-</v>
      </c>
      <c r="E245" s="125" t="str" cm="1">
        <f t="array" aca="1" ref="E245" ca="1">IFERROR(IF(IFERROR(INDEX(Bildskärmar!$D:$D,E$210-ROW($A$248)+ROW(E240),0),"")="","-",INDEX(Bildskärmar!I:I,E$210-ROW($A$248)+ROW(E240),0)),"")</f>
        <v>-</v>
      </c>
      <c r="F245" s="125" t="str" cm="1">
        <f t="array" aca="1" ref="F245" ca="1">IFERROR(IF(IFERROR(INDEX(Bildskärmar!$D:$D,F$210-ROW($A$248)+ROW(F240),0),"")="","-",INDEX(Bildskärmar!J:J,F$210-ROW($A$248)+ROW(F240),0)),"")</f>
        <v>-</v>
      </c>
      <c r="G245" s="125" t="str" cm="1">
        <f t="array" aca="1" ref="G245" ca="1">IFERROR(IF(IFERROR(INDEX(Bildskärmar!$D:$D,G$210-ROW($A$248)+ROW(G240),0),"")="","-",INDEX(Bildskärmar!K:K,G$210-ROW($A$248)+ROW(G240),0)),"")</f>
        <v>-</v>
      </c>
      <c r="H245" s="125" t="str" cm="1">
        <f t="array" aca="1" ref="H245" ca="1">IFERROR(IF(IFERROR(INDEX(Bildskärmar!$D:$D,H$210-ROW($A$248)+ROW(H240),0),"")="","-",INDEX(Bildskärmar!L:L,H$210-ROW($A$248)+ROW(H240),0)),"")</f>
        <v>-</v>
      </c>
      <c r="I245" s="125" t="str" cm="1">
        <f t="array" aca="1" ref="I245" ca="1">IFERROR(IF(IFERROR(INDEX(Bildskärmar!$D:$D,I$210-ROW($A$248)+ROW(I240),0),"")="","-",INDEX(Bildskärmar!M:M,I$210-ROW($A$248)+ROW(I240),0)),"")</f>
        <v>-</v>
      </c>
      <c r="J245" s="125" t="str" cm="1">
        <f t="array" aca="1" ref="J245" ca="1">IFERROR(IF(IFERROR(INDEX(Bildskärmar!$D:$D,J$210-ROW($A$248)+ROW(J240),0),"")="","-",INDEX(Bildskärmar!N:N,J$210-ROW($A$248)+ROW(J240),0)),"")</f>
        <v>-</v>
      </c>
      <c r="K245" s="125" t="str" cm="1">
        <f t="array" aca="1" ref="K245" ca="1">IFERROR(IF(IFERROR(INDEX(Bildskärmar!$D:$D,K$210-ROW($A$248)+ROW(K240),0),"")="","-",INDEX(Bildskärmar!O:O,K$210-ROW($A$248)+ROW(K240),0)),"")</f>
        <v>-</v>
      </c>
    </row>
    <row r="246" spans="1:11" ht="37.5" customHeight="1" outlineLevel="1" x14ac:dyDescent="0.3">
      <c r="A246" s="42" t="s">
        <v>262</v>
      </c>
      <c r="B246" s="125" t="str" cm="1">
        <f t="array" aca="1" ref="B246" ca="1">IFERROR(IF(IFERROR(INDEX(Bildskärmar!$D:$D,B$210-ROW($A$248)+ROW(B242),0),"")="","Ej Valt",INDEX(Bildskärmar!F:F,B$210-ROW($A$248)+ROW(B242),0)),"")</f>
        <v>Ej Valt</v>
      </c>
      <c r="C246" s="125" t="str" cm="1">
        <f t="array" aca="1" ref="C246" ca="1">IFERROR(IF(IFERROR(INDEX(Bildskärmar!$D:$D,C$210-ROW($A$248)+ROW(C242),0),"")="","Ej Valt",INDEX(Bildskärmar!G:G,C$210-ROW($A$248)+ROW(C242),0)),"")</f>
        <v>Ej Valt</v>
      </c>
      <c r="D246" s="125" t="str" cm="1">
        <f t="array" aca="1" ref="D246" ca="1">IFERROR(IF(IFERROR(INDEX(Bildskärmar!$D:$D,D$210-ROW($A$248)+ROW(D242),0),"")="","Ej Valt",INDEX(Bildskärmar!H:H,D$210-ROW($A$248)+ROW(D242),0)),"")</f>
        <v>Ej Valt</v>
      </c>
      <c r="E246" s="125" t="str" cm="1">
        <f t="array" aca="1" ref="E246" ca="1">IFERROR(IF(IFERROR(INDEX(Bildskärmar!$D:$D,E$210-ROW($A$248)+ROW(E242),0),"")="","Ej Valt",INDEX(Bildskärmar!I:I,E$210-ROW($A$248)+ROW(E242),0)),"")</f>
        <v>Ej Valt</v>
      </c>
      <c r="F246" s="125" t="str" cm="1">
        <f t="array" aca="1" ref="F246" ca="1">IFERROR(IF(IFERROR(INDEX(Bildskärmar!$D:$D,F$210-ROW($A$248)+ROW(F242),0),"")="","Ej Valt",INDEX(Bildskärmar!J:J,F$210-ROW($A$248)+ROW(F242),0)),"")</f>
        <v>Ej Valt</v>
      </c>
      <c r="G246" s="125" t="str" cm="1">
        <f t="array" aca="1" ref="G246" ca="1">IFERROR(IF(IFERROR(INDEX(Bildskärmar!$D:$D,G$210-ROW($A$248)+ROW(G242),0),"")="","Ej Valt",INDEX(Bildskärmar!K:K,G$210-ROW($A$248)+ROW(G242),0)),"")</f>
        <v>Ej Valt</v>
      </c>
      <c r="H246" s="125" t="str" cm="1">
        <f t="array" aca="1" ref="H246" ca="1">IFERROR(IF(IFERROR(INDEX(Bildskärmar!$D:$D,H$210-ROW($A$248)+ROW(H242),0),"")="","Ej Valt",INDEX(Bildskärmar!L:L,H$210-ROW($A$248)+ROW(H242),0)),"")</f>
        <v>Ej Valt</v>
      </c>
      <c r="I246" s="125" t="str" cm="1">
        <f t="array" aca="1" ref="I246" ca="1">IFERROR(IF(IFERROR(INDEX(Bildskärmar!$D:$D,I$210-ROW($A$248)+ROW(I242),0),"")="","Ej Valt",INDEX(Bildskärmar!M:M,I$210-ROW($A$248)+ROW(I242),0)),"")</f>
        <v>Ej Valt</v>
      </c>
      <c r="J246" s="125" t="str" cm="1">
        <f t="array" aca="1" ref="J246" ca="1">IFERROR(IF(IFERROR(INDEX(Bildskärmar!$D:$D,J$210-ROW($A$248)+ROW(J242),0),"")="","Ej Valt",INDEX(Bildskärmar!N:N,J$210-ROW($A$248)+ROW(J242),0)),"")</f>
        <v>Ej Valt</v>
      </c>
      <c r="K246" s="125" t="str" cm="1">
        <f t="array" aca="1" ref="K246" ca="1">IFERROR(IF(IFERROR(INDEX(Bildskärmar!$D:$D,K$210-ROW($A$248)+ROW(K242),0),"")="","Ej Valt",INDEX(Bildskärmar!O:O,K$210-ROW($A$248)+ROW(K242),0)),"")</f>
        <v>Ej Valt</v>
      </c>
    </row>
    <row r="247" spans="1:11" ht="37.5" customHeight="1" outlineLevel="1" x14ac:dyDescent="0.3">
      <c r="A247" s="42" t="s">
        <v>263</v>
      </c>
      <c r="B247" s="125" t="str" cm="1">
        <f t="array" aca="1" ref="B247" ca="1">IFERROR(IF(IFERROR(INDEX(Bildskärmar!$D:$D,B$210-ROW($A$248)+ROW(B243),0),"")="","Ej Valt",INDEX(Bildskärmar!F:F,B$210-ROW($A$248)+ROW(B243),0)),"")</f>
        <v>Ej Valt</v>
      </c>
      <c r="C247" s="125" t="str" cm="1">
        <f t="array" aca="1" ref="C247" ca="1">IFERROR(IF(IFERROR(INDEX(Bildskärmar!$D:$D,C$210-ROW($A$248)+ROW(C243),0),"")="","Ej Valt",INDEX(Bildskärmar!G:G,C$210-ROW($A$248)+ROW(C243),0)),"")</f>
        <v>Ej Valt</v>
      </c>
      <c r="D247" s="125" t="str" cm="1">
        <f t="array" aca="1" ref="D247" ca="1">IFERROR(IF(IFERROR(INDEX(Bildskärmar!$D:$D,D$210-ROW($A$248)+ROW(D243),0),"")="","Ej Valt",INDEX(Bildskärmar!H:H,D$210-ROW($A$248)+ROW(D243),0)),"")</f>
        <v>Ej Valt</v>
      </c>
      <c r="E247" s="125" t="str" cm="1">
        <f t="array" aca="1" ref="E247" ca="1">IFERROR(IF(IFERROR(INDEX(Bildskärmar!$D:$D,E$210-ROW($A$248)+ROW(E243),0),"")="","Ej Valt",INDEX(Bildskärmar!I:I,E$210-ROW($A$248)+ROW(E243),0)),"")</f>
        <v>Ej Valt</v>
      </c>
      <c r="F247" s="125" t="str" cm="1">
        <f t="array" aca="1" ref="F247" ca="1">IFERROR(IF(IFERROR(INDEX(Bildskärmar!$D:$D,F$210-ROW($A$248)+ROW(F243),0),"")="","Ej Valt",INDEX(Bildskärmar!J:J,F$210-ROW($A$248)+ROW(F243),0)),"")</f>
        <v>Ej Valt</v>
      </c>
      <c r="G247" s="125" t="str" cm="1">
        <f t="array" aca="1" ref="G247" ca="1">IFERROR(IF(IFERROR(INDEX(Bildskärmar!$D:$D,G$210-ROW($A$248)+ROW(G243),0),"")="","Ej Valt",INDEX(Bildskärmar!K:K,G$210-ROW($A$248)+ROW(G243),0)),"")</f>
        <v>Ej Valt</v>
      </c>
      <c r="H247" s="125" t="str" cm="1">
        <f t="array" aca="1" ref="H247" ca="1">IFERROR(IF(IFERROR(INDEX(Bildskärmar!$D:$D,H$210-ROW($A$248)+ROW(H243),0),"")="","Ej Valt",INDEX(Bildskärmar!L:L,H$210-ROW($A$248)+ROW(H243),0)),"")</f>
        <v>Ej Valt</v>
      </c>
      <c r="I247" s="125" t="str" cm="1">
        <f t="array" aca="1" ref="I247" ca="1">IFERROR(IF(IFERROR(INDEX(Bildskärmar!$D:$D,I$210-ROW($A$248)+ROW(I243),0),"")="","Ej Valt",INDEX(Bildskärmar!M:M,I$210-ROW($A$248)+ROW(I243),0)),"")</f>
        <v>Ej Valt</v>
      </c>
      <c r="J247" s="125" t="str" cm="1">
        <f t="array" aca="1" ref="J247" ca="1">IFERROR(IF(IFERROR(INDEX(Bildskärmar!$D:$D,J$210-ROW($A$248)+ROW(J243),0),"")="","Ej Valt",INDEX(Bildskärmar!N:N,J$210-ROW($A$248)+ROW(J243),0)),"")</f>
        <v>Ej Valt</v>
      </c>
      <c r="K247" s="125" t="str" cm="1">
        <f t="array" aca="1" ref="K247" ca="1">IFERROR(IF(IFERROR(INDEX(Bildskärmar!$D:$D,K$210-ROW($A$248)+ROW(K243),0),"")="","Ej Valt",INDEX(Bildskärmar!O:O,K$210-ROW($A$248)+ROW(K243),0)),"")</f>
        <v>Ej Valt</v>
      </c>
    </row>
    <row r="248" spans="1:11" ht="37.5" customHeight="1" outlineLevel="1" x14ac:dyDescent="0.3">
      <c r="A248" s="42" t="s">
        <v>264</v>
      </c>
      <c r="B248" s="125" t="str" cm="1">
        <f t="array" aca="1" ref="B248" ca="1">IFERROR(IF(IFERROR(INDEX(Bildskärmar!$D:$D,B$210-ROW($A$248)+ROW(B244),0),"")="","Ej Valt",INDEX(Bildskärmar!F:F,B$210-ROW($A$248)+ROW(B244),0)),"")</f>
        <v>Ej Valt</v>
      </c>
      <c r="C248" s="125" t="str" cm="1">
        <f t="array" aca="1" ref="C248" ca="1">IFERROR(IF(IFERROR(INDEX(Bildskärmar!$D:$D,C$210-ROW($A$248)+ROW(C244),0),"")="","Ej Valt",INDEX(Bildskärmar!G:G,C$210-ROW($A$248)+ROW(C244),0)),"")</f>
        <v>Ej Valt</v>
      </c>
      <c r="D248" s="125" t="str" cm="1">
        <f t="array" aca="1" ref="D248" ca="1">IFERROR(IF(IFERROR(INDEX(Bildskärmar!$D:$D,D$210-ROW($A$248)+ROW(D244),0),"")="","Ej Valt",INDEX(Bildskärmar!H:H,D$210-ROW($A$248)+ROW(D244),0)),"")</f>
        <v>Ej Valt</v>
      </c>
      <c r="E248" s="125" t="str" cm="1">
        <f t="array" aca="1" ref="E248" ca="1">IFERROR(IF(IFERROR(INDEX(Bildskärmar!$D:$D,E$210-ROW($A$248)+ROW(E244),0),"")="","Ej Valt",INDEX(Bildskärmar!I:I,E$210-ROW($A$248)+ROW(E244),0)),"")</f>
        <v>Ej Valt</v>
      </c>
      <c r="F248" s="125" t="str" cm="1">
        <f t="array" aca="1" ref="F248" ca="1">IFERROR(IF(IFERROR(INDEX(Bildskärmar!$D:$D,F$210-ROW($A$248)+ROW(F244),0),"")="","Ej Valt",INDEX(Bildskärmar!J:J,F$210-ROW($A$248)+ROW(F244),0)),"")</f>
        <v>Ej Valt</v>
      </c>
      <c r="G248" s="125" t="str" cm="1">
        <f t="array" aca="1" ref="G248" ca="1">IFERROR(IF(IFERROR(INDEX(Bildskärmar!$D:$D,G$210-ROW($A$248)+ROW(G244),0),"")="","Ej Valt",INDEX(Bildskärmar!K:K,G$210-ROW($A$248)+ROW(G244),0)),"")</f>
        <v>Ej Valt</v>
      </c>
      <c r="H248" s="125" t="str" cm="1">
        <f t="array" aca="1" ref="H248" ca="1">IFERROR(IF(IFERROR(INDEX(Bildskärmar!$D:$D,H$210-ROW($A$248)+ROW(H244),0),"")="","Ej Valt",INDEX(Bildskärmar!L:L,H$210-ROW($A$248)+ROW(H244),0)),"")</f>
        <v>Ej Valt</v>
      </c>
      <c r="I248" s="125" t="str" cm="1">
        <f t="array" aca="1" ref="I248" ca="1">IFERROR(IF(IFERROR(INDEX(Bildskärmar!$D:$D,I$210-ROW($A$248)+ROW(I244),0),"")="","Ej Valt",INDEX(Bildskärmar!M:M,I$210-ROW($A$248)+ROW(I244),0)),"")</f>
        <v>Ej Valt</v>
      </c>
      <c r="J248" s="125" t="str" cm="1">
        <f t="array" aca="1" ref="J248" ca="1">IFERROR(IF(IFERROR(INDEX(Bildskärmar!$D:$D,J$210-ROW($A$248)+ROW(J244),0),"")="","Ej Valt",INDEX(Bildskärmar!N:N,J$210-ROW($A$248)+ROW(J244),0)),"")</f>
        <v>Ej Valt</v>
      </c>
      <c r="K248" s="125" t="str" cm="1">
        <f t="array" aca="1" ref="K248" ca="1">IFERROR(IF(IFERROR(INDEX(Bildskärmar!$D:$D,K$210-ROW($A$248)+ROW(K244),0),"")="","Ej Valt",INDEX(Bildskärmar!O:O,K$210-ROW($A$248)+ROW(K244),0)),"")</f>
        <v>Ej Valt</v>
      </c>
    </row>
    <row r="249" spans="1:11" ht="18.75" customHeight="1" outlineLevel="1" x14ac:dyDescent="0.3">
      <c r="B249" s="124"/>
      <c r="C249" s="124"/>
      <c r="D249" s="124"/>
      <c r="E249" s="124"/>
      <c r="F249" s="124"/>
      <c r="G249" s="124"/>
      <c r="H249" s="124"/>
      <c r="I249" s="124"/>
      <c r="J249" s="124"/>
      <c r="K249" s="124"/>
    </row>
    <row r="250" spans="1:11" ht="18.75" customHeight="1" outlineLevel="1" x14ac:dyDescent="0.3">
      <c r="A250" s="39" t="s">
        <v>507</v>
      </c>
      <c r="B250" s="125">
        <f t="shared" ref="B250:K250" ca="1" si="12">SUM(B240:B248)</f>
        <v>0</v>
      </c>
      <c r="C250" s="125">
        <f t="shared" ca="1" si="12"/>
        <v>0</v>
      </c>
      <c r="D250" s="125">
        <f t="shared" ca="1" si="12"/>
        <v>0</v>
      </c>
      <c r="E250" s="125">
        <f t="shared" ca="1" si="12"/>
        <v>0</v>
      </c>
      <c r="F250" s="125">
        <f t="shared" ca="1" si="12"/>
        <v>0</v>
      </c>
      <c r="G250" s="125">
        <f t="shared" ca="1" si="12"/>
        <v>0</v>
      </c>
      <c r="H250" s="125">
        <f t="shared" ca="1" si="12"/>
        <v>0</v>
      </c>
      <c r="I250" s="125">
        <f t="shared" ca="1" si="12"/>
        <v>0</v>
      </c>
      <c r="J250" s="125">
        <f t="shared" ca="1" si="12"/>
        <v>0</v>
      </c>
      <c r="K250" s="125">
        <f t="shared" ca="1" si="12"/>
        <v>0</v>
      </c>
    </row>
    <row r="251" spans="1:11" ht="18.75" customHeight="1" outlineLevel="1" x14ac:dyDescent="0.3">
      <c r="A251" s="39" t="s">
        <v>121</v>
      </c>
      <c r="B251" s="125" cm="1">
        <f t="array" aca="1" ref="B251" ca="1">IFERROR(INDEX(Bildskärmar!$D:$D,B210,0),"")</f>
        <v>0</v>
      </c>
      <c r="C251" s="125" cm="1">
        <f t="array" aca="1" ref="C251" ca="1">IFERROR(INDEX(Bildskärmar!$D:$D,C210,0),"")</f>
        <v>0</v>
      </c>
      <c r="D251" s="125" cm="1">
        <f t="array" aca="1" ref="D251" ca="1">IFERROR(INDEX(Bildskärmar!$D:$D,D210,0),"")</f>
        <v>0</v>
      </c>
      <c r="E251" s="125" cm="1">
        <f t="array" aca="1" ref="E251" ca="1">IFERROR(INDEX(Bildskärmar!$D:$D,E210,0),"")</f>
        <v>0</v>
      </c>
      <c r="F251" s="125" cm="1">
        <f t="array" aca="1" ref="F251" ca="1">IFERROR(INDEX(Bildskärmar!$D:$D,F210,0),"")</f>
        <v>0</v>
      </c>
      <c r="G251" s="125" cm="1">
        <f t="array" aca="1" ref="G251" ca="1">IFERROR(INDEX(Bildskärmar!$D:$D,G210,0),"")</f>
        <v>0</v>
      </c>
      <c r="H251" s="125" cm="1">
        <f t="array" aca="1" ref="H251" ca="1">IFERROR(INDEX(Bildskärmar!$D:$D,H210,0),"")</f>
        <v>0</v>
      </c>
      <c r="I251" s="125" cm="1">
        <f t="array" aca="1" ref="I251" ca="1">IFERROR(INDEX(Bildskärmar!$D:$D,I210,0),"")</f>
        <v>0</v>
      </c>
      <c r="J251" s="125" cm="1">
        <f t="array" aca="1" ref="J251" ca="1">IFERROR(INDEX(Bildskärmar!$D:$D,J210,0),"")</f>
        <v>0</v>
      </c>
      <c r="K251" s="125" cm="1">
        <f t="array" aca="1" ref="K251" ca="1">IFERROR(INDEX(Bildskärmar!$D:$D,K210,0),"")</f>
        <v>0</v>
      </c>
    </row>
    <row r="252" spans="1:11" ht="18.75" customHeight="1" outlineLevel="1" x14ac:dyDescent="0.3">
      <c r="A252" s="39" t="s">
        <v>277</v>
      </c>
      <c r="B252" s="125">
        <f t="shared" ref="B252:K252" ca="1" si="13">IFERROR(B250*B251,"")</f>
        <v>0</v>
      </c>
      <c r="C252" s="125">
        <f t="shared" ca="1" si="13"/>
        <v>0</v>
      </c>
      <c r="D252" s="125">
        <f t="shared" ca="1" si="13"/>
        <v>0</v>
      </c>
      <c r="E252" s="125">
        <f t="shared" ca="1" si="13"/>
        <v>0</v>
      </c>
      <c r="F252" s="125">
        <f t="shared" ca="1" si="13"/>
        <v>0</v>
      </c>
      <c r="G252" s="125">
        <f t="shared" ca="1" si="13"/>
        <v>0</v>
      </c>
      <c r="H252" s="125">
        <f t="shared" ca="1" si="13"/>
        <v>0</v>
      </c>
      <c r="I252" s="125">
        <f t="shared" ca="1" si="13"/>
        <v>0</v>
      </c>
      <c r="J252" s="125">
        <f t="shared" ca="1" si="13"/>
        <v>0</v>
      </c>
      <c r="K252" s="125">
        <f t="shared" ca="1" si="13"/>
        <v>0</v>
      </c>
    </row>
    <row r="253" spans="1:11" ht="18.75" customHeight="1" x14ac:dyDescent="0.3"/>
    <row r="254" spans="1:11" ht="3.75" customHeight="1" x14ac:dyDescent="0.3"/>
    <row r="255" spans="1:11" ht="18.75" customHeight="1" x14ac:dyDescent="0.35">
      <c r="A255" s="168"/>
    </row>
    <row r="256" spans="1:11" ht="20.25" customHeight="1" x14ac:dyDescent="0.3">
      <c r="A256" s="31" t="s">
        <v>123</v>
      </c>
      <c r="B256" s="28" t="str">
        <f>"Antal : "&amp;SUM(B258:B273)</f>
        <v>Antal : 0</v>
      </c>
    </row>
    <row r="257" spans="1:5" ht="20.25" customHeight="1" outlineLevel="1" x14ac:dyDescent="0.3">
      <c r="A257" s="113" t="s">
        <v>123</v>
      </c>
      <c r="B257" s="113" t="s">
        <v>121</v>
      </c>
      <c r="C257" s="44"/>
      <c r="D257" s="114" t="s">
        <v>259</v>
      </c>
      <c r="E257" s="113" t="s">
        <v>250</v>
      </c>
    </row>
    <row r="258" spans="1:5" ht="45" customHeight="1" outlineLevel="1" x14ac:dyDescent="0.3">
      <c r="A258" s="127" t="s">
        <v>33</v>
      </c>
      <c r="B258" s="128">
        <f>Tillbehör!C11</f>
        <v>0</v>
      </c>
      <c r="D258" s="129">
        <f ca="1">Tillbehör!E11</f>
        <v>0</v>
      </c>
      <c r="E258" s="129">
        <f ca="1">Tillbehör!F11</f>
        <v>0</v>
      </c>
    </row>
    <row r="259" spans="1:5" ht="45" customHeight="1" outlineLevel="1" x14ac:dyDescent="0.3">
      <c r="A259" s="127" t="s">
        <v>32</v>
      </c>
      <c r="B259" s="128">
        <f>Tillbehör!C12</f>
        <v>0</v>
      </c>
      <c r="D259" s="129">
        <f ca="1">Tillbehör!E12</f>
        <v>0</v>
      </c>
      <c r="E259" s="129">
        <f ca="1">Tillbehör!F12</f>
        <v>0</v>
      </c>
    </row>
    <row r="260" spans="1:5" ht="45" customHeight="1" outlineLevel="1" x14ac:dyDescent="0.3">
      <c r="A260" s="127" t="s">
        <v>31</v>
      </c>
      <c r="B260" s="128">
        <f>Tillbehör!C13</f>
        <v>0</v>
      </c>
      <c r="D260" s="129">
        <f ca="1">Tillbehör!E13</f>
        <v>0</v>
      </c>
      <c r="E260" s="129">
        <f ca="1">Tillbehör!F13</f>
        <v>0</v>
      </c>
    </row>
    <row r="261" spans="1:5" ht="45" customHeight="1" outlineLevel="1" x14ac:dyDescent="0.3">
      <c r="A261" s="127" t="s">
        <v>21</v>
      </c>
      <c r="B261" s="128">
        <f>Tillbehör!C14</f>
        <v>0</v>
      </c>
      <c r="D261" s="129">
        <f ca="1">Tillbehör!E14</f>
        <v>0</v>
      </c>
      <c r="E261" s="129">
        <f ca="1">Tillbehör!F14</f>
        <v>0</v>
      </c>
    </row>
    <row r="262" spans="1:5" ht="45" customHeight="1" outlineLevel="1" x14ac:dyDescent="0.3">
      <c r="A262" s="127" t="s">
        <v>22</v>
      </c>
      <c r="B262" s="128">
        <f>Tillbehör!C15</f>
        <v>0</v>
      </c>
      <c r="D262" s="129">
        <f ca="1">Tillbehör!E15</f>
        <v>0</v>
      </c>
      <c r="E262" s="129">
        <f ca="1">Tillbehör!F15</f>
        <v>0</v>
      </c>
    </row>
    <row r="263" spans="1:5" ht="45" customHeight="1" outlineLevel="1" x14ac:dyDescent="0.3">
      <c r="A263" s="127" t="s">
        <v>26</v>
      </c>
      <c r="B263" s="128">
        <f>Tillbehör!C16</f>
        <v>0</v>
      </c>
      <c r="D263" s="129">
        <f ca="1">Tillbehör!E16</f>
        <v>0</v>
      </c>
      <c r="E263" s="129">
        <f ca="1">Tillbehör!F16</f>
        <v>0</v>
      </c>
    </row>
    <row r="264" spans="1:5" ht="45" customHeight="1" outlineLevel="1" x14ac:dyDescent="0.3">
      <c r="A264" s="127" t="s">
        <v>27</v>
      </c>
      <c r="B264" s="128">
        <f>Tillbehör!C17</f>
        <v>0</v>
      </c>
      <c r="D264" s="129">
        <f ca="1">Tillbehör!E17</f>
        <v>0</v>
      </c>
      <c r="E264" s="129">
        <f ca="1">Tillbehör!F17</f>
        <v>0</v>
      </c>
    </row>
    <row r="265" spans="1:5" ht="45" customHeight="1" outlineLevel="1" x14ac:dyDescent="0.3">
      <c r="A265" s="127" t="s">
        <v>23</v>
      </c>
      <c r="B265" s="128">
        <f>Tillbehör!C18</f>
        <v>0</v>
      </c>
      <c r="D265" s="129">
        <f ca="1">Tillbehör!E18</f>
        <v>0</v>
      </c>
      <c r="E265" s="129">
        <f ca="1">Tillbehör!F18</f>
        <v>0</v>
      </c>
    </row>
    <row r="266" spans="1:5" ht="45" customHeight="1" outlineLevel="1" x14ac:dyDescent="0.3">
      <c r="A266" s="127" t="s">
        <v>28</v>
      </c>
      <c r="B266" s="128">
        <f>Tillbehör!C19</f>
        <v>0</v>
      </c>
      <c r="D266" s="129">
        <f ca="1">Tillbehör!E19</f>
        <v>0</v>
      </c>
      <c r="E266" s="129">
        <f ca="1">Tillbehör!F19</f>
        <v>0</v>
      </c>
    </row>
    <row r="267" spans="1:5" ht="45" customHeight="1" outlineLevel="1" x14ac:dyDescent="0.3">
      <c r="A267" s="127" t="s">
        <v>18</v>
      </c>
      <c r="B267" s="128">
        <f>Tillbehör!C20</f>
        <v>0</v>
      </c>
      <c r="D267" s="129">
        <f ca="1">Tillbehör!E20</f>
        <v>0</v>
      </c>
      <c r="E267" s="129">
        <f ca="1">Tillbehör!F20</f>
        <v>0</v>
      </c>
    </row>
    <row r="268" spans="1:5" ht="45" customHeight="1" outlineLevel="1" x14ac:dyDescent="0.3">
      <c r="A268" s="127" t="s">
        <v>19</v>
      </c>
      <c r="B268" s="128">
        <f>Tillbehör!C21</f>
        <v>0</v>
      </c>
      <c r="D268" s="129">
        <f ca="1">Tillbehör!E21</f>
        <v>0</v>
      </c>
      <c r="E268" s="129">
        <f ca="1">Tillbehör!F21</f>
        <v>0</v>
      </c>
    </row>
    <row r="269" spans="1:5" ht="45" customHeight="1" outlineLevel="1" x14ac:dyDescent="0.3">
      <c r="A269" s="127" t="s">
        <v>20</v>
      </c>
      <c r="B269" s="128">
        <f>Tillbehör!C22</f>
        <v>0</v>
      </c>
      <c r="D269" s="129">
        <f ca="1">Tillbehör!E22</f>
        <v>0</v>
      </c>
      <c r="E269" s="129">
        <f ca="1">Tillbehör!F22</f>
        <v>0</v>
      </c>
    </row>
    <row r="270" spans="1:5" ht="45" customHeight="1" outlineLevel="1" x14ac:dyDescent="0.3">
      <c r="A270" s="127" t="s">
        <v>34</v>
      </c>
      <c r="B270" s="128">
        <f>Tillbehör!C23</f>
        <v>0</v>
      </c>
      <c r="D270" s="129">
        <f ca="1">Tillbehör!E23</f>
        <v>0</v>
      </c>
      <c r="E270" s="129">
        <f ca="1">Tillbehör!F23</f>
        <v>0</v>
      </c>
    </row>
    <row r="271" spans="1:5" ht="45" customHeight="1" outlineLevel="1" x14ac:dyDescent="0.3">
      <c r="A271" s="127" t="s">
        <v>35</v>
      </c>
      <c r="B271" s="128">
        <f>Tillbehör!C24</f>
        <v>0</v>
      </c>
      <c r="D271" s="129">
        <f ca="1">Tillbehör!E24</f>
        <v>0</v>
      </c>
      <c r="E271" s="129">
        <f ca="1">Tillbehör!F24</f>
        <v>0</v>
      </c>
    </row>
    <row r="272" spans="1:5" ht="45" customHeight="1" outlineLevel="1" x14ac:dyDescent="0.3">
      <c r="A272" s="127" t="s">
        <v>29</v>
      </c>
      <c r="B272" s="128">
        <f>Tillbehör!C25</f>
        <v>0</v>
      </c>
      <c r="D272" s="129">
        <f ca="1">Tillbehör!E25</f>
        <v>0</v>
      </c>
      <c r="E272" s="129">
        <f ca="1">Tillbehör!F25</f>
        <v>0</v>
      </c>
    </row>
    <row r="273" spans="1:5" ht="45" customHeight="1" outlineLevel="1" x14ac:dyDescent="0.3">
      <c r="A273" s="127" t="s">
        <v>30</v>
      </c>
      <c r="B273" s="128">
        <f>Tillbehör!C26</f>
        <v>0</v>
      </c>
      <c r="D273" s="129">
        <f ca="1">Tillbehör!E26</f>
        <v>0</v>
      </c>
      <c r="E273" s="129">
        <f ca="1">Tillbehör!F26</f>
        <v>0</v>
      </c>
    </row>
  </sheetData>
  <sheetProtection algorithmName="SHA-512" hashValue="uHCKF9hxsuRJA3p0FXScEC/XgccMgkVob+soqBKUXNnL2HOuhJ7z5DYHZDTD07u/n3HHxXWx3GdQBD1N7sl3FA==" saltValue="FkChXCY555zpNipFdrMN2w==" spinCount="100000" sheet="1" formatRows="0"/>
  <protectedRanges>
    <protectedRange sqref="F10" name="Område4"/>
    <protectedRange sqref="E7:E8" name="Område3"/>
    <protectedRange sqref="D10:D14" name="Område2"/>
    <protectedRange sqref="B10:B14" name="Område1"/>
  </protectedRanges>
  <mergeCells count="1">
    <mergeCell ref="F10:G14"/>
  </mergeCells>
  <phoneticPr fontId="7" type="noConversion"/>
  <conditionalFormatting sqref="B258:B273">
    <cfRule type="expression" dxfId="17" priority="18">
      <formula>B258=$AH258</formula>
    </cfRule>
  </conditionalFormatting>
  <conditionalFormatting sqref="B21:K21">
    <cfRule type="expression" dxfId="16" priority="17">
      <formula>B$21&lt;&gt;""</formula>
    </cfRule>
  </conditionalFormatting>
  <conditionalFormatting sqref="B22:K55 B57:K57 B60:K75 B78:K79">
    <cfRule type="expression" dxfId="15" priority="6">
      <formula>B$21&lt;&gt;""</formula>
    </cfRule>
  </conditionalFormatting>
  <conditionalFormatting sqref="B77:K77">
    <cfRule type="expression" dxfId="14" priority="4">
      <formula>B$21&lt;&gt;""</formula>
    </cfRule>
  </conditionalFormatting>
  <conditionalFormatting sqref="B90:K90">
    <cfRule type="expression" dxfId="13" priority="9">
      <formula>B$90&lt;&gt;""</formula>
    </cfRule>
  </conditionalFormatting>
  <conditionalFormatting sqref="B91:K121 B123:K123 B126:K138 B141:K142">
    <cfRule type="expression" dxfId="12" priority="12">
      <formula>B$90&lt;&gt;""</formula>
    </cfRule>
  </conditionalFormatting>
  <conditionalFormatting sqref="B140:K140">
    <cfRule type="expression" dxfId="11" priority="5">
      <formula>B$90&lt;&gt;""</formula>
    </cfRule>
  </conditionalFormatting>
  <conditionalFormatting sqref="B156:K156">
    <cfRule type="expression" dxfId="10" priority="3">
      <formula>B$156&lt;&gt;""</formula>
    </cfRule>
  </conditionalFormatting>
  <conditionalFormatting sqref="B157:K178 B180:K180 B183:K200 B203:K204">
    <cfRule type="expression" dxfId="9" priority="11">
      <formula>B$156&lt;&gt;""</formula>
    </cfRule>
  </conditionalFormatting>
  <conditionalFormatting sqref="B202:K202">
    <cfRule type="expression" dxfId="8" priority="2">
      <formula>B$156&lt;&gt;""</formula>
    </cfRule>
  </conditionalFormatting>
  <conditionalFormatting sqref="B218:K218">
    <cfRule type="expression" dxfId="7" priority="7">
      <formula>B$218&lt;&gt;""</formula>
    </cfRule>
  </conditionalFormatting>
  <conditionalFormatting sqref="B219:K238 B240:K240 B243:K248 B251:K252">
    <cfRule type="expression" dxfId="6" priority="1">
      <formula>B$218&lt;&gt;""</formula>
    </cfRule>
  </conditionalFormatting>
  <conditionalFormatting sqref="B250:K250">
    <cfRule type="expression" dxfId="5" priority="10">
      <formula>B$218&lt;&gt;""</formula>
    </cfRule>
  </conditionalFormatting>
  <pageMargins left="0.7" right="0.7" top="0.75" bottom="0.75" header="0.3" footer="0.3"/>
  <pageSetup scale="39" fitToHeight="0" orientation="landscape" r:id="rId1"/>
  <ignoredErrors>
    <ignoredError sqref="B258:B273"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J6:J9"/>
  <sheetViews>
    <sheetView workbookViewId="0">
      <selection activeCell="J10" sqref="J10"/>
    </sheetView>
  </sheetViews>
  <sheetFormatPr defaultRowHeight="14.5" x14ac:dyDescent="0.35"/>
  <sheetData>
    <row r="6" spans="10:10" x14ac:dyDescent="0.35">
      <c r="J6" t="s">
        <v>398</v>
      </c>
    </row>
    <row r="7" spans="10:10" x14ac:dyDescent="0.35">
      <c r="J7" t="s">
        <v>399</v>
      </c>
    </row>
    <row r="8" spans="10:10" x14ac:dyDescent="0.35">
      <c r="J8" t="s">
        <v>400</v>
      </c>
    </row>
    <row r="9" spans="10:10" x14ac:dyDescent="0.35">
      <c r="J9" t="s">
        <v>401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rgb="FFFFF2CC"/>
  </sheetPr>
  <dimension ref="A1"/>
  <sheetViews>
    <sheetView workbookViewId="0">
      <selection activeCell="N9" sqref="N9"/>
    </sheetView>
  </sheetViews>
  <sheetFormatPr defaultRowHeight="14.5" x14ac:dyDescent="0.3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wDB">
    <tabColor theme="0" tint="-0.14999847407452621"/>
  </sheetPr>
  <dimension ref="A1:BY399"/>
  <sheetViews>
    <sheetView showGridLines="0" zoomScale="130" zoomScaleNormal="130" workbookViewId="0">
      <pane xSplit="2" ySplit="1" topLeftCell="C2" activePane="bottomRight" state="frozen"/>
      <selection activeCell="C2" sqref="C2"/>
      <selection pane="topRight" activeCell="C2" sqref="C2"/>
      <selection pane="bottomLeft" activeCell="C2" sqref="C2"/>
      <selection pane="bottomRight" activeCell="C2" sqref="C2"/>
    </sheetView>
  </sheetViews>
  <sheetFormatPr defaultRowHeight="14.5" outlineLevelRow="1" outlineLevelCol="1" x14ac:dyDescent="0.35"/>
  <cols>
    <col min="1" max="1" width="31" customWidth="1"/>
    <col min="2" max="2" width="29.54296875" customWidth="1"/>
    <col min="3" max="3" width="28.81640625" customWidth="1"/>
    <col min="4" max="7" width="18.7265625" customWidth="1"/>
    <col min="8" max="8" width="22" customWidth="1"/>
    <col min="9" max="9" width="9.26953125" bestFit="1" customWidth="1"/>
    <col min="10" max="10" width="18.7265625" customWidth="1"/>
    <col min="11" max="11" width="39.26953125" customWidth="1"/>
    <col min="12" max="12" width="40.54296875" customWidth="1"/>
    <col min="13" max="13" width="18.7265625" customWidth="1"/>
    <col min="14" max="14" width="23.81640625" customWidth="1"/>
    <col min="15" max="15" width="12.26953125" customWidth="1"/>
    <col min="16" max="16" width="23.1796875" customWidth="1"/>
    <col min="17" max="17" width="18.453125" customWidth="1" outlineLevel="1"/>
    <col min="18" max="18" width="9.26953125" customWidth="1" outlineLevel="1"/>
    <col min="19" max="19" width="19" customWidth="1" outlineLevel="1"/>
    <col min="20" max="20" width="15.7265625" customWidth="1" outlineLevel="1"/>
    <col min="21" max="21" width="19" customWidth="1" outlineLevel="1"/>
    <col min="22" max="22" width="24.81640625" customWidth="1" outlineLevel="1"/>
    <col min="23" max="23" width="25" customWidth="1" outlineLevel="1"/>
    <col min="24" max="24" width="25.1796875" customWidth="1" outlineLevel="1"/>
    <col min="25" max="25" width="36.7265625" customWidth="1" outlineLevel="1"/>
    <col min="26" max="27" width="24.81640625" customWidth="1" outlineLevel="1"/>
    <col min="28" max="28" width="39" customWidth="1" outlineLevel="1"/>
    <col min="29" max="32" width="24.81640625" customWidth="1" outlineLevel="1"/>
    <col min="33" max="33" width="9.1796875" customWidth="1" outlineLevel="1"/>
    <col min="34" max="34" width="22" customWidth="1" outlineLevel="1"/>
    <col min="35" max="35" width="20.7265625" customWidth="1" outlineLevel="1"/>
    <col min="36" max="37" width="9.1796875" customWidth="1" outlineLevel="1"/>
    <col min="38" max="41" width="9.26953125" customWidth="1" outlineLevel="1"/>
    <col min="42" max="43" width="9.1796875" customWidth="1" outlineLevel="1"/>
    <col min="44" max="45" width="9.26953125" customWidth="1" outlineLevel="1"/>
    <col min="46" max="46" width="11" customWidth="1" outlineLevel="1"/>
    <col min="47" max="47" width="9.26953125" customWidth="1" outlineLevel="1"/>
    <col min="48" max="48" width="9.1796875" customWidth="1" outlineLevel="1"/>
    <col min="49" max="50" width="10" customWidth="1" outlineLevel="1"/>
    <col min="51" max="51" width="9.1796875" customWidth="1" outlineLevel="1"/>
    <col min="52" max="52" width="16.453125" customWidth="1" outlineLevel="1"/>
    <col min="53" max="59" width="9.1796875" customWidth="1" outlineLevel="1"/>
    <col min="60" max="60" width="43.7265625" customWidth="1" outlineLevel="1"/>
    <col min="61" max="63" width="9.1796875" customWidth="1" outlineLevel="1"/>
    <col min="64" max="64" width="14.26953125" customWidth="1" outlineLevel="1"/>
    <col min="65" max="70" width="9.1796875" style="177" customWidth="1" outlineLevel="1"/>
    <col min="71" max="71" width="21" style="177" customWidth="1" outlineLevel="1"/>
    <col min="72" max="72" width="17.26953125" style="177" customWidth="1" outlineLevel="1"/>
    <col min="73" max="73" width="9.1796875" style="177" customWidth="1" outlineLevel="1"/>
    <col min="74" max="75" width="9.1796875" customWidth="1" outlineLevel="1"/>
  </cols>
  <sheetData>
    <row r="1" spans="1:77" ht="42" customHeight="1" x14ac:dyDescent="0.35">
      <c r="A1" s="8" t="s">
        <v>111</v>
      </c>
      <c r="B1" s="6" t="s">
        <v>108</v>
      </c>
      <c r="C1" s="6" t="s">
        <v>107</v>
      </c>
      <c r="D1" s="6" t="s">
        <v>106</v>
      </c>
      <c r="E1" s="6" t="s">
        <v>109</v>
      </c>
      <c r="F1" s="6" t="s">
        <v>43</v>
      </c>
      <c r="G1" s="6" t="s">
        <v>110</v>
      </c>
      <c r="H1" s="6" t="s">
        <v>6</v>
      </c>
      <c r="I1" s="9" t="s">
        <v>112</v>
      </c>
      <c r="J1" s="4" t="s">
        <v>51</v>
      </c>
      <c r="K1" s="4" t="s">
        <v>52</v>
      </c>
      <c r="L1" s="4" t="s">
        <v>11</v>
      </c>
      <c r="M1" s="4" t="s">
        <v>0</v>
      </c>
      <c r="N1" s="3" t="s">
        <v>7</v>
      </c>
      <c r="O1" s="2" t="s">
        <v>2</v>
      </c>
      <c r="P1" s="2" t="s">
        <v>4</v>
      </c>
      <c r="Q1" s="2" t="s">
        <v>119</v>
      </c>
      <c r="R1" s="2" t="s">
        <v>16</v>
      </c>
      <c r="S1" s="2" t="s">
        <v>67</v>
      </c>
      <c r="T1" s="2" t="s">
        <v>74</v>
      </c>
      <c r="U1" s="2" t="s">
        <v>97</v>
      </c>
      <c r="V1" s="2" t="s">
        <v>98</v>
      </c>
      <c r="W1" s="2" t="s">
        <v>103</v>
      </c>
      <c r="X1" s="2" t="s">
        <v>75</v>
      </c>
      <c r="Y1" s="2" t="s">
        <v>100</v>
      </c>
      <c r="Z1" s="2" t="s">
        <v>102</v>
      </c>
      <c r="AA1" s="2" t="s">
        <v>99</v>
      </c>
      <c r="AB1" s="2" t="s">
        <v>120</v>
      </c>
      <c r="AC1" s="2" t="s">
        <v>38</v>
      </c>
      <c r="AD1" s="2" t="s">
        <v>5</v>
      </c>
      <c r="AE1" s="2" t="s">
        <v>36</v>
      </c>
      <c r="AF1" s="2" t="s">
        <v>77</v>
      </c>
      <c r="AG1" s="2" t="s">
        <v>37</v>
      </c>
      <c r="AH1" s="2" t="s">
        <v>3</v>
      </c>
      <c r="AI1" s="2" t="s">
        <v>39</v>
      </c>
      <c r="AJ1" s="2" t="s">
        <v>40</v>
      </c>
      <c r="AK1" s="2" t="s">
        <v>41</v>
      </c>
      <c r="AL1" s="2" t="s">
        <v>12</v>
      </c>
      <c r="AM1" s="2" t="s">
        <v>8</v>
      </c>
      <c r="AN1" s="2" t="s">
        <v>9</v>
      </c>
      <c r="AO1" s="2" t="s">
        <v>10</v>
      </c>
      <c r="AP1" s="2" t="s">
        <v>104</v>
      </c>
      <c r="AQ1" s="5" t="s">
        <v>25</v>
      </c>
      <c r="AR1" s="4" t="s">
        <v>17</v>
      </c>
      <c r="AS1" s="4" t="s">
        <v>1</v>
      </c>
      <c r="AT1" s="4" t="s">
        <v>13</v>
      </c>
      <c r="AU1" s="4" t="s">
        <v>14</v>
      </c>
      <c r="AV1" s="4" t="s">
        <v>15</v>
      </c>
      <c r="AW1" s="3" t="s">
        <v>73</v>
      </c>
      <c r="AX1" s="2" t="s">
        <v>68</v>
      </c>
      <c r="AY1" s="2" t="s">
        <v>76</v>
      </c>
      <c r="AZ1" s="10" t="s">
        <v>53</v>
      </c>
      <c r="BA1" s="10" t="s">
        <v>54</v>
      </c>
      <c r="BB1" s="10" t="s">
        <v>55</v>
      </c>
      <c r="BC1" s="10" t="s">
        <v>59</v>
      </c>
      <c r="BD1" s="11" t="s">
        <v>227</v>
      </c>
      <c r="BE1" s="11" t="s">
        <v>228</v>
      </c>
      <c r="BF1" s="11" t="s">
        <v>229</v>
      </c>
      <c r="BG1" s="11" t="s">
        <v>230</v>
      </c>
      <c r="BH1" s="14" t="s">
        <v>125</v>
      </c>
      <c r="BI1" s="11" t="s">
        <v>231</v>
      </c>
      <c r="BJ1" s="14" t="s">
        <v>223</v>
      </c>
      <c r="BK1" s="20" t="s">
        <v>232</v>
      </c>
      <c r="BL1" s="20" t="s">
        <v>340</v>
      </c>
      <c r="BM1" s="20" t="s">
        <v>341</v>
      </c>
      <c r="BN1" s="20" t="s">
        <v>342</v>
      </c>
      <c r="BO1" s="20" t="s">
        <v>343</v>
      </c>
      <c r="BP1" s="20" t="s">
        <v>344</v>
      </c>
      <c r="BQ1" s="20" t="s">
        <v>345</v>
      </c>
      <c r="BR1" s="20" t="s">
        <v>346</v>
      </c>
      <c r="BS1" s="20" t="s">
        <v>347</v>
      </c>
      <c r="BT1" s="20" t="s">
        <v>348</v>
      </c>
      <c r="BU1" s="20" t="s">
        <v>349</v>
      </c>
      <c r="BV1" s="20" t="s">
        <v>604</v>
      </c>
      <c r="BW1" s="20" t="s">
        <v>605</v>
      </c>
      <c r="BX1" s="20" t="s">
        <v>713</v>
      </c>
      <c r="BY1" s="20" t="s">
        <v>715</v>
      </c>
    </row>
    <row r="5" spans="1:77" x14ac:dyDescent="0.35">
      <c r="D5" s="7"/>
    </row>
    <row r="7" spans="1:77" x14ac:dyDescent="0.35">
      <c r="D7" t="s">
        <v>118</v>
      </c>
    </row>
    <row r="9" spans="1:77" x14ac:dyDescent="0.35">
      <c r="I9" t="str">
        <f>IF(D9="Pris",IF(ISNUMBER(G9),G9,""),"")</f>
        <v/>
      </c>
      <c r="P9" t="str">
        <f>IFERROR(LEFT(BX9,FIND(" ",BX9)-1),"")</f>
        <v/>
      </c>
      <c r="BH9" t="str">
        <f t="shared" ref="BH9:BH46" si="0">C9&amp;H9</f>
        <v/>
      </c>
      <c r="BL9" t="str">
        <f>IFERROR(INDEX(BL$66:BL$122,MATCH($BH9,$BH$66:$BH$122,0)),"")</f>
        <v/>
      </c>
    </row>
    <row r="10" spans="1:77" ht="15" customHeight="1" x14ac:dyDescent="0.35">
      <c r="A10" s="8" t="s">
        <v>111</v>
      </c>
      <c r="B10" s="6" t="s">
        <v>108</v>
      </c>
      <c r="C10" s="6" t="s">
        <v>107</v>
      </c>
      <c r="D10" s="6" t="s">
        <v>106</v>
      </c>
      <c r="E10" s="6" t="s">
        <v>109</v>
      </c>
      <c r="F10" s="6" t="s">
        <v>43</v>
      </c>
      <c r="G10" s="6" t="s">
        <v>110</v>
      </c>
      <c r="H10" s="6" t="s">
        <v>6</v>
      </c>
      <c r="I10" s="9" t="s">
        <v>112</v>
      </c>
      <c r="J10" s="4" t="s">
        <v>51</v>
      </c>
      <c r="K10" s="4" t="s">
        <v>52</v>
      </c>
      <c r="L10" s="4" t="s">
        <v>11</v>
      </c>
      <c r="M10" s="4" t="s">
        <v>0</v>
      </c>
      <c r="N10" s="3" t="s">
        <v>7</v>
      </c>
      <c r="O10" s="2" t="s">
        <v>2</v>
      </c>
      <c r="P10" s="2" t="s">
        <v>4</v>
      </c>
      <c r="Q10" s="2" t="s">
        <v>119</v>
      </c>
      <c r="R10" s="2" t="s">
        <v>16</v>
      </c>
      <c r="S10" s="2" t="s">
        <v>67</v>
      </c>
      <c r="T10" s="2" t="s">
        <v>74</v>
      </c>
      <c r="U10" s="2" t="s">
        <v>97</v>
      </c>
      <c r="V10" s="2" t="s">
        <v>98</v>
      </c>
      <c r="W10" s="2" t="s">
        <v>103</v>
      </c>
      <c r="X10" s="2" t="s">
        <v>75</v>
      </c>
      <c r="Y10" s="2" t="s">
        <v>100</v>
      </c>
      <c r="Z10" s="2" t="s">
        <v>102</v>
      </c>
      <c r="AA10" s="2" t="s">
        <v>99</v>
      </c>
      <c r="AB10" s="2" t="s">
        <v>120</v>
      </c>
      <c r="AC10" s="2" t="s">
        <v>38</v>
      </c>
      <c r="AD10" s="2" t="s">
        <v>5</v>
      </c>
      <c r="AE10" s="2" t="s">
        <v>36</v>
      </c>
      <c r="AF10" s="2" t="s">
        <v>77</v>
      </c>
      <c r="AG10" s="2" t="s">
        <v>37</v>
      </c>
      <c r="AH10" s="2" t="s">
        <v>3</v>
      </c>
      <c r="AI10" s="2" t="s">
        <v>39</v>
      </c>
      <c r="AJ10" s="2" t="s">
        <v>40</v>
      </c>
      <c r="AK10" s="2" t="s">
        <v>41</v>
      </c>
      <c r="AL10" s="2" t="s">
        <v>12</v>
      </c>
      <c r="AM10" s="2" t="s">
        <v>8</v>
      </c>
      <c r="AN10" s="2" t="s">
        <v>9</v>
      </c>
      <c r="AO10" s="2" t="s">
        <v>10</v>
      </c>
      <c r="AP10" s="2" t="s">
        <v>104</v>
      </c>
      <c r="AQ10" s="5" t="s">
        <v>25</v>
      </c>
      <c r="AR10" s="4" t="s">
        <v>17</v>
      </c>
      <c r="AS10" s="4" t="s">
        <v>1</v>
      </c>
      <c r="AT10" s="4" t="s">
        <v>13</v>
      </c>
      <c r="AU10" s="4" t="s">
        <v>14</v>
      </c>
      <c r="AV10" s="4" t="s">
        <v>15</v>
      </c>
      <c r="AW10" s="3" t="s">
        <v>73</v>
      </c>
      <c r="AX10" s="2" t="s">
        <v>68</v>
      </c>
      <c r="AY10" s="2" t="s">
        <v>76</v>
      </c>
      <c r="AZ10" s="10" t="s">
        <v>53</v>
      </c>
      <c r="BA10" s="193" t="s">
        <v>54</v>
      </c>
      <c r="BB10" s="193" t="s">
        <v>55</v>
      </c>
      <c r="BC10" s="193" t="s">
        <v>59</v>
      </c>
      <c r="BD10" s="194" t="s">
        <v>227</v>
      </c>
      <c r="BE10" s="194" t="s">
        <v>228</v>
      </c>
      <c r="BF10" s="194" t="s">
        <v>229</v>
      </c>
      <c r="BG10" s="194" t="s">
        <v>230</v>
      </c>
      <c r="BH10" s="14" t="s">
        <v>125</v>
      </c>
      <c r="BI10" s="11" t="s">
        <v>231</v>
      </c>
      <c r="BJ10" s="14" t="s">
        <v>223</v>
      </c>
      <c r="BK10" s="20" t="s">
        <v>232</v>
      </c>
      <c r="BL10" s="20" t="s">
        <v>340</v>
      </c>
      <c r="BM10" s="20" t="s">
        <v>341</v>
      </c>
      <c r="BN10" s="20" t="s">
        <v>342</v>
      </c>
      <c r="BO10" s="20" t="s">
        <v>343</v>
      </c>
      <c r="BP10" s="20" t="s">
        <v>344</v>
      </c>
      <c r="BQ10" s="20" t="s">
        <v>345</v>
      </c>
      <c r="BR10" s="20" t="s">
        <v>346</v>
      </c>
      <c r="BS10" s="20" t="s">
        <v>347</v>
      </c>
      <c r="BT10" s="20" t="s">
        <v>348</v>
      </c>
      <c r="BU10" s="20" t="s">
        <v>349</v>
      </c>
      <c r="BV10" s="20" t="s">
        <v>604</v>
      </c>
      <c r="BW10" s="20" t="s">
        <v>605</v>
      </c>
      <c r="BX10" s="20" t="s">
        <v>713</v>
      </c>
      <c r="BY10" s="20" t="s">
        <v>715</v>
      </c>
    </row>
    <row r="11" spans="1:77" ht="15" customHeight="1" x14ac:dyDescent="0.35">
      <c r="A11" t="s">
        <v>607</v>
      </c>
      <c r="B11" t="s">
        <v>127</v>
      </c>
      <c r="C11" t="s">
        <v>44</v>
      </c>
      <c r="H11" t="s">
        <v>162</v>
      </c>
      <c r="I11" s="175">
        <v>8880</v>
      </c>
      <c r="J11" t="s">
        <v>60</v>
      </c>
      <c r="K11" t="s">
        <v>608</v>
      </c>
      <c r="L11" t="s">
        <v>609</v>
      </c>
      <c r="M11">
        <v>2021</v>
      </c>
      <c r="N11">
        <v>14</v>
      </c>
      <c r="O11" t="s">
        <v>71</v>
      </c>
      <c r="P11" t="s">
        <v>65</v>
      </c>
      <c r="Q11">
        <v>16</v>
      </c>
      <c r="R11">
        <v>256</v>
      </c>
      <c r="S11">
        <v>4</v>
      </c>
      <c r="T11">
        <v>1</v>
      </c>
      <c r="U11" t="s">
        <v>84</v>
      </c>
      <c r="V11" t="s">
        <v>78</v>
      </c>
      <c r="W11" t="s">
        <v>86</v>
      </c>
      <c r="X11">
        <v>5.3</v>
      </c>
      <c r="Y11" t="s">
        <v>69</v>
      </c>
      <c r="Z11" t="s">
        <v>69</v>
      </c>
      <c r="AA11" t="s">
        <v>69</v>
      </c>
      <c r="AB11">
        <v>11</v>
      </c>
      <c r="AC11" t="s">
        <v>527</v>
      </c>
      <c r="AD11" t="s">
        <v>69</v>
      </c>
      <c r="AE11" t="s">
        <v>69</v>
      </c>
      <c r="AF11" t="s">
        <v>87</v>
      </c>
      <c r="AG11" t="s">
        <v>69</v>
      </c>
      <c r="AH11" t="s">
        <v>567</v>
      </c>
      <c r="AI11" t="s">
        <v>88</v>
      </c>
      <c r="AJ11" t="s">
        <v>69</v>
      </c>
      <c r="AK11" t="s">
        <v>69</v>
      </c>
      <c r="AL11">
        <v>1.38</v>
      </c>
      <c r="AM11">
        <v>1.99</v>
      </c>
      <c r="AN11">
        <v>32.19</v>
      </c>
      <c r="AO11">
        <v>21.39</v>
      </c>
      <c r="AP11" t="s">
        <v>131</v>
      </c>
      <c r="AZ11">
        <v>60</v>
      </c>
      <c r="BA11">
        <v>218</v>
      </c>
      <c r="BB11">
        <v>251</v>
      </c>
      <c r="BC11">
        <v>1462</v>
      </c>
      <c r="BE11">
        <v>226</v>
      </c>
      <c r="BF11">
        <v>112</v>
      </c>
      <c r="BG11">
        <v>50</v>
      </c>
      <c r="BH11" t="str">
        <f t="shared" si="0"/>
        <v>Offererad produktnr. 01Advania Sverige AB</v>
      </c>
      <c r="BI11">
        <v>50</v>
      </c>
      <c r="BL11" t="s">
        <v>590</v>
      </c>
      <c r="BM11" t="s">
        <v>610</v>
      </c>
      <c r="BN11" t="s">
        <v>611</v>
      </c>
      <c r="BO11" t="s">
        <v>60</v>
      </c>
      <c r="BP11"/>
      <c r="BQ11" t="s">
        <v>612</v>
      </c>
      <c r="BR11" t="s">
        <v>613</v>
      </c>
      <c r="BS11" t="s">
        <v>614</v>
      </c>
      <c r="BT11" t="s">
        <v>615</v>
      </c>
      <c r="BU11"/>
      <c r="BW11" t="s">
        <v>606</v>
      </c>
      <c r="BX11" t="s">
        <v>687</v>
      </c>
      <c r="BY11">
        <v>5</v>
      </c>
    </row>
    <row r="12" spans="1:77" ht="15" customHeight="1" x14ac:dyDescent="0.35">
      <c r="A12" t="s">
        <v>607</v>
      </c>
      <c r="B12" t="s">
        <v>127</v>
      </c>
      <c r="C12" t="s">
        <v>72</v>
      </c>
      <c r="H12" t="s">
        <v>162</v>
      </c>
      <c r="I12" s="175">
        <v>9324</v>
      </c>
      <c r="J12" t="s">
        <v>60</v>
      </c>
      <c r="K12" t="s">
        <v>616</v>
      </c>
      <c r="L12" s="177" t="s">
        <v>617</v>
      </c>
      <c r="M12">
        <v>2021</v>
      </c>
      <c r="N12">
        <v>14</v>
      </c>
      <c r="O12" t="s">
        <v>71</v>
      </c>
      <c r="P12" t="s">
        <v>569</v>
      </c>
      <c r="Q12">
        <v>16</v>
      </c>
      <c r="R12">
        <v>256</v>
      </c>
      <c r="S12">
        <v>4</v>
      </c>
      <c r="T12">
        <v>1</v>
      </c>
      <c r="U12" t="s">
        <v>84</v>
      </c>
      <c r="V12" t="s">
        <v>78</v>
      </c>
      <c r="W12" t="s">
        <v>79</v>
      </c>
      <c r="X12">
        <v>5.2</v>
      </c>
      <c r="Y12" t="s">
        <v>69</v>
      </c>
      <c r="Z12" t="s">
        <v>69</v>
      </c>
      <c r="AA12" t="s">
        <v>69</v>
      </c>
      <c r="AB12">
        <v>11</v>
      </c>
      <c r="AC12" t="s">
        <v>527</v>
      </c>
      <c r="AD12" t="s">
        <v>69</v>
      </c>
      <c r="AE12" t="s">
        <v>69</v>
      </c>
      <c r="AF12" t="s">
        <v>87</v>
      </c>
      <c r="AG12" t="s">
        <v>69</v>
      </c>
      <c r="AH12" t="s">
        <v>567</v>
      </c>
      <c r="AI12" t="s">
        <v>88</v>
      </c>
      <c r="AJ12" t="s">
        <v>69</v>
      </c>
      <c r="AK12" t="s">
        <v>69</v>
      </c>
      <c r="AL12">
        <v>1.38</v>
      </c>
      <c r="AM12">
        <v>1.99</v>
      </c>
      <c r="AN12">
        <v>32.19</v>
      </c>
      <c r="AO12">
        <v>21.39</v>
      </c>
      <c r="AP12" t="s">
        <v>131</v>
      </c>
      <c r="AZ12">
        <v>60</v>
      </c>
      <c r="BA12">
        <v>218</v>
      </c>
      <c r="BB12">
        <v>251</v>
      </c>
      <c r="BC12">
        <v>1462</v>
      </c>
      <c r="BE12">
        <v>226</v>
      </c>
      <c r="BF12">
        <v>112</v>
      </c>
      <c r="BG12">
        <v>50</v>
      </c>
      <c r="BH12" t="str">
        <f t="shared" si="0"/>
        <v>Offererad produktnr. 02Advania Sverige AB</v>
      </c>
      <c r="BI12">
        <v>50</v>
      </c>
      <c r="BL12" t="s">
        <v>590</v>
      </c>
      <c r="BM12" t="s">
        <v>610</v>
      </c>
      <c r="BN12" t="s">
        <v>611</v>
      </c>
      <c r="BO12" t="s">
        <v>60</v>
      </c>
      <c r="BP12"/>
      <c r="BQ12" t="s">
        <v>612</v>
      </c>
      <c r="BR12" t="s">
        <v>613</v>
      </c>
      <c r="BS12" t="s">
        <v>614</v>
      </c>
      <c r="BT12" t="s">
        <v>615</v>
      </c>
      <c r="BU12"/>
      <c r="BW12" t="s">
        <v>606</v>
      </c>
      <c r="BX12" t="s">
        <v>688</v>
      </c>
      <c r="BY12">
        <v>5.12</v>
      </c>
    </row>
    <row r="13" spans="1:77" ht="15" customHeight="1" x14ac:dyDescent="0.35">
      <c r="A13" t="s">
        <v>607</v>
      </c>
      <c r="B13" t="s">
        <v>127</v>
      </c>
      <c r="C13" t="s">
        <v>45</v>
      </c>
      <c r="H13" t="s">
        <v>162</v>
      </c>
      <c r="I13" s="175">
        <v>10608</v>
      </c>
      <c r="J13" t="s">
        <v>60</v>
      </c>
      <c r="K13" t="s">
        <v>618</v>
      </c>
      <c r="L13" t="s">
        <v>619</v>
      </c>
      <c r="M13">
        <v>2021</v>
      </c>
      <c r="N13">
        <v>14</v>
      </c>
      <c r="O13" t="s">
        <v>71</v>
      </c>
      <c r="P13" t="s">
        <v>66</v>
      </c>
      <c r="Q13">
        <v>16</v>
      </c>
      <c r="R13">
        <v>512</v>
      </c>
      <c r="S13">
        <v>4</v>
      </c>
      <c r="T13">
        <v>1</v>
      </c>
      <c r="U13" t="s">
        <v>84</v>
      </c>
      <c r="V13" t="s">
        <v>78</v>
      </c>
      <c r="W13" t="s">
        <v>86</v>
      </c>
      <c r="X13">
        <v>5.2</v>
      </c>
      <c r="Y13" t="s">
        <v>69</v>
      </c>
      <c r="Z13" t="s">
        <v>69</v>
      </c>
      <c r="AA13" t="s">
        <v>69</v>
      </c>
      <c r="AB13">
        <v>11</v>
      </c>
      <c r="AC13" t="s">
        <v>527</v>
      </c>
      <c r="AD13" t="s">
        <v>69</v>
      </c>
      <c r="AE13" t="s">
        <v>69</v>
      </c>
      <c r="AF13" t="s">
        <v>87</v>
      </c>
      <c r="AG13" t="s">
        <v>69</v>
      </c>
      <c r="AH13" t="s">
        <v>567</v>
      </c>
      <c r="AI13" t="s">
        <v>88</v>
      </c>
      <c r="AJ13" t="s">
        <v>69</v>
      </c>
      <c r="AK13" t="s">
        <v>69</v>
      </c>
      <c r="AL13">
        <v>1.38</v>
      </c>
      <c r="AM13">
        <v>1.99</v>
      </c>
      <c r="AN13">
        <v>32.19</v>
      </c>
      <c r="AO13">
        <v>21.39</v>
      </c>
      <c r="AP13" t="s">
        <v>131</v>
      </c>
      <c r="AZ13">
        <v>60</v>
      </c>
      <c r="BA13">
        <v>218</v>
      </c>
      <c r="BB13">
        <v>251</v>
      </c>
      <c r="BC13">
        <v>1462</v>
      </c>
      <c r="BE13">
        <v>226</v>
      </c>
      <c r="BF13">
        <v>112</v>
      </c>
      <c r="BG13">
        <v>50</v>
      </c>
      <c r="BH13" t="str">
        <f t="shared" si="0"/>
        <v>Offererad produktnr. 03Advania Sverige AB</v>
      </c>
      <c r="BI13">
        <v>50</v>
      </c>
      <c r="BL13" t="s">
        <v>590</v>
      </c>
      <c r="BM13" t="s">
        <v>610</v>
      </c>
      <c r="BN13" t="s">
        <v>611</v>
      </c>
      <c r="BO13" t="s">
        <v>60</v>
      </c>
      <c r="BP13"/>
      <c r="BQ13" t="s">
        <v>612</v>
      </c>
      <c r="BR13" t="s">
        <v>613</v>
      </c>
      <c r="BS13" t="s">
        <v>614</v>
      </c>
      <c r="BT13" t="s">
        <v>615</v>
      </c>
      <c r="BU13"/>
      <c r="BW13" t="s">
        <v>606</v>
      </c>
      <c r="BX13" t="s">
        <v>687</v>
      </c>
      <c r="BY13">
        <v>7</v>
      </c>
    </row>
    <row r="14" spans="1:77" ht="15" customHeight="1" x14ac:dyDescent="0.35">
      <c r="A14" t="s">
        <v>607</v>
      </c>
      <c r="B14" t="s">
        <v>127</v>
      </c>
      <c r="C14" t="s">
        <v>46</v>
      </c>
      <c r="H14" t="s">
        <v>162</v>
      </c>
      <c r="I14" s="175">
        <v>11474</v>
      </c>
      <c r="J14" t="s">
        <v>60</v>
      </c>
      <c r="K14" t="s">
        <v>620</v>
      </c>
      <c r="L14" t="s">
        <v>570</v>
      </c>
      <c r="M14">
        <v>2021</v>
      </c>
      <c r="N14">
        <v>14</v>
      </c>
      <c r="O14" t="s">
        <v>71</v>
      </c>
      <c r="P14" t="s">
        <v>571</v>
      </c>
      <c r="Q14">
        <v>16</v>
      </c>
      <c r="R14">
        <v>512</v>
      </c>
      <c r="S14">
        <v>4</v>
      </c>
      <c r="T14">
        <v>2</v>
      </c>
      <c r="U14" t="s">
        <v>84</v>
      </c>
      <c r="V14" t="s">
        <v>78</v>
      </c>
      <c r="W14" t="s">
        <v>86</v>
      </c>
      <c r="X14">
        <v>5.2</v>
      </c>
      <c r="Y14" t="s">
        <v>69</v>
      </c>
      <c r="Z14" t="s">
        <v>69</v>
      </c>
      <c r="AA14" t="s">
        <v>69</v>
      </c>
      <c r="AB14">
        <v>11</v>
      </c>
      <c r="AC14" t="s">
        <v>527</v>
      </c>
      <c r="AD14" t="s">
        <v>69</v>
      </c>
      <c r="AE14" t="s">
        <v>69</v>
      </c>
      <c r="AF14" t="s">
        <v>87</v>
      </c>
      <c r="AG14" t="s">
        <v>69</v>
      </c>
      <c r="AH14" t="s">
        <v>567</v>
      </c>
      <c r="AI14" t="s">
        <v>88</v>
      </c>
      <c r="AJ14" t="s">
        <v>69</v>
      </c>
      <c r="AK14" t="s">
        <v>69</v>
      </c>
      <c r="AL14">
        <v>1.39</v>
      </c>
      <c r="AM14">
        <v>1.7</v>
      </c>
      <c r="AN14">
        <v>31.86</v>
      </c>
      <c r="AO14">
        <v>22.4</v>
      </c>
      <c r="AP14" t="s">
        <v>133</v>
      </c>
      <c r="AZ14">
        <v>60</v>
      </c>
      <c r="BA14">
        <v>218</v>
      </c>
      <c r="BB14">
        <v>251</v>
      </c>
      <c r="BC14">
        <v>1462</v>
      </c>
      <c r="BE14">
        <v>226</v>
      </c>
      <c r="BF14">
        <v>112</v>
      </c>
      <c r="BG14">
        <v>50</v>
      </c>
      <c r="BH14" t="str">
        <f t="shared" si="0"/>
        <v>Offererad produktnr. 04Advania Sverige AB</v>
      </c>
      <c r="BI14">
        <v>50</v>
      </c>
      <c r="BL14" t="s">
        <v>590</v>
      </c>
      <c r="BM14" t="s">
        <v>621</v>
      </c>
      <c r="BN14" t="s">
        <v>611</v>
      </c>
      <c r="BO14" t="s">
        <v>60</v>
      </c>
      <c r="BP14"/>
      <c r="BQ14" t="s">
        <v>612</v>
      </c>
      <c r="BR14" t="s">
        <v>622</v>
      </c>
      <c r="BS14" t="s">
        <v>614</v>
      </c>
      <c r="BT14" t="s">
        <v>615</v>
      </c>
      <c r="BU14"/>
      <c r="BW14" t="s">
        <v>606</v>
      </c>
      <c r="BX14" t="s">
        <v>688</v>
      </c>
      <c r="BY14">
        <v>7.12</v>
      </c>
    </row>
    <row r="15" spans="1:77" ht="15" customHeight="1" x14ac:dyDescent="0.35">
      <c r="A15" t="s">
        <v>607</v>
      </c>
      <c r="B15" t="s">
        <v>134</v>
      </c>
      <c r="C15" t="s">
        <v>47</v>
      </c>
      <c r="H15" t="s">
        <v>162</v>
      </c>
      <c r="I15" s="175">
        <v>3996</v>
      </c>
      <c r="J15" t="s">
        <v>60</v>
      </c>
      <c r="K15" t="s">
        <v>135</v>
      </c>
      <c r="L15" t="s">
        <v>136</v>
      </c>
      <c r="M15">
        <v>2021</v>
      </c>
      <c r="N15">
        <v>11.6</v>
      </c>
      <c r="O15" t="s">
        <v>706</v>
      </c>
      <c r="P15" t="s">
        <v>81</v>
      </c>
      <c r="Q15">
        <v>4</v>
      </c>
      <c r="R15">
        <v>32</v>
      </c>
      <c r="S15">
        <v>3</v>
      </c>
      <c r="T15">
        <v>1</v>
      </c>
      <c r="W15" t="s">
        <v>79</v>
      </c>
      <c r="X15">
        <v>5</v>
      </c>
      <c r="Y15" t="s">
        <v>69</v>
      </c>
      <c r="Z15" t="s">
        <v>69</v>
      </c>
      <c r="AB15">
        <v>11</v>
      </c>
      <c r="AC15" t="s">
        <v>527</v>
      </c>
      <c r="AD15" t="s">
        <v>69</v>
      </c>
      <c r="AE15" t="s">
        <v>69</v>
      </c>
      <c r="AF15" t="s">
        <v>87</v>
      </c>
      <c r="AG15" t="s">
        <v>69</v>
      </c>
      <c r="AH15" t="s">
        <v>82</v>
      </c>
      <c r="AI15" t="s">
        <v>89</v>
      </c>
      <c r="AJ15" t="s">
        <v>69</v>
      </c>
      <c r="AK15" t="s">
        <v>69</v>
      </c>
      <c r="AL15">
        <v>1.25</v>
      </c>
      <c r="AM15">
        <v>1.99</v>
      </c>
      <c r="AN15">
        <v>28.9</v>
      </c>
      <c r="AO15">
        <v>20.2</v>
      </c>
      <c r="AP15" t="s">
        <v>139</v>
      </c>
      <c r="AZ15">
        <v>64</v>
      </c>
      <c r="BA15">
        <v>213</v>
      </c>
      <c r="BB15">
        <v>251</v>
      </c>
      <c r="BE15">
        <v>594</v>
      </c>
      <c r="BF15">
        <v>112</v>
      </c>
      <c r="BG15">
        <v>50</v>
      </c>
      <c r="BH15" t="str">
        <f t="shared" si="0"/>
        <v>Offererad produktnr. 05Advania Sverige AB</v>
      </c>
      <c r="BI15">
        <v>50</v>
      </c>
      <c r="BL15" t="s">
        <v>590</v>
      </c>
      <c r="BM15" t="s">
        <v>610</v>
      </c>
      <c r="BN15" t="s">
        <v>611</v>
      </c>
      <c r="BO15"/>
      <c r="BP15"/>
      <c r="BQ15" t="s">
        <v>623</v>
      </c>
      <c r="BR15" t="s">
        <v>624</v>
      </c>
      <c r="BS15" t="s">
        <v>614</v>
      </c>
      <c r="BT15"/>
      <c r="BU15"/>
      <c r="BW15" t="s">
        <v>606</v>
      </c>
      <c r="BX15" t="s">
        <v>688</v>
      </c>
      <c r="BY15">
        <v>3</v>
      </c>
    </row>
    <row r="16" spans="1:77" ht="15" customHeight="1" x14ac:dyDescent="0.35">
      <c r="A16" t="s">
        <v>607</v>
      </c>
      <c r="B16" t="s">
        <v>134</v>
      </c>
      <c r="C16" t="s">
        <v>48</v>
      </c>
      <c r="H16" t="s">
        <v>162</v>
      </c>
      <c r="I16" s="175">
        <v>4882</v>
      </c>
      <c r="J16" t="s">
        <v>60</v>
      </c>
      <c r="K16" t="s">
        <v>138</v>
      </c>
      <c r="L16" t="s">
        <v>572</v>
      </c>
      <c r="M16">
        <v>2021</v>
      </c>
      <c r="N16">
        <v>14</v>
      </c>
      <c r="O16" t="s">
        <v>71</v>
      </c>
      <c r="P16" t="s">
        <v>81</v>
      </c>
      <c r="Q16">
        <v>8</v>
      </c>
      <c r="R16">
        <v>64</v>
      </c>
      <c r="S16">
        <v>3</v>
      </c>
      <c r="T16">
        <v>1</v>
      </c>
      <c r="W16" t="s">
        <v>86</v>
      </c>
      <c r="X16">
        <v>5</v>
      </c>
      <c r="Y16" t="s">
        <v>69</v>
      </c>
      <c r="Z16" t="s">
        <v>69</v>
      </c>
      <c r="AB16">
        <v>11</v>
      </c>
      <c r="AC16" t="s">
        <v>527</v>
      </c>
      <c r="AD16" t="s">
        <v>69</v>
      </c>
      <c r="AE16" t="s">
        <v>69</v>
      </c>
      <c r="AF16" t="s">
        <v>87</v>
      </c>
      <c r="AG16" t="s">
        <v>69</v>
      </c>
      <c r="AH16" t="s">
        <v>82</v>
      </c>
      <c r="AI16" t="s">
        <v>89</v>
      </c>
      <c r="AJ16" t="s">
        <v>69</v>
      </c>
      <c r="AK16" t="s">
        <v>69</v>
      </c>
      <c r="AL16">
        <v>1.54</v>
      </c>
      <c r="AM16">
        <v>1.83</v>
      </c>
      <c r="AN16">
        <v>32.65</v>
      </c>
      <c r="AO16">
        <v>22.7</v>
      </c>
      <c r="AP16" t="s">
        <v>139</v>
      </c>
      <c r="AZ16">
        <v>60</v>
      </c>
      <c r="BA16">
        <v>218</v>
      </c>
      <c r="BB16">
        <v>251</v>
      </c>
      <c r="BE16">
        <v>244</v>
      </c>
      <c r="BF16">
        <v>112</v>
      </c>
      <c r="BG16">
        <v>50</v>
      </c>
      <c r="BH16" t="str">
        <f t="shared" si="0"/>
        <v>Offererad produktnr. 06Advania Sverige AB</v>
      </c>
      <c r="BI16">
        <v>50</v>
      </c>
      <c r="BL16" t="s">
        <v>590</v>
      </c>
      <c r="BM16" t="s">
        <v>610</v>
      </c>
      <c r="BN16" t="s">
        <v>611</v>
      </c>
      <c r="BO16"/>
      <c r="BP16"/>
      <c r="BQ16" t="s">
        <v>612</v>
      </c>
      <c r="BR16" t="s">
        <v>613</v>
      </c>
      <c r="BS16" t="s">
        <v>614</v>
      </c>
      <c r="BT16"/>
      <c r="BU16"/>
      <c r="BW16" t="s">
        <v>606</v>
      </c>
      <c r="BX16" t="s">
        <v>688</v>
      </c>
      <c r="BY16">
        <v>3</v>
      </c>
    </row>
    <row r="17" spans="1:77" ht="15" customHeight="1" x14ac:dyDescent="0.35">
      <c r="A17" t="s">
        <v>607</v>
      </c>
      <c r="B17" t="s">
        <v>113</v>
      </c>
      <c r="C17" t="s">
        <v>49</v>
      </c>
      <c r="H17" t="s">
        <v>162</v>
      </c>
      <c r="I17" s="175">
        <v>2084</v>
      </c>
      <c r="J17" t="s">
        <v>61</v>
      </c>
      <c r="K17" t="s">
        <v>625</v>
      </c>
      <c r="L17" t="s">
        <v>626</v>
      </c>
      <c r="N17">
        <v>10.1</v>
      </c>
      <c r="O17" t="s">
        <v>163</v>
      </c>
      <c r="W17" t="s">
        <v>79</v>
      </c>
      <c r="X17">
        <v>5</v>
      </c>
      <c r="Y17" t="s">
        <v>69</v>
      </c>
      <c r="Z17" t="s">
        <v>69</v>
      </c>
      <c r="AB17">
        <v>9</v>
      </c>
      <c r="AD17" t="s">
        <v>69</v>
      </c>
      <c r="AH17" t="s">
        <v>91</v>
      </c>
      <c r="AI17" t="s">
        <v>105</v>
      </c>
      <c r="AK17" t="s">
        <v>69</v>
      </c>
      <c r="AM17">
        <v>23.98</v>
      </c>
      <c r="AN17">
        <v>15.86</v>
      </c>
      <c r="AO17">
        <v>0.85</v>
      </c>
      <c r="AP17" t="s">
        <v>627</v>
      </c>
      <c r="AR17">
        <v>64</v>
      </c>
      <c r="AS17">
        <v>460</v>
      </c>
      <c r="AZ17">
        <v>251</v>
      </c>
      <c r="BA17">
        <v>251</v>
      </c>
      <c r="BB17">
        <v>108</v>
      </c>
      <c r="BC17">
        <v>169</v>
      </c>
      <c r="BD17">
        <v>595</v>
      </c>
      <c r="BE17">
        <v>781</v>
      </c>
      <c r="BF17">
        <v>50</v>
      </c>
      <c r="BG17">
        <v>50</v>
      </c>
      <c r="BH17" t="str">
        <f t="shared" si="0"/>
        <v>Offererad produktnr. 07Advania Sverige AB</v>
      </c>
      <c r="BL17" t="s">
        <v>573</v>
      </c>
      <c r="BM17" t="s">
        <v>573</v>
      </c>
      <c r="BN17" t="s">
        <v>611</v>
      </c>
      <c r="BO17" t="s">
        <v>295</v>
      </c>
      <c r="BP17" t="s">
        <v>296</v>
      </c>
      <c r="BQ17" t="s">
        <v>628</v>
      </c>
      <c r="BR17" t="s">
        <v>629</v>
      </c>
      <c r="BS17" t="s">
        <v>630</v>
      </c>
      <c r="BT17" t="s">
        <v>297</v>
      </c>
      <c r="BU17" t="s">
        <v>631</v>
      </c>
      <c r="BW17" t="s">
        <v>606</v>
      </c>
      <c r="BX17" t="s">
        <v>712</v>
      </c>
    </row>
    <row r="18" spans="1:77" ht="15" customHeight="1" x14ac:dyDescent="0.35">
      <c r="A18" t="s">
        <v>607</v>
      </c>
      <c r="B18" t="s">
        <v>113</v>
      </c>
      <c r="C18" t="s">
        <v>50</v>
      </c>
      <c r="H18" t="s">
        <v>162</v>
      </c>
      <c r="I18" s="175">
        <v>4238</v>
      </c>
      <c r="J18" t="s">
        <v>62</v>
      </c>
      <c r="K18" t="s">
        <v>528</v>
      </c>
      <c r="L18" t="s">
        <v>529</v>
      </c>
      <c r="M18">
        <v>2020</v>
      </c>
      <c r="N18">
        <v>10.199999999999999</v>
      </c>
      <c r="O18" t="s">
        <v>90</v>
      </c>
      <c r="W18" t="s">
        <v>79</v>
      </c>
      <c r="X18">
        <v>4.2</v>
      </c>
      <c r="Y18" t="s">
        <v>69</v>
      </c>
      <c r="Z18" t="s">
        <v>69</v>
      </c>
      <c r="AB18">
        <v>10</v>
      </c>
      <c r="AD18" t="s">
        <v>69</v>
      </c>
      <c r="AH18" t="s">
        <v>96</v>
      </c>
      <c r="AI18" t="s">
        <v>94</v>
      </c>
      <c r="AK18" t="s">
        <v>69</v>
      </c>
      <c r="AM18">
        <v>25.1</v>
      </c>
      <c r="AN18">
        <v>17.399999999999999</v>
      </c>
      <c r="AO18">
        <v>0.8</v>
      </c>
      <c r="AP18" t="s">
        <v>145</v>
      </c>
      <c r="AR18">
        <v>64</v>
      </c>
      <c r="AS18">
        <v>490</v>
      </c>
      <c r="AZ18">
        <v>181</v>
      </c>
      <c r="BA18">
        <v>219</v>
      </c>
      <c r="BB18" s="104">
        <v>144</v>
      </c>
      <c r="BC18">
        <v>169</v>
      </c>
      <c r="BD18">
        <v>595</v>
      </c>
      <c r="BE18">
        <v>781</v>
      </c>
      <c r="BF18">
        <v>50</v>
      </c>
      <c r="BG18">
        <v>50</v>
      </c>
      <c r="BH18" t="str">
        <f t="shared" si="0"/>
        <v>Offererad produktnr. 08Advania Sverige AB</v>
      </c>
      <c r="BL18" t="s">
        <v>573</v>
      </c>
      <c r="BM18" t="s">
        <v>573</v>
      </c>
      <c r="BN18" t="s">
        <v>295</v>
      </c>
      <c r="BO18" t="s">
        <v>295</v>
      </c>
      <c r="BP18" t="s">
        <v>296</v>
      </c>
      <c r="BQ18" t="s">
        <v>632</v>
      </c>
      <c r="BR18" t="s">
        <v>633</v>
      </c>
      <c r="BS18" t="s">
        <v>299</v>
      </c>
      <c r="BT18" t="s">
        <v>297</v>
      </c>
      <c r="BU18" t="s">
        <v>631</v>
      </c>
      <c r="BW18" t="s">
        <v>606</v>
      </c>
      <c r="BX18" t="s">
        <v>712</v>
      </c>
    </row>
    <row r="19" spans="1:77" ht="15" customHeight="1" x14ac:dyDescent="0.35">
      <c r="A19" t="s">
        <v>607</v>
      </c>
      <c r="B19" t="s">
        <v>113</v>
      </c>
      <c r="C19" t="s">
        <v>42</v>
      </c>
      <c r="H19" t="s">
        <v>162</v>
      </c>
      <c r="I19" s="175">
        <v>8671</v>
      </c>
      <c r="J19" t="s">
        <v>70</v>
      </c>
      <c r="K19" t="s">
        <v>634</v>
      </c>
      <c r="L19" t="s">
        <v>635</v>
      </c>
      <c r="N19">
        <v>11</v>
      </c>
      <c r="O19" t="s">
        <v>93</v>
      </c>
      <c r="W19" t="s">
        <v>86</v>
      </c>
      <c r="X19">
        <v>5.3</v>
      </c>
      <c r="Y19" t="s">
        <v>69</v>
      </c>
      <c r="Z19" t="s">
        <v>101</v>
      </c>
      <c r="AB19">
        <v>13</v>
      </c>
      <c r="AD19" t="s">
        <v>69</v>
      </c>
      <c r="AH19" t="s">
        <v>91</v>
      </c>
      <c r="AI19" t="s">
        <v>105</v>
      </c>
      <c r="AK19" t="s">
        <v>69</v>
      </c>
      <c r="AM19">
        <v>25.43</v>
      </c>
      <c r="AN19">
        <v>16.579999999999998</v>
      </c>
      <c r="AO19">
        <v>0.59</v>
      </c>
      <c r="AP19" t="s">
        <v>588</v>
      </c>
      <c r="AR19">
        <v>128</v>
      </c>
      <c r="AS19">
        <v>498</v>
      </c>
      <c r="AZ19" s="104">
        <v>174</v>
      </c>
      <c r="BA19">
        <v>219</v>
      </c>
      <c r="BB19">
        <v>108</v>
      </c>
      <c r="BC19">
        <v>169</v>
      </c>
      <c r="BD19">
        <v>295</v>
      </c>
      <c r="BE19">
        <v>269</v>
      </c>
      <c r="BF19">
        <v>50</v>
      </c>
      <c r="BG19">
        <v>50</v>
      </c>
      <c r="BH19" t="str">
        <f t="shared" si="0"/>
        <v>Offererad produktnr. 09Advania Sverige AB</v>
      </c>
      <c r="BL19" t="s">
        <v>325</v>
      </c>
      <c r="BM19" t="s">
        <v>70</v>
      </c>
      <c r="BN19" t="s">
        <v>611</v>
      </c>
      <c r="BO19" t="s">
        <v>295</v>
      </c>
      <c r="BP19" t="s">
        <v>70</v>
      </c>
      <c r="BQ19" t="s">
        <v>636</v>
      </c>
      <c r="BR19" t="s">
        <v>637</v>
      </c>
      <c r="BS19" t="s">
        <v>630</v>
      </c>
      <c r="BT19" t="s">
        <v>297</v>
      </c>
      <c r="BU19" t="s">
        <v>638</v>
      </c>
      <c r="BW19" t="s">
        <v>606</v>
      </c>
      <c r="BX19" t="s">
        <v>712</v>
      </c>
    </row>
    <row r="20" spans="1:77" ht="15" customHeight="1" x14ac:dyDescent="0.35">
      <c r="A20" t="s">
        <v>607</v>
      </c>
      <c r="B20" t="s">
        <v>113</v>
      </c>
      <c r="C20" t="s">
        <v>56</v>
      </c>
      <c r="H20" t="s">
        <v>162</v>
      </c>
      <c r="I20" s="175">
        <v>6116</v>
      </c>
      <c r="J20" t="s">
        <v>70</v>
      </c>
      <c r="K20" t="s">
        <v>639</v>
      </c>
      <c r="L20" t="s">
        <v>539</v>
      </c>
      <c r="N20">
        <v>11</v>
      </c>
      <c r="O20" t="s">
        <v>93</v>
      </c>
      <c r="W20" t="s">
        <v>86</v>
      </c>
      <c r="X20">
        <v>5.2</v>
      </c>
      <c r="Y20" t="s">
        <v>69</v>
      </c>
      <c r="Z20" t="s">
        <v>101</v>
      </c>
      <c r="AB20">
        <v>13</v>
      </c>
      <c r="AD20" t="s">
        <v>69</v>
      </c>
      <c r="AH20" t="s">
        <v>91</v>
      </c>
      <c r="AI20" t="s">
        <v>105</v>
      </c>
      <c r="AK20" t="s">
        <v>69</v>
      </c>
      <c r="AM20">
        <v>25.38</v>
      </c>
      <c r="AN20">
        <v>16.5</v>
      </c>
      <c r="AO20">
        <v>0.63</v>
      </c>
      <c r="AP20" t="s">
        <v>588</v>
      </c>
      <c r="AR20">
        <v>128</v>
      </c>
      <c r="AS20">
        <v>503</v>
      </c>
      <c r="AZ20" s="104">
        <v>181</v>
      </c>
      <c r="BA20">
        <v>228</v>
      </c>
      <c r="BB20">
        <v>108</v>
      </c>
      <c r="BC20">
        <v>169</v>
      </c>
      <c r="BD20">
        <v>595</v>
      </c>
      <c r="BE20">
        <v>781</v>
      </c>
      <c r="BF20">
        <v>50</v>
      </c>
      <c r="BG20">
        <v>50</v>
      </c>
      <c r="BH20" t="str">
        <f t="shared" si="0"/>
        <v>Offererad produktnr. 10Advania Sverige AB</v>
      </c>
      <c r="BL20" t="s">
        <v>325</v>
      </c>
      <c r="BM20" t="s">
        <v>298</v>
      </c>
      <c r="BN20" t="s">
        <v>611</v>
      </c>
      <c r="BO20" t="s">
        <v>295</v>
      </c>
      <c r="BP20" t="s">
        <v>296</v>
      </c>
      <c r="BQ20" t="s">
        <v>636</v>
      </c>
      <c r="BR20" t="s">
        <v>640</v>
      </c>
      <c r="BS20" t="s">
        <v>630</v>
      </c>
      <c r="BT20" t="s">
        <v>297</v>
      </c>
      <c r="BU20" t="s">
        <v>631</v>
      </c>
      <c r="BW20" t="s">
        <v>606</v>
      </c>
      <c r="BX20" t="s">
        <v>712</v>
      </c>
    </row>
    <row r="21" spans="1:77" ht="15" customHeight="1" x14ac:dyDescent="0.35">
      <c r="A21" t="s">
        <v>607</v>
      </c>
      <c r="B21" t="s">
        <v>114</v>
      </c>
      <c r="C21" t="s">
        <v>58</v>
      </c>
      <c r="H21" t="s">
        <v>162</v>
      </c>
      <c r="I21" s="175">
        <v>1981</v>
      </c>
      <c r="J21" t="s">
        <v>60</v>
      </c>
      <c r="K21" t="s">
        <v>641</v>
      </c>
      <c r="L21" t="s">
        <v>642</v>
      </c>
      <c r="M21">
        <v>2021</v>
      </c>
      <c r="N21">
        <v>24</v>
      </c>
      <c r="O21" t="s">
        <v>71</v>
      </c>
      <c r="S21">
        <v>4</v>
      </c>
      <c r="U21">
        <v>1</v>
      </c>
      <c r="AC21" t="s">
        <v>527</v>
      </c>
      <c r="AF21" t="s">
        <v>87</v>
      </c>
      <c r="AG21" t="s">
        <v>69</v>
      </c>
      <c r="AI21" t="s">
        <v>89</v>
      </c>
      <c r="AK21" t="s">
        <v>69</v>
      </c>
      <c r="AP21" t="s">
        <v>117</v>
      </c>
      <c r="AT21">
        <v>16700000</v>
      </c>
      <c r="AU21">
        <v>250</v>
      </c>
      <c r="AV21" t="s">
        <v>69</v>
      </c>
      <c r="AW21">
        <v>1</v>
      </c>
      <c r="AY21" t="s">
        <v>531</v>
      </c>
      <c r="AZ21">
        <v>639</v>
      </c>
      <c r="BE21">
        <v>101</v>
      </c>
      <c r="BF21">
        <v>50</v>
      </c>
      <c r="BG21">
        <v>50</v>
      </c>
      <c r="BH21" t="str">
        <f t="shared" si="0"/>
        <v>Offererad produktnr. 11Advania Sverige AB</v>
      </c>
      <c r="BL21" t="s">
        <v>573</v>
      </c>
      <c r="BM21"/>
      <c r="BN21"/>
      <c r="BO21"/>
      <c r="BP21"/>
      <c r="BQ21" t="s">
        <v>643</v>
      </c>
      <c r="BR21"/>
      <c r="BS21"/>
      <c r="BT21"/>
      <c r="BU21"/>
      <c r="BW21" t="s">
        <v>606</v>
      </c>
      <c r="BX21" t="s">
        <v>712</v>
      </c>
    </row>
    <row r="22" spans="1:77" ht="15" customHeight="1" x14ac:dyDescent="0.35">
      <c r="A22" t="s">
        <v>607</v>
      </c>
      <c r="B22" t="s">
        <v>114</v>
      </c>
      <c r="C22" t="s">
        <v>57</v>
      </c>
      <c r="H22" t="s">
        <v>162</v>
      </c>
      <c r="I22" s="175">
        <v>3060</v>
      </c>
      <c r="J22" t="s">
        <v>60</v>
      </c>
      <c r="K22" t="s">
        <v>644</v>
      </c>
      <c r="L22" t="s">
        <v>645</v>
      </c>
      <c r="M22">
        <v>2021</v>
      </c>
      <c r="N22">
        <v>27</v>
      </c>
      <c r="O22" t="s">
        <v>92</v>
      </c>
      <c r="S22">
        <v>4</v>
      </c>
      <c r="U22">
        <v>1</v>
      </c>
      <c r="AC22" t="s">
        <v>527</v>
      </c>
      <c r="AF22" t="s">
        <v>87</v>
      </c>
      <c r="AG22" t="s">
        <v>69</v>
      </c>
      <c r="AI22" t="s">
        <v>89</v>
      </c>
      <c r="AK22" t="s">
        <v>69</v>
      </c>
      <c r="AP22" t="s">
        <v>117</v>
      </c>
      <c r="AT22">
        <v>16700000</v>
      </c>
      <c r="AU22">
        <v>350</v>
      </c>
      <c r="AV22" t="s">
        <v>69</v>
      </c>
      <c r="AW22">
        <v>1</v>
      </c>
      <c r="AY22" t="s">
        <v>166</v>
      </c>
      <c r="AZ22">
        <v>815</v>
      </c>
      <c r="BE22">
        <v>101</v>
      </c>
      <c r="BF22">
        <v>50</v>
      </c>
      <c r="BG22">
        <v>50</v>
      </c>
      <c r="BH22" t="str">
        <f t="shared" si="0"/>
        <v>Offererad produktnr. 12Advania Sverige AB</v>
      </c>
      <c r="BL22" t="s">
        <v>573</v>
      </c>
      <c r="BM22"/>
      <c r="BN22"/>
      <c r="BO22"/>
      <c r="BP22"/>
      <c r="BQ22" t="s">
        <v>646</v>
      </c>
      <c r="BR22"/>
      <c r="BS22"/>
      <c r="BT22"/>
      <c r="BU22"/>
      <c r="BW22" t="s">
        <v>606</v>
      </c>
      <c r="BX22" t="s">
        <v>712</v>
      </c>
    </row>
    <row r="23" spans="1:77" ht="15" customHeight="1" x14ac:dyDescent="0.35">
      <c r="A23" t="s">
        <v>647</v>
      </c>
      <c r="B23" t="s">
        <v>127</v>
      </c>
      <c r="C23" t="s">
        <v>44</v>
      </c>
      <c r="H23" t="s">
        <v>150</v>
      </c>
      <c r="I23" s="175">
        <v>11724</v>
      </c>
      <c r="J23" t="s">
        <v>60</v>
      </c>
      <c r="K23" t="s">
        <v>648</v>
      </c>
      <c r="L23" t="s">
        <v>649</v>
      </c>
      <c r="M23">
        <v>2023</v>
      </c>
      <c r="N23">
        <v>14</v>
      </c>
      <c r="O23" t="s">
        <v>71</v>
      </c>
      <c r="P23" t="s">
        <v>711</v>
      </c>
      <c r="Q23">
        <v>16</v>
      </c>
      <c r="R23">
        <v>256</v>
      </c>
      <c r="S23">
        <v>4</v>
      </c>
      <c r="T23">
        <v>2</v>
      </c>
      <c r="U23" t="s">
        <v>84</v>
      </c>
      <c r="V23" t="s">
        <v>78</v>
      </c>
      <c r="W23" t="s">
        <v>86</v>
      </c>
      <c r="X23">
        <v>5.2</v>
      </c>
      <c r="Y23" t="s">
        <v>69</v>
      </c>
      <c r="Z23" t="s">
        <v>69</v>
      </c>
      <c r="AA23" t="s">
        <v>69</v>
      </c>
      <c r="AB23">
        <v>8</v>
      </c>
      <c r="AC23" t="s">
        <v>527</v>
      </c>
      <c r="AD23" t="s">
        <v>69</v>
      </c>
      <c r="AE23" t="s">
        <v>69</v>
      </c>
      <c r="AF23" t="s">
        <v>87</v>
      </c>
      <c r="AG23" t="s">
        <v>69</v>
      </c>
      <c r="AH23" t="s">
        <v>567</v>
      </c>
      <c r="AI23" t="s">
        <v>650</v>
      </c>
      <c r="AJ23" t="s">
        <v>69</v>
      </c>
      <c r="AK23" t="s">
        <v>69</v>
      </c>
      <c r="AL23">
        <v>1.41</v>
      </c>
      <c r="AM23">
        <v>1.99</v>
      </c>
      <c r="AN23">
        <v>32.19</v>
      </c>
      <c r="AO23">
        <v>21.39</v>
      </c>
      <c r="AP23" t="s">
        <v>115</v>
      </c>
      <c r="AZ23">
        <v>134</v>
      </c>
      <c r="BA23">
        <v>449</v>
      </c>
      <c r="BB23">
        <v>241</v>
      </c>
      <c r="BC23">
        <v>1788</v>
      </c>
      <c r="BE23">
        <v>706</v>
      </c>
      <c r="BF23">
        <v>120</v>
      </c>
      <c r="BG23">
        <v>85</v>
      </c>
      <c r="BH23" t="str">
        <f t="shared" si="0"/>
        <v>Offererad produktnr. 01Atea Sverige AB</v>
      </c>
      <c r="BI23">
        <v>100</v>
      </c>
      <c r="BL23" t="s">
        <v>295</v>
      </c>
      <c r="BM23" t="s">
        <v>283</v>
      </c>
      <c r="BN23" t="s">
        <v>60</v>
      </c>
      <c r="BO23" t="s">
        <v>60</v>
      </c>
      <c r="BP23"/>
      <c r="BQ23" t="s">
        <v>574</v>
      </c>
      <c r="BR23" t="s">
        <v>575</v>
      </c>
      <c r="BS23" t="s">
        <v>651</v>
      </c>
      <c r="BT23" t="s">
        <v>576</v>
      </c>
      <c r="BU23"/>
      <c r="BW23" t="s">
        <v>606</v>
      </c>
      <c r="BX23" t="s">
        <v>688</v>
      </c>
      <c r="BY23">
        <v>5.13</v>
      </c>
    </row>
    <row r="24" spans="1:77" ht="15" customHeight="1" x14ac:dyDescent="0.35">
      <c r="A24" t="s">
        <v>647</v>
      </c>
      <c r="B24" t="s">
        <v>127</v>
      </c>
      <c r="C24" t="s">
        <v>72</v>
      </c>
      <c r="H24" t="s">
        <v>150</v>
      </c>
      <c r="I24" s="175">
        <v>14238</v>
      </c>
      <c r="J24" t="s">
        <v>60</v>
      </c>
      <c r="K24" t="s">
        <v>652</v>
      </c>
      <c r="L24" t="s">
        <v>653</v>
      </c>
      <c r="M24">
        <v>2023</v>
      </c>
      <c r="N24">
        <v>14</v>
      </c>
      <c r="O24" t="s">
        <v>163</v>
      </c>
      <c r="P24" t="s">
        <v>711</v>
      </c>
      <c r="Q24">
        <v>16</v>
      </c>
      <c r="R24">
        <v>256</v>
      </c>
      <c r="S24">
        <v>4</v>
      </c>
      <c r="T24">
        <v>2</v>
      </c>
      <c r="U24" t="s">
        <v>84</v>
      </c>
      <c r="V24" t="s">
        <v>85</v>
      </c>
      <c r="W24" t="s">
        <v>86</v>
      </c>
      <c r="X24">
        <v>5.3</v>
      </c>
      <c r="Y24" t="s">
        <v>69</v>
      </c>
      <c r="Z24" t="s">
        <v>69</v>
      </c>
      <c r="AA24" t="s">
        <v>69</v>
      </c>
      <c r="AB24">
        <v>8</v>
      </c>
      <c r="AC24" t="s">
        <v>527</v>
      </c>
      <c r="AD24" t="s">
        <v>69</v>
      </c>
      <c r="AE24" t="s">
        <v>69</v>
      </c>
      <c r="AF24" t="s">
        <v>87</v>
      </c>
      <c r="AG24" t="s">
        <v>69</v>
      </c>
      <c r="AH24" t="s">
        <v>567</v>
      </c>
      <c r="AI24" t="s">
        <v>650</v>
      </c>
      <c r="AJ24" t="s">
        <v>69</v>
      </c>
      <c r="AK24" t="s">
        <v>69</v>
      </c>
      <c r="AL24">
        <v>1.36</v>
      </c>
      <c r="AM24">
        <v>1.92</v>
      </c>
      <c r="AN24">
        <v>31.56</v>
      </c>
      <c r="AO24">
        <v>22.4</v>
      </c>
      <c r="AP24" t="s">
        <v>115</v>
      </c>
      <c r="AZ24">
        <v>134</v>
      </c>
      <c r="BA24">
        <v>449</v>
      </c>
      <c r="BB24">
        <v>241</v>
      </c>
      <c r="BC24">
        <v>1788</v>
      </c>
      <c r="BE24">
        <v>2039</v>
      </c>
      <c r="BF24">
        <v>120</v>
      </c>
      <c r="BG24">
        <v>85</v>
      </c>
      <c r="BH24" t="str">
        <f t="shared" si="0"/>
        <v>Offererad produktnr. 02Atea Sverige AB</v>
      </c>
      <c r="BI24">
        <v>100</v>
      </c>
      <c r="BL24" t="s">
        <v>295</v>
      </c>
      <c r="BM24" t="s">
        <v>283</v>
      </c>
      <c r="BN24" t="s">
        <v>60</v>
      </c>
      <c r="BO24" t="s">
        <v>60</v>
      </c>
      <c r="BP24"/>
      <c r="BQ24" t="s">
        <v>574</v>
      </c>
      <c r="BR24" t="s">
        <v>575</v>
      </c>
      <c r="BS24" t="s">
        <v>651</v>
      </c>
      <c r="BT24" t="s">
        <v>576</v>
      </c>
      <c r="BU24"/>
      <c r="BW24" t="s">
        <v>606</v>
      </c>
      <c r="BX24" t="s">
        <v>688</v>
      </c>
      <c r="BY24">
        <v>5.13</v>
      </c>
    </row>
    <row r="25" spans="1:77" ht="15" customHeight="1" x14ac:dyDescent="0.35">
      <c r="A25" t="s">
        <v>647</v>
      </c>
      <c r="B25" t="s">
        <v>127</v>
      </c>
      <c r="C25" t="s">
        <v>45</v>
      </c>
      <c r="H25" t="s">
        <v>150</v>
      </c>
      <c r="I25" s="175">
        <v>13908</v>
      </c>
      <c r="J25" t="s">
        <v>60</v>
      </c>
      <c r="K25" t="s">
        <v>654</v>
      </c>
      <c r="L25" t="s">
        <v>655</v>
      </c>
      <c r="M25">
        <v>2023</v>
      </c>
      <c r="N25">
        <v>14</v>
      </c>
      <c r="O25" t="s">
        <v>71</v>
      </c>
      <c r="P25" t="s">
        <v>710</v>
      </c>
      <c r="Q25">
        <v>16</v>
      </c>
      <c r="R25">
        <v>512</v>
      </c>
      <c r="S25">
        <v>4</v>
      </c>
      <c r="T25">
        <v>2</v>
      </c>
      <c r="U25" t="s">
        <v>84</v>
      </c>
      <c r="V25" t="s">
        <v>78</v>
      </c>
      <c r="W25" t="s">
        <v>86</v>
      </c>
      <c r="X25">
        <v>5.3</v>
      </c>
      <c r="Y25" t="s">
        <v>69</v>
      </c>
      <c r="Z25" t="s">
        <v>69</v>
      </c>
      <c r="AA25" t="s">
        <v>69</v>
      </c>
      <c r="AB25">
        <v>8</v>
      </c>
      <c r="AC25" t="s">
        <v>527</v>
      </c>
      <c r="AD25" t="s">
        <v>69</v>
      </c>
      <c r="AE25" t="s">
        <v>69</v>
      </c>
      <c r="AF25" t="s">
        <v>87</v>
      </c>
      <c r="AG25" t="s">
        <v>69</v>
      </c>
      <c r="AH25" t="s">
        <v>567</v>
      </c>
      <c r="AI25" t="s">
        <v>650</v>
      </c>
      <c r="AJ25" t="s">
        <v>69</v>
      </c>
      <c r="AK25" t="s">
        <v>69</v>
      </c>
      <c r="AL25">
        <v>1.38</v>
      </c>
      <c r="AM25">
        <v>1.99</v>
      </c>
      <c r="AN25">
        <v>32.19</v>
      </c>
      <c r="AO25">
        <v>21.39</v>
      </c>
      <c r="AP25" t="s">
        <v>115</v>
      </c>
      <c r="AZ25">
        <v>134</v>
      </c>
      <c r="BA25">
        <v>449</v>
      </c>
      <c r="BB25">
        <v>241</v>
      </c>
      <c r="BC25">
        <v>1788</v>
      </c>
      <c r="BE25">
        <v>706</v>
      </c>
      <c r="BF25">
        <v>120</v>
      </c>
      <c r="BG25">
        <v>85</v>
      </c>
      <c r="BH25" t="str">
        <f t="shared" si="0"/>
        <v>Offererad produktnr. 03Atea Sverige AB</v>
      </c>
      <c r="BI25">
        <v>100</v>
      </c>
      <c r="BL25" t="s">
        <v>295</v>
      </c>
      <c r="BM25" t="s">
        <v>283</v>
      </c>
      <c r="BN25" t="s">
        <v>60</v>
      </c>
      <c r="BO25" t="s">
        <v>60</v>
      </c>
      <c r="BP25"/>
      <c r="BQ25" t="s">
        <v>574</v>
      </c>
      <c r="BR25" t="s">
        <v>575</v>
      </c>
      <c r="BS25" t="s">
        <v>651</v>
      </c>
      <c r="BT25" t="s">
        <v>576</v>
      </c>
      <c r="BU25"/>
      <c r="BW25" t="s">
        <v>606</v>
      </c>
      <c r="BX25" t="s">
        <v>688</v>
      </c>
      <c r="BY25">
        <v>7.13</v>
      </c>
    </row>
    <row r="26" spans="1:77" ht="15" customHeight="1" x14ac:dyDescent="0.35">
      <c r="A26" t="s">
        <v>647</v>
      </c>
      <c r="B26" t="s">
        <v>127</v>
      </c>
      <c r="C26" t="s">
        <v>46</v>
      </c>
      <c r="H26" t="s">
        <v>150</v>
      </c>
      <c r="I26" s="175">
        <v>15588</v>
      </c>
      <c r="J26" t="s">
        <v>60</v>
      </c>
      <c r="K26" t="s">
        <v>648</v>
      </c>
      <c r="L26" t="s">
        <v>656</v>
      </c>
      <c r="M26">
        <v>2023</v>
      </c>
      <c r="N26">
        <v>14</v>
      </c>
      <c r="O26" t="s">
        <v>71</v>
      </c>
      <c r="P26" t="s">
        <v>710</v>
      </c>
      <c r="Q26">
        <v>16</v>
      </c>
      <c r="R26">
        <v>512</v>
      </c>
      <c r="S26">
        <v>4</v>
      </c>
      <c r="T26">
        <v>2</v>
      </c>
      <c r="U26" t="s">
        <v>84</v>
      </c>
      <c r="V26" t="s">
        <v>78</v>
      </c>
      <c r="W26" t="s">
        <v>86</v>
      </c>
      <c r="X26">
        <v>5.2</v>
      </c>
      <c r="Y26" t="s">
        <v>69</v>
      </c>
      <c r="Z26" t="s">
        <v>69</v>
      </c>
      <c r="AA26" t="s">
        <v>69</v>
      </c>
      <c r="AB26">
        <v>8</v>
      </c>
      <c r="AC26" t="s">
        <v>527</v>
      </c>
      <c r="AD26" t="s">
        <v>69</v>
      </c>
      <c r="AE26" t="s">
        <v>69</v>
      </c>
      <c r="AF26" t="s">
        <v>87</v>
      </c>
      <c r="AG26" t="s">
        <v>69</v>
      </c>
      <c r="AH26" t="s">
        <v>567</v>
      </c>
      <c r="AI26" t="s">
        <v>650</v>
      </c>
      <c r="AJ26" t="s">
        <v>69</v>
      </c>
      <c r="AK26" t="s">
        <v>69</v>
      </c>
      <c r="AL26">
        <v>1.41</v>
      </c>
      <c r="AM26">
        <v>1.99</v>
      </c>
      <c r="AN26">
        <v>32.19</v>
      </c>
      <c r="AO26">
        <v>21.39</v>
      </c>
      <c r="AP26" t="s">
        <v>115</v>
      </c>
      <c r="AZ26">
        <v>134</v>
      </c>
      <c r="BA26">
        <v>449</v>
      </c>
      <c r="BB26">
        <v>241</v>
      </c>
      <c r="BC26">
        <v>1788</v>
      </c>
      <c r="BE26">
        <v>2039</v>
      </c>
      <c r="BF26">
        <v>120</v>
      </c>
      <c r="BG26">
        <v>85</v>
      </c>
      <c r="BH26" t="str">
        <f t="shared" si="0"/>
        <v>Offererad produktnr. 04Atea Sverige AB</v>
      </c>
      <c r="BI26">
        <v>100</v>
      </c>
      <c r="BL26" t="s">
        <v>295</v>
      </c>
      <c r="BM26" t="s">
        <v>283</v>
      </c>
      <c r="BN26" t="s">
        <v>60</v>
      </c>
      <c r="BO26" t="s">
        <v>60</v>
      </c>
      <c r="BP26"/>
      <c r="BQ26" t="s">
        <v>574</v>
      </c>
      <c r="BR26" t="s">
        <v>575</v>
      </c>
      <c r="BS26" t="s">
        <v>651</v>
      </c>
      <c r="BT26" t="s">
        <v>576</v>
      </c>
      <c r="BU26"/>
      <c r="BW26" t="s">
        <v>606</v>
      </c>
      <c r="BX26" t="s">
        <v>688</v>
      </c>
      <c r="BY26">
        <v>7.13</v>
      </c>
    </row>
    <row r="27" spans="1:77" ht="15" customHeight="1" x14ac:dyDescent="0.35">
      <c r="A27" t="s">
        <v>647</v>
      </c>
      <c r="B27" t="s">
        <v>134</v>
      </c>
      <c r="C27" t="s">
        <v>47</v>
      </c>
      <c r="H27" t="s">
        <v>150</v>
      </c>
      <c r="I27" s="175">
        <v>4802</v>
      </c>
      <c r="J27" t="s">
        <v>61</v>
      </c>
      <c r="K27" t="s">
        <v>153</v>
      </c>
      <c r="L27" t="s">
        <v>657</v>
      </c>
      <c r="M27" t="s">
        <v>154</v>
      </c>
      <c r="N27">
        <v>11.6</v>
      </c>
      <c r="O27" t="s">
        <v>706</v>
      </c>
      <c r="P27" t="s">
        <v>81</v>
      </c>
      <c r="Q27">
        <v>4</v>
      </c>
      <c r="R27">
        <v>32</v>
      </c>
      <c r="S27">
        <v>2</v>
      </c>
      <c r="T27">
        <v>1</v>
      </c>
      <c r="W27" t="s">
        <v>86</v>
      </c>
      <c r="X27">
        <v>5.0999999999999996</v>
      </c>
      <c r="Y27" t="s">
        <v>69</v>
      </c>
      <c r="Z27" t="s">
        <v>69</v>
      </c>
      <c r="AB27">
        <v>11</v>
      </c>
      <c r="AC27" t="s">
        <v>527</v>
      </c>
      <c r="AD27" t="s">
        <v>69</v>
      </c>
      <c r="AE27" t="s">
        <v>69</v>
      </c>
      <c r="AF27" t="s">
        <v>87</v>
      </c>
      <c r="AG27" t="s">
        <v>69</v>
      </c>
      <c r="AH27" t="s">
        <v>82</v>
      </c>
      <c r="AI27" t="s">
        <v>89</v>
      </c>
      <c r="AJ27" t="s">
        <v>69</v>
      </c>
      <c r="AK27" t="s">
        <v>69</v>
      </c>
      <c r="AL27">
        <v>1.21</v>
      </c>
      <c r="AM27">
        <v>1.99</v>
      </c>
      <c r="AN27">
        <v>28.96</v>
      </c>
      <c r="AO27">
        <v>20.2</v>
      </c>
      <c r="AP27" t="s">
        <v>116</v>
      </c>
      <c r="AZ27" s="104">
        <v>145</v>
      </c>
      <c r="BA27">
        <v>431</v>
      </c>
      <c r="BB27">
        <v>361</v>
      </c>
      <c r="BE27">
        <v>728</v>
      </c>
      <c r="BF27">
        <v>120</v>
      </c>
      <c r="BG27">
        <v>85</v>
      </c>
      <c r="BH27" t="str">
        <f t="shared" si="0"/>
        <v>Offererad produktnr. 05Atea Sverige AB</v>
      </c>
      <c r="BI27">
        <v>100</v>
      </c>
      <c r="BL27" t="s">
        <v>303</v>
      </c>
      <c r="BM27" t="s">
        <v>61</v>
      </c>
      <c r="BN27" t="s">
        <v>61</v>
      </c>
      <c r="BO27"/>
      <c r="BP27"/>
      <c r="BQ27" t="s">
        <v>304</v>
      </c>
      <c r="BR27" t="s">
        <v>305</v>
      </c>
      <c r="BS27" t="s">
        <v>306</v>
      </c>
      <c r="BT27"/>
      <c r="BU27"/>
      <c r="BW27" t="s">
        <v>606</v>
      </c>
      <c r="BX27" t="s">
        <v>688</v>
      </c>
      <c r="BY27">
        <v>3</v>
      </c>
    </row>
    <row r="28" spans="1:77" ht="15" customHeight="1" x14ac:dyDescent="0.35">
      <c r="A28" t="s">
        <v>647</v>
      </c>
      <c r="B28" t="s">
        <v>134</v>
      </c>
      <c r="C28" t="s">
        <v>48</v>
      </c>
      <c r="H28" t="s">
        <v>150</v>
      </c>
      <c r="I28" s="175">
        <v>6392</v>
      </c>
      <c r="J28" t="s">
        <v>60</v>
      </c>
      <c r="K28" t="s">
        <v>138</v>
      </c>
      <c r="L28" t="s">
        <v>658</v>
      </c>
      <c r="M28" t="s">
        <v>154</v>
      </c>
      <c r="N28">
        <v>14</v>
      </c>
      <c r="O28" t="s">
        <v>71</v>
      </c>
      <c r="P28" t="s">
        <v>81</v>
      </c>
      <c r="Q28">
        <v>8</v>
      </c>
      <c r="R28">
        <v>64</v>
      </c>
      <c r="S28">
        <v>3</v>
      </c>
      <c r="T28">
        <v>1</v>
      </c>
      <c r="W28" t="s">
        <v>86</v>
      </c>
      <c r="X28">
        <v>5</v>
      </c>
      <c r="Y28" t="s">
        <v>69</v>
      </c>
      <c r="Z28" t="s">
        <v>69</v>
      </c>
      <c r="AB28">
        <v>11</v>
      </c>
      <c r="AC28" t="s">
        <v>527</v>
      </c>
      <c r="AD28" t="s">
        <v>69</v>
      </c>
      <c r="AE28" t="s">
        <v>69</v>
      </c>
      <c r="AF28" t="s">
        <v>87</v>
      </c>
      <c r="AG28" t="s">
        <v>69</v>
      </c>
      <c r="AH28" t="s">
        <v>82</v>
      </c>
      <c r="AI28" t="s">
        <v>89</v>
      </c>
      <c r="AJ28" t="s">
        <v>69</v>
      </c>
      <c r="AK28" t="s">
        <v>69</v>
      </c>
      <c r="AL28">
        <v>1.54</v>
      </c>
      <c r="AM28">
        <v>1.83</v>
      </c>
      <c r="AN28">
        <v>32.619999999999997</v>
      </c>
      <c r="AO28">
        <v>22.7</v>
      </c>
      <c r="AP28" t="s">
        <v>155</v>
      </c>
      <c r="AZ28">
        <v>134</v>
      </c>
      <c r="BA28">
        <v>449</v>
      </c>
      <c r="BB28">
        <v>389</v>
      </c>
      <c r="BE28">
        <v>276</v>
      </c>
      <c r="BF28">
        <v>120</v>
      </c>
      <c r="BG28">
        <v>85</v>
      </c>
      <c r="BH28" t="str">
        <f t="shared" si="0"/>
        <v>Offererad produktnr. 06Atea Sverige AB</v>
      </c>
      <c r="BI28">
        <v>100</v>
      </c>
      <c r="BL28" t="s">
        <v>295</v>
      </c>
      <c r="BM28" t="s">
        <v>283</v>
      </c>
      <c r="BN28" t="s">
        <v>60</v>
      </c>
      <c r="BO28"/>
      <c r="BP28"/>
      <c r="BQ28" t="s">
        <v>659</v>
      </c>
      <c r="BR28" t="s">
        <v>326</v>
      </c>
      <c r="BS28" t="s">
        <v>307</v>
      </c>
      <c r="BT28"/>
      <c r="BU28"/>
      <c r="BW28" t="s">
        <v>606</v>
      </c>
      <c r="BX28" t="s">
        <v>688</v>
      </c>
      <c r="BY28">
        <v>3</v>
      </c>
    </row>
    <row r="29" spans="1:77" ht="15" customHeight="1" x14ac:dyDescent="0.35">
      <c r="A29" t="s">
        <v>647</v>
      </c>
      <c r="B29" t="s">
        <v>113</v>
      </c>
      <c r="C29" t="s">
        <v>49</v>
      </c>
      <c r="H29" t="s">
        <v>150</v>
      </c>
      <c r="I29" s="175">
        <v>9140</v>
      </c>
      <c r="J29" t="s">
        <v>62</v>
      </c>
      <c r="K29" t="s">
        <v>578</v>
      </c>
      <c r="L29" t="s">
        <v>579</v>
      </c>
      <c r="M29" t="s">
        <v>154</v>
      </c>
      <c r="N29">
        <v>10.9</v>
      </c>
      <c r="O29" t="s">
        <v>95</v>
      </c>
      <c r="W29" t="s">
        <v>86</v>
      </c>
      <c r="X29">
        <v>5</v>
      </c>
      <c r="Y29" t="s">
        <v>69</v>
      </c>
      <c r="Z29" t="s">
        <v>101</v>
      </c>
      <c r="AB29">
        <v>10</v>
      </c>
      <c r="AD29" t="s">
        <v>69</v>
      </c>
      <c r="AH29" t="s">
        <v>530</v>
      </c>
      <c r="AI29" t="s">
        <v>94</v>
      </c>
      <c r="AK29" t="s">
        <v>69</v>
      </c>
      <c r="AM29">
        <v>24.8</v>
      </c>
      <c r="AN29">
        <v>17.8</v>
      </c>
      <c r="AO29">
        <v>0.6</v>
      </c>
      <c r="AP29" t="s">
        <v>145</v>
      </c>
      <c r="AR29">
        <v>64</v>
      </c>
      <c r="AS29">
        <v>461</v>
      </c>
      <c r="AZ29">
        <v>344</v>
      </c>
      <c r="BA29">
        <v>302</v>
      </c>
      <c r="BB29">
        <v>289</v>
      </c>
      <c r="BC29">
        <v>756</v>
      </c>
      <c r="BD29">
        <v>1742</v>
      </c>
      <c r="BE29">
        <v>672</v>
      </c>
      <c r="BF29">
        <v>85</v>
      </c>
      <c r="BG29">
        <v>100</v>
      </c>
      <c r="BH29" t="str">
        <f t="shared" si="0"/>
        <v>Offererad produktnr. 07Atea Sverige AB</v>
      </c>
      <c r="BL29" t="s">
        <v>308</v>
      </c>
      <c r="BM29" t="s">
        <v>308</v>
      </c>
      <c r="BN29" t="s">
        <v>309</v>
      </c>
      <c r="BO29" t="s">
        <v>298</v>
      </c>
      <c r="BP29" t="s">
        <v>62</v>
      </c>
      <c r="BQ29" t="s">
        <v>310</v>
      </c>
      <c r="BR29" t="s">
        <v>311</v>
      </c>
      <c r="BS29" t="s">
        <v>312</v>
      </c>
      <c r="BT29" t="s">
        <v>313</v>
      </c>
      <c r="BU29" t="s">
        <v>532</v>
      </c>
      <c r="BV29">
        <v>100</v>
      </c>
      <c r="BW29" t="s">
        <v>606</v>
      </c>
      <c r="BX29" t="s">
        <v>712</v>
      </c>
    </row>
    <row r="30" spans="1:77" ht="15" customHeight="1" x14ac:dyDescent="0.35">
      <c r="A30" t="s">
        <v>647</v>
      </c>
      <c r="B30" t="s">
        <v>113</v>
      </c>
      <c r="C30" t="s">
        <v>50</v>
      </c>
      <c r="H30" t="s">
        <v>150</v>
      </c>
      <c r="I30" s="175">
        <v>5254</v>
      </c>
      <c r="J30" t="s">
        <v>62</v>
      </c>
      <c r="K30" t="s">
        <v>533</v>
      </c>
      <c r="L30" t="s">
        <v>529</v>
      </c>
      <c r="M30" t="s">
        <v>154</v>
      </c>
      <c r="N30">
        <v>10.199999999999999</v>
      </c>
      <c r="O30" t="s">
        <v>90</v>
      </c>
      <c r="W30" t="s">
        <v>79</v>
      </c>
      <c r="X30">
        <v>4.2</v>
      </c>
      <c r="Y30" t="s">
        <v>69</v>
      </c>
      <c r="Z30" t="s">
        <v>69</v>
      </c>
      <c r="AB30">
        <v>10</v>
      </c>
      <c r="AD30" t="s">
        <v>69</v>
      </c>
      <c r="AH30" t="s">
        <v>96</v>
      </c>
      <c r="AI30" t="s">
        <v>94</v>
      </c>
      <c r="AK30" t="s">
        <v>69</v>
      </c>
      <c r="AM30">
        <v>25.06</v>
      </c>
      <c r="AN30">
        <v>17.41</v>
      </c>
      <c r="AO30">
        <v>0.75</v>
      </c>
      <c r="AP30" t="s">
        <v>145</v>
      </c>
      <c r="AR30">
        <v>64</v>
      </c>
      <c r="AS30">
        <v>487</v>
      </c>
      <c r="AZ30">
        <v>430</v>
      </c>
      <c r="BA30">
        <v>302</v>
      </c>
      <c r="BB30">
        <v>226</v>
      </c>
      <c r="BC30">
        <v>756</v>
      </c>
      <c r="BD30">
        <v>1284</v>
      </c>
      <c r="BE30">
        <v>672</v>
      </c>
      <c r="BF30">
        <v>85</v>
      </c>
      <c r="BG30">
        <v>100</v>
      </c>
      <c r="BH30" t="str">
        <f t="shared" si="0"/>
        <v>Offererad produktnr. 08Atea Sverige AB</v>
      </c>
      <c r="BL30" t="s">
        <v>308</v>
      </c>
      <c r="BM30" t="s">
        <v>308</v>
      </c>
      <c r="BN30" t="s">
        <v>314</v>
      </c>
      <c r="BO30" t="s">
        <v>298</v>
      </c>
      <c r="BP30" t="s">
        <v>62</v>
      </c>
      <c r="BQ30" t="s">
        <v>534</v>
      </c>
      <c r="BR30" t="s">
        <v>535</v>
      </c>
      <c r="BS30" t="s">
        <v>315</v>
      </c>
      <c r="BT30" t="s">
        <v>536</v>
      </c>
      <c r="BU30" t="s">
        <v>537</v>
      </c>
      <c r="BV30">
        <v>100</v>
      </c>
      <c r="BW30" t="s">
        <v>606</v>
      </c>
      <c r="BX30" t="s">
        <v>712</v>
      </c>
    </row>
    <row r="31" spans="1:77" ht="15" customHeight="1" x14ac:dyDescent="0.35">
      <c r="A31" t="s">
        <v>647</v>
      </c>
      <c r="B31" t="s">
        <v>113</v>
      </c>
      <c r="C31" t="s">
        <v>42</v>
      </c>
      <c r="H31" t="s">
        <v>150</v>
      </c>
      <c r="I31" s="175">
        <v>10177</v>
      </c>
      <c r="J31" t="s">
        <v>70</v>
      </c>
      <c r="K31" t="s">
        <v>660</v>
      </c>
      <c r="L31" t="s">
        <v>635</v>
      </c>
      <c r="M31" t="s">
        <v>154</v>
      </c>
      <c r="N31">
        <v>11</v>
      </c>
      <c r="O31" t="s">
        <v>93</v>
      </c>
      <c r="W31" t="s">
        <v>86</v>
      </c>
      <c r="X31">
        <v>5.3</v>
      </c>
      <c r="Y31" t="s">
        <v>69</v>
      </c>
      <c r="Z31" t="s">
        <v>101</v>
      </c>
      <c r="AB31">
        <v>13</v>
      </c>
      <c r="AD31" t="s">
        <v>69</v>
      </c>
      <c r="AH31" t="s">
        <v>661</v>
      </c>
      <c r="AI31" t="s">
        <v>105</v>
      </c>
      <c r="AK31" t="s">
        <v>69</v>
      </c>
      <c r="AM31">
        <v>16.5</v>
      </c>
      <c r="AN31">
        <v>25.38</v>
      </c>
      <c r="AO31">
        <v>0.63</v>
      </c>
      <c r="AP31" t="s">
        <v>540</v>
      </c>
      <c r="AR31">
        <v>128</v>
      </c>
      <c r="AS31">
        <v>500</v>
      </c>
      <c r="AZ31">
        <v>461</v>
      </c>
      <c r="BA31">
        <v>281</v>
      </c>
      <c r="BB31">
        <v>386</v>
      </c>
      <c r="BC31">
        <v>756</v>
      </c>
      <c r="BD31">
        <v>504</v>
      </c>
      <c r="BE31">
        <v>1</v>
      </c>
      <c r="BF31">
        <v>85</v>
      </c>
      <c r="BG31">
        <v>100</v>
      </c>
      <c r="BH31" t="str">
        <f t="shared" si="0"/>
        <v>Offererad produktnr. 09Atea Sverige AB</v>
      </c>
      <c r="BL31" t="s">
        <v>298</v>
      </c>
      <c r="BM31" t="s">
        <v>298</v>
      </c>
      <c r="BN31" t="s">
        <v>70</v>
      </c>
      <c r="BO31" t="s">
        <v>298</v>
      </c>
      <c r="BP31" t="s">
        <v>70</v>
      </c>
      <c r="BQ31" t="s">
        <v>662</v>
      </c>
      <c r="BR31" t="s">
        <v>663</v>
      </c>
      <c r="BS31" t="s">
        <v>316</v>
      </c>
      <c r="BT31" t="s">
        <v>541</v>
      </c>
      <c r="BU31" t="s">
        <v>317</v>
      </c>
      <c r="BV31">
        <v>100</v>
      </c>
      <c r="BW31" t="s">
        <v>606</v>
      </c>
      <c r="BX31" t="s">
        <v>712</v>
      </c>
    </row>
    <row r="32" spans="1:77" ht="15" customHeight="1" x14ac:dyDescent="0.35">
      <c r="A32" t="s">
        <v>647</v>
      </c>
      <c r="B32" t="s">
        <v>113</v>
      </c>
      <c r="C32" t="s">
        <v>56</v>
      </c>
      <c r="H32" t="s">
        <v>150</v>
      </c>
      <c r="I32" s="175">
        <v>8276</v>
      </c>
      <c r="J32" t="s">
        <v>61</v>
      </c>
      <c r="K32" t="s">
        <v>156</v>
      </c>
      <c r="L32" t="s">
        <v>157</v>
      </c>
      <c r="M32">
        <v>2020</v>
      </c>
      <c r="N32">
        <v>11.5</v>
      </c>
      <c r="O32" t="s">
        <v>93</v>
      </c>
      <c r="W32" t="s">
        <v>79</v>
      </c>
      <c r="X32">
        <v>5</v>
      </c>
      <c r="Y32" t="s">
        <v>69</v>
      </c>
      <c r="Z32" t="s">
        <v>101</v>
      </c>
      <c r="AB32">
        <v>8</v>
      </c>
      <c r="AD32" t="s">
        <v>69</v>
      </c>
      <c r="AH32" t="s">
        <v>83</v>
      </c>
      <c r="AI32" t="s">
        <v>105</v>
      </c>
      <c r="AK32" t="s">
        <v>69</v>
      </c>
      <c r="AM32">
        <v>17.100000000000001</v>
      </c>
      <c r="AN32">
        <v>26.4</v>
      </c>
      <c r="AO32">
        <v>0.6</v>
      </c>
      <c r="AP32" t="s">
        <v>158</v>
      </c>
      <c r="AR32">
        <v>128</v>
      </c>
      <c r="AS32">
        <v>485</v>
      </c>
      <c r="AZ32">
        <v>502</v>
      </c>
      <c r="BA32">
        <v>293</v>
      </c>
      <c r="BB32">
        <v>324</v>
      </c>
      <c r="BC32">
        <v>1138</v>
      </c>
      <c r="BD32">
        <v>718</v>
      </c>
      <c r="BE32">
        <v>1</v>
      </c>
      <c r="BF32">
        <v>85</v>
      </c>
      <c r="BG32">
        <v>100</v>
      </c>
      <c r="BH32" t="str">
        <f t="shared" si="0"/>
        <v>Offererad produktnr. 10Atea Sverige AB</v>
      </c>
      <c r="BL32" t="s">
        <v>298</v>
      </c>
      <c r="BM32" t="s">
        <v>318</v>
      </c>
      <c r="BN32" t="s">
        <v>61</v>
      </c>
      <c r="BO32" t="s">
        <v>61</v>
      </c>
      <c r="BP32" t="s">
        <v>61</v>
      </c>
      <c r="BQ32" t="s">
        <v>319</v>
      </c>
      <c r="BR32" t="s">
        <v>320</v>
      </c>
      <c r="BS32" t="s">
        <v>321</v>
      </c>
      <c r="BT32" t="s">
        <v>322</v>
      </c>
      <c r="BU32" t="s">
        <v>323</v>
      </c>
      <c r="BV32">
        <v>100</v>
      </c>
      <c r="BW32" t="s">
        <v>606</v>
      </c>
      <c r="BX32" t="s">
        <v>712</v>
      </c>
    </row>
    <row r="33" spans="1:77" ht="15" customHeight="1" x14ac:dyDescent="0.35">
      <c r="A33" t="s">
        <v>647</v>
      </c>
      <c r="B33" t="s">
        <v>114</v>
      </c>
      <c r="C33" t="s">
        <v>58</v>
      </c>
      <c r="H33" t="s">
        <v>150</v>
      </c>
      <c r="I33" s="175">
        <v>2034</v>
      </c>
      <c r="J33" t="s">
        <v>70</v>
      </c>
      <c r="K33" t="s">
        <v>159</v>
      </c>
      <c r="L33" t="s">
        <v>160</v>
      </c>
      <c r="M33">
        <v>2020</v>
      </c>
      <c r="N33">
        <v>23.8</v>
      </c>
      <c r="O33" t="s">
        <v>71</v>
      </c>
      <c r="S33">
        <v>2</v>
      </c>
      <c r="U33">
        <v>2</v>
      </c>
      <c r="AC33" t="s">
        <v>527</v>
      </c>
      <c r="AF33" t="s">
        <v>87</v>
      </c>
      <c r="AG33" t="s">
        <v>69</v>
      </c>
      <c r="AI33" t="s">
        <v>89</v>
      </c>
      <c r="AK33" t="s">
        <v>69</v>
      </c>
      <c r="AP33" t="s">
        <v>117</v>
      </c>
      <c r="AT33">
        <v>16700000</v>
      </c>
      <c r="AU33">
        <v>250</v>
      </c>
      <c r="AV33" t="s">
        <v>69</v>
      </c>
      <c r="AW33">
        <v>1</v>
      </c>
      <c r="AY33" t="s">
        <v>161</v>
      </c>
      <c r="AZ33">
        <v>778</v>
      </c>
      <c r="BE33">
        <v>94</v>
      </c>
      <c r="BF33">
        <v>85</v>
      </c>
      <c r="BG33">
        <v>100</v>
      </c>
      <c r="BH33" t="str">
        <f t="shared" si="0"/>
        <v>Offererad produktnr. 11Atea Sverige AB</v>
      </c>
      <c r="BL33" t="s">
        <v>283</v>
      </c>
      <c r="BM33"/>
      <c r="BN33"/>
      <c r="BO33"/>
      <c r="BP33"/>
      <c r="BQ33" t="s">
        <v>542</v>
      </c>
      <c r="BR33"/>
      <c r="BS33"/>
      <c r="BT33"/>
      <c r="BU33"/>
      <c r="BW33" t="s">
        <v>606</v>
      </c>
      <c r="BX33" t="s">
        <v>712</v>
      </c>
    </row>
    <row r="34" spans="1:77" ht="15" customHeight="1" x14ac:dyDescent="0.35">
      <c r="A34" t="s">
        <v>647</v>
      </c>
      <c r="B34" t="s">
        <v>114</v>
      </c>
      <c r="C34" t="s">
        <v>57</v>
      </c>
      <c r="H34" t="s">
        <v>150</v>
      </c>
      <c r="I34" s="175">
        <v>3234</v>
      </c>
      <c r="J34" t="s">
        <v>70</v>
      </c>
      <c r="K34" t="s">
        <v>664</v>
      </c>
      <c r="L34" t="s">
        <v>665</v>
      </c>
      <c r="M34">
        <v>2021</v>
      </c>
      <c r="N34">
        <v>27</v>
      </c>
      <c r="O34" t="s">
        <v>92</v>
      </c>
      <c r="S34">
        <v>4</v>
      </c>
      <c r="U34">
        <v>1</v>
      </c>
      <c r="AC34" t="s">
        <v>527</v>
      </c>
      <c r="AF34" t="s">
        <v>87</v>
      </c>
      <c r="AG34" t="s">
        <v>69</v>
      </c>
      <c r="AI34" t="s">
        <v>89</v>
      </c>
      <c r="AK34" t="s">
        <v>69</v>
      </c>
      <c r="AP34" t="s">
        <v>117</v>
      </c>
      <c r="AT34">
        <v>1070000000</v>
      </c>
      <c r="AU34">
        <v>300</v>
      </c>
      <c r="AV34" t="s">
        <v>69</v>
      </c>
      <c r="AW34">
        <v>1</v>
      </c>
      <c r="AY34" t="s">
        <v>161</v>
      </c>
      <c r="AZ34">
        <v>1020</v>
      </c>
      <c r="BE34">
        <v>164</v>
      </c>
      <c r="BF34">
        <v>85</v>
      </c>
      <c r="BG34">
        <v>100</v>
      </c>
      <c r="BH34" t="str">
        <f t="shared" si="0"/>
        <v>Offererad produktnr. 12Atea Sverige AB</v>
      </c>
      <c r="BL34" t="s">
        <v>283</v>
      </c>
      <c r="BM34"/>
      <c r="BN34"/>
      <c r="BO34"/>
      <c r="BP34"/>
      <c r="BQ34" t="s">
        <v>543</v>
      </c>
      <c r="BR34"/>
      <c r="BS34"/>
      <c r="BT34"/>
      <c r="BU34"/>
      <c r="BW34" t="s">
        <v>606</v>
      </c>
      <c r="BX34" t="s">
        <v>712</v>
      </c>
    </row>
    <row r="35" spans="1:77" ht="15" customHeight="1" x14ac:dyDescent="0.35">
      <c r="A35" t="s">
        <v>666</v>
      </c>
      <c r="B35" t="s">
        <v>127</v>
      </c>
      <c r="C35" t="s">
        <v>44</v>
      </c>
      <c r="H35" t="s">
        <v>128</v>
      </c>
      <c r="I35" s="175">
        <v>7599</v>
      </c>
      <c r="J35" t="s">
        <v>60</v>
      </c>
      <c r="K35" t="s">
        <v>608</v>
      </c>
      <c r="L35" t="s">
        <v>667</v>
      </c>
      <c r="M35">
        <v>2023</v>
      </c>
      <c r="N35">
        <v>14</v>
      </c>
      <c r="O35" t="s">
        <v>71</v>
      </c>
      <c r="P35" t="s">
        <v>65</v>
      </c>
      <c r="Q35">
        <v>8</v>
      </c>
      <c r="R35">
        <v>256</v>
      </c>
      <c r="S35">
        <v>3</v>
      </c>
      <c r="T35">
        <v>1</v>
      </c>
      <c r="U35" t="s">
        <v>84</v>
      </c>
      <c r="V35" t="s">
        <v>78</v>
      </c>
      <c r="W35" t="s">
        <v>86</v>
      </c>
      <c r="X35">
        <v>5.3</v>
      </c>
      <c r="Y35" t="s">
        <v>69</v>
      </c>
      <c r="Z35" t="s">
        <v>69</v>
      </c>
      <c r="AA35" t="s">
        <v>69</v>
      </c>
      <c r="AB35">
        <v>11</v>
      </c>
      <c r="AC35" t="s">
        <v>527</v>
      </c>
      <c r="AD35" t="s">
        <v>69</v>
      </c>
      <c r="AE35" t="s">
        <v>69</v>
      </c>
      <c r="AF35" t="s">
        <v>87</v>
      </c>
      <c r="AG35" t="s">
        <v>69</v>
      </c>
      <c r="AH35" t="s">
        <v>567</v>
      </c>
      <c r="AI35" t="s">
        <v>580</v>
      </c>
      <c r="AJ35" t="s">
        <v>69</v>
      </c>
      <c r="AK35" t="s">
        <v>69</v>
      </c>
      <c r="AL35">
        <v>1.39</v>
      </c>
      <c r="AM35">
        <v>2</v>
      </c>
      <c r="AN35">
        <v>32.200000000000003</v>
      </c>
      <c r="AO35">
        <v>21.4</v>
      </c>
      <c r="AP35" t="s">
        <v>131</v>
      </c>
      <c r="AZ35">
        <v>123</v>
      </c>
      <c r="BA35">
        <v>425</v>
      </c>
      <c r="BB35">
        <v>149</v>
      </c>
      <c r="BC35">
        <v>1185</v>
      </c>
      <c r="BE35">
        <v>450</v>
      </c>
      <c r="BF35">
        <v>133</v>
      </c>
      <c r="BG35">
        <v>20</v>
      </c>
      <c r="BH35" t="str">
        <f t="shared" si="0"/>
        <v>Offererad produktnr. 01Dustin Sverige AB</v>
      </c>
      <c r="BI35">
        <v>20</v>
      </c>
      <c r="BL35" t="s">
        <v>280</v>
      </c>
      <c r="BM35" t="s">
        <v>280</v>
      </c>
      <c r="BN35" t="s">
        <v>60</v>
      </c>
      <c r="BO35" t="s">
        <v>60</v>
      </c>
      <c r="BP35"/>
      <c r="BQ35" t="s">
        <v>281</v>
      </c>
      <c r="BR35" t="s">
        <v>282</v>
      </c>
      <c r="BS35" t="s">
        <v>722</v>
      </c>
      <c r="BT35" t="s">
        <v>723</v>
      </c>
      <c r="BU35"/>
      <c r="BX35" t="s">
        <v>687</v>
      </c>
      <c r="BY35">
        <v>5</v>
      </c>
    </row>
    <row r="36" spans="1:77" ht="15" customHeight="1" x14ac:dyDescent="0.35">
      <c r="A36" t="s">
        <v>666</v>
      </c>
      <c r="B36" t="s">
        <v>127</v>
      </c>
      <c r="C36" t="s">
        <v>72</v>
      </c>
      <c r="H36" t="s">
        <v>128</v>
      </c>
      <c r="I36" s="175">
        <v>11900</v>
      </c>
      <c r="J36" t="s">
        <v>60</v>
      </c>
      <c r="K36" t="s">
        <v>577</v>
      </c>
      <c r="L36" t="s">
        <v>668</v>
      </c>
      <c r="M36">
        <v>2023</v>
      </c>
      <c r="N36">
        <v>14</v>
      </c>
      <c r="O36" t="s">
        <v>163</v>
      </c>
      <c r="P36" t="s">
        <v>63</v>
      </c>
      <c r="Q36">
        <v>16</v>
      </c>
      <c r="R36">
        <v>256</v>
      </c>
      <c r="S36">
        <v>2</v>
      </c>
      <c r="T36">
        <v>2</v>
      </c>
      <c r="U36" t="s">
        <v>84</v>
      </c>
      <c r="V36" t="s">
        <v>85</v>
      </c>
      <c r="W36" t="s">
        <v>86</v>
      </c>
      <c r="X36">
        <v>5.3</v>
      </c>
      <c r="Y36" t="s">
        <v>69</v>
      </c>
      <c r="Z36" t="s">
        <v>69</v>
      </c>
      <c r="AA36" t="s">
        <v>69</v>
      </c>
      <c r="AB36">
        <v>11</v>
      </c>
      <c r="AC36" t="s">
        <v>527</v>
      </c>
      <c r="AD36" t="s">
        <v>69</v>
      </c>
      <c r="AE36" t="s">
        <v>69</v>
      </c>
      <c r="AF36" t="s">
        <v>87</v>
      </c>
      <c r="AG36" t="s">
        <v>69</v>
      </c>
      <c r="AH36" t="s">
        <v>567</v>
      </c>
      <c r="AI36" t="s">
        <v>580</v>
      </c>
      <c r="AJ36" t="s">
        <v>69</v>
      </c>
      <c r="AK36" t="s">
        <v>69</v>
      </c>
      <c r="AL36">
        <v>1.36</v>
      </c>
      <c r="AM36">
        <v>19.2</v>
      </c>
      <c r="AN36">
        <v>31.6</v>
      </c>
      <c r="AO36">
        <v>22.4</v>
      </c>
      <c r="AP36" t="s">
        <v>131</v>
      </c>
      <c r="AZ36">
        <v>123</v>
      </c>
      <c r="BA36">
        <v>425</v>
      </c>
      <c r="BB36">
        <v>149</v>
      </c>
      <c r="BC36">
        <v>1185</v>
      </c>
      <c r="BE36">
        <v>450</v>
      </c>
      <c r="BF36">
        <v>133</v>
      </c>
      <c r="BG36">
        <v>20</v>
      </c>
      <c r="BH36" t="str">
        <f t="shared" si="0"/>
        <v>Offererad produktnr. 02Dustin Sverige AB</v>
      </c>
      <c r="BI36">
        <v>20</v>
      </c>
      <c r="BL36" t="s">
        <v>280</v>
      </c>
      <c r="BM36" t="s">
        <v>280</v>
      </c>
      <c r="BN36" t="s">
        <v>60</v>
      </c>
      <c r="BO36" t="s">
        <v>60</v>
      </c>
      <c r="BP36"/>
      <c r="BQ36" t="s">
        <v>281</v>
      </c>
      <c r="BR36" t="s">
        <v>282</v>
      </c>
      <c r="BS36" t="s">
        <v>722</v>
      </c>
      <c r="BT36" t="s">
        <v>723</v>
      </c>
      <c r="BU36"/>
      <c r="BX36" t="s">
        <v>688</v>
      </c>
      <c r="BY36">
        <v>5</v>
      </c>
    </row>
    <row r="37" spans="1:77" ht="15" customHeight="1" x14ac:dyDescent="0.35">
      <c r="A37" t="s">
        <v>666</v>
      </c>
      <c r="B37" t="s">
        <v>127</v>
      </c>
      <c r="C37" t="s">
        <v>45</v>
      </c>
      <c r="H37" t="s">
        <v>128</v>
      </c>
      <c r="I37" s="175">
        <v>10490</v>
      </c>
      <c r="J37" t="s">
        <v>60</v>
      </c>
      <c r="K37" t="s">
        <v>568</v>
      </c>
      <c r="L37" t="s">
        <v>669</v>
      </c>
      <c r="M37">
        <v>2023</v>
      </c>
      <c r="N37">
        <v>14</v>
      </c>
      <c r="O37" t="s">
        <v>71</v>
      </c>
      <c r="P37" t="s">
        <v>571</v>
      </c>
      <c r="Q37">
        <v>32</v>
      </c>
      <c r="R37">
        <v>512</v>
      </c>
      <c r="S37">
        <v>3</v>
      </c>
      <c r="T37">
        <v>1</v>
      </c>
      <c r="U37" t="s">
        <v>84</v>
      </c>
      <c r="V37" t="s">
        <v>78</v>
      </c>
      <c r="W37" t="s">
        <v>86</v>
      </c>
      <c r="X37">
        <v>5.3</v>
      </c>
      <c r="Y37" t="s">
        <v>69</v>
      </c>
      <c r="Z37" t="s">
        <v>69</v>
      </c>
      <c r="AA37" t="s">
        <v>69</v>
      </c>
      <c r="AB37">
        <v>11</v>
      </c>
      <c r="AC37" t="s">
        <v>527</v>
      </c>
      <c r="AD37" t="s">
        <v>69</v>
      </c>
      <c r="AE37" t="s">
        <v>69</v>
      </c>
      <c r="AF37" t="s">
        <v>87</v>
      </c>
      <c r="AG37" t="s">
        <v>69</v>
      </c>
      <c r="AH37" t="s">
        <v>567</v>
      </c>
      <c r="AI37" t="s">
        <v>580</v>
      </c>
      <c r="AJ37" t="s">
        <v>69</v>
      </c>
      <c r="AK37" t="s">
        <v>69</v>
      </c>
      <c r="AL37">
        <v>1.38</v>
      </c>
      <c r="AM37">
        <v>2</v>
      </c>
      <c r="AN37">
        <v>32.200000000000003</v>
      </c>
      <c r="AO37">
        <v>21.4</v>
      </c>
      <c r="AP37" t="s">
        <v>131</v>
      </c>
      <c r="AZ37">
        <v>123</v>
      </c>
      <c r="BA37">
        <v>425</v>
      </c>
      <c r="BB37">
        <v>149</v>
      </c>
      <c r="BC37">
        <v>1185</v>
      </c>
      <c r="BE37">
        <v>450</v>
      </c>
      <c r="BF37">
        <v>133</v>
      </c>
      <c r="BG37">
        <v>20</v>
      </c>
      <c r="BH37" t="str">
        <f t="shared" si="0"/>
        <v>Offererad produktnr. 03Dustin Sverige AB</v>
      </c>
      <c r="BI37">
        <v>20</v>
      </c>
      <c r="BL37" t="s">
        <v>280</v>
      </c>
      <c r="BM37" t="s">
        <v>280</v>
      </c>
      <c r="BN37" t="s">
        <v>60</v>
      </c>
      <c r="BO37" t="s">
        <v>60</v>
      </c>
      <c r="BP37"/>
      <c r="BQ37" t="s">
        <v>281</v>
      </c>
      <c r="BR37" t="s">
        <v>282</v>
      </c>
      <c r="BS37" t="s">
        <v>722</v>
      </c>
      <c r="BT37" t="s">
        <v>723</v>
      </c>
      <c r="BU37"/>
      <c r="BX37" t="s">
        <v>688</v>
      </c>
      <c r="BY37">
        <v>7.12</v>
      </c>
    </row>
    <row r="38" spans="1:77" ht="15" customHeight="1" x14ac:dyDescent="0.35">
      <c r="A38" t="s">
        <v>666</v>
      </c>
      <c r="B38" t="s">
        <v>127</v>
      </c>
      <c r="C38" t="s">
        <v>46</v>
      </c>
      <c r="H38" t="s">
        <v>128</v>
      </c>
      <c r="I38" s="175">
        <v>13790</v>
      </c>
      <c r="J38" t="s">
        <v>60</v>
      </c>
      <c r="K38" t="s">
        <v>670</v>
      </c>
      <c r="L38" t="s">
        <v>671</v>
      </c>
      <c r="M38">
        <v>2023</v>
      </c>
      <c r="N38">
        <v>14</v>
      </c>
      <c r="O38" t="s">
        <v>163</v>
      </c>
      <c r="P38" t="s">
        <v>64</v>
      </c>
      <c r="Q38">
        <v>16</v>
      </c>
      <c r="R38">
        <v>512</v>
      </c>
      <c r="S38">
        <v>2</v>
      </c>
      <c r="T38">
        <v>2</v>
      </c>
      <c r="U38" t="s">
        <v>84</v>
      </c>
      <c r="V38" t="s">
        <v>85</v>
      </c>
      <c r="W38" t="s">
        <v>86</v>
      </c>
      <c r="X38">
        <v>5.3</v>
      </c>
      <c r="Y38" t="s">
        <v>69</v>
      </c>
      <c r="Z38" t="s">
        <v>69</v>
      </c>
      <c r="AA38" t="s">
        <v>69</v>
      </c>
      <c r="AB38">
        <v>11</v>
      </c>
      <c r="AC38" t="s">
        <v>527</v>
      </c>
      <c r="AD38" t="s">
        <v>69</v>
      </c>
      <c r="AE38" t="s">
        <v>69</v>
      </c>
      <c r="AF38" t="s">
        <v>87</v>
      </c>
      <c r="AG38" t="s">
        <v>69</v>
      </c>
      <c r="AH38" t="s">
        <v>567</v>
      </c>
      <c r="AI38" t="s">
        <v>580</v>
      </c>
      <c r="AJ38" t="s">
        <v>69</v>
      </c>
      <c r="AK38" t="s">
        <v>69</v>
      </c>
      <c r="AL38">
        <v>1.36</v>
      </c>
      <c r="AM38">
        <v>19.2</v>
      </c>
      <c r="AN38">
        <v>31.6</v>
      </c>
      <c r="AO38">
        <v>22.4</v>
      </c>
      <c r="AP38" t="s">
        <v>133</v>
      </c>
      <c r="AZ38">
        <v>123</v>
      </c>
      <c r="BA38">
        <v>425</v>
      </c>
      <c r="BB38">
        <v>149</v>
      </c>
      <c r="BC38">
        <v>1185</v>
      </c>
      <c r="BE38">
        <v>450</v>
      </c>
      <c r="BF38">
        <v>133</v>
      </c>
      <c r="BG38">
        <v>20</v>
      </c>
      <c r="BH38" t="str">
        <f t="shared" si="0"/>
        <v>Offererad produktnr. 04Dustin Sverige AB</v>
      </c>
      <c r="BI38">
        <v>20</v>
      </c>
      <c r="BL38" t="s">
        <v>280</v>
      </c>
      <c r="BM38" t="s">
        <v>280</v>
      </c>
      <c r="BN38" t="s">
        <v>60</v>
      </c>
      <c r="BO38" t="s">
        <v>60</v>
      </c>
      <c r="BP38"/>
      <c r="BQ38" t="s">
        <v>281</v>
      </c>
      <c r="BR38" t="s">
        <v>282</v>
      </c>
      <c r="BS38" t="s">
        <v>722</v>
      </c>
      <c r="BT38" t="s">
        <v>723</v>
      </c>
      <c r="BU38"/>
      <c r="BX38" t="s">
        <v>688</v>
      </c>
      <c r="BY38">
        <v>7</v>
      </c>
    </row>
    <row r="39" spans="1:77" ht="15" customHeight="1" x14ac:dyDescent="0.35">
      <c r="A39" t="s">
        <v>666</v>
      </c>
      <c r="B39" t="s">
        <v>134</v>
      </c>
      <c r="C39" t="s">
        <v>47</v>
      </c>
      <c r="H39" t="s">
        <v>128</v>
      </c>
      <c r="I39" s="175">
        <v>3415</v>
      </c>
      <c r="J39" t="s">
        <v>60</v>
      </c>
      <c r="K39" t="s">
        <v>135</v>
      </c>
      <c r="L39" t="s">
        <v>136</v>
      </c>
      <c r="M39">
        <v>2021</v>
      </c>
      <c r="N39">
        <v>11.6</v>
      </c>
      <c r="O39" t="s">
        <v>706</v>
      </c>
      <c r="P39" t="s">
        <v>81</v>
      </c>
      <c r="Q39">
        <v>4</v>
      </c>
      <c r="R39">
        <v>32</v>
      </c>
      <c r="S39">
        <v>4</v>
      </c>
      <c r="T39">
        <v>2</v>
      </c>
      <c r="W39" t="s">
        <v>86</v>
      </c>
      <c r="X39">
        <v>5</v>
      </c>
      <c r="Y39" t="s">
        <v>69</v>
      </c>
      <c r="Z39" t="s">
        <v>69</v>
      </c>
      <c r="AB39">
        <v>11</v>
      </c>
      <c r="AC39" t="s">
        <v>527</v>
      </c>
      <c r="AD39" t="s">
        <v>69</v>
      </c>
      <c r="AE39" t="s">
        <v>69</v>
      </c>
      <c r="AF39" t="s">
        <v>87</v>
      </c>
      <c r="AG39" t="s">
        <v>69</v>
      </c>
      <c r="AH39" t="s">
        <v>82</v>
      </c>
      <c r="AI39" t="s">
        <v>89</v>
      </c>
      <c r="AJ39" t="s">
        <v>69</v>
      </c>
      <c r="AK39" t="s">
        <v>69</v>
      </c>
      <c r="AL39">
        <v>1.34</v>
      </c>
      <c r="AM39">
        <v>1.88</v>
      </c>
      <c r="AN39">
        <v>29.5</v>
      </c>
      <c r="AO39">
        <v>20.53</v>
      </c>
      <c r="AP39" t="s">
        <v>137</v>
      </c>
      <c r="AZ39">
        <v>87</v>
      </c>
      <c r="BA39">
        <v>123</v>
      </c>
      <c r="BB39">
        <v>249</v>
      </c>
      <c r="BE39">
        <v>131</v>
      </c>
      <c r="BF39">
        <v>133</v>
      </c>
      <c r="BG39">
        <v>20</v>
      </c>
      <c r="BH39" t="str">
        <f t="shared" si="0"/>
        <v>Offererad produktnr. 05Dustin Sverige AB</v>
      </c>
      <c r="BI39">
        <v>20</v>
      </c>
      <c r="BL39" t="s">
        <v>280</v>
      </c>
      <c r="BM39" t="s">
        <v>280</v>
      </c>
      <c r="BN39" t="s">
        <v>60</v>
      </c>
      <c r="BO39"/>
      <c r="BP39"/>
      <c r="BQ39" t="s">
        <v>284</v>
      </c>
      <c r="BR39" t="s">
        <v>581</v>
      </c>
      <c r="BS39" t="s">
        <v>672</v>
      </c>
      <c r="BT39"/>
      <c r="BU39"/>
      <c r="BX39" t="s">
        <v>688</v>
      </c>
      <c r="BY39">
        <v>3</v>
      </c>
    </row>
    <row r="40" spans="1:77" ht="15" customHeight="1" x14ac:dyDescent="0.35">
      <c r="A40" t="s">
        <v>666</v>
      </c>
      <c r="B40" t="s">
        <v>134</v>
      </c>
      <c r="C40" t="s">
        <v>48</v>
      </c>
      <c r="H40" t="s">
        <v>128</v>
      </c>
      <c r="I40" s="175">
        <v>4088</v>
      </c>
      <c r="J40" t="s">
        <v>60</v>
      </c>
      <c r="K40" t="s">
        <v>138</v>
      </c>
      <c r="L40" t="s">
        <v>572</v>
      </c>
      <c r="M40">
        <v>2021</v>
      </c>
      <c r="N40">
        <v>14</v>
      </c>
      <c r="O40" t="s">
        <v>71</v>
      </c>
      <c r="P40" t="s">
        <v>81</v>
      </c>
      <c r="Q40">
        <v>8</v>
      </c>
      <c r="R40">
        <v>64</v>
      </c>
      <c r="S40">
        <v>3</v>
      </c>
      <c r="T40">
        <v>1</v>
      </c>
      <c r="W40" t="s">
        <v>86</v>
      </c>
      <c r="X40">
        <v>5.0999999999999996</v>
      </c>
      <c r="Y40" t="s">
        <v>69</v>
      </c>
      <c r="Z40" t="s">
        <v>69</v>
      </c>
      <c r="AB40">
        <v>11</v>
      </c>
      <c r="AC40" t="s">
        <v>527</v>
      </c>
      <c r="AD40" t="s">
        <v>69</v>
      </c>
      <c r="AE40" t="s">
        <v>69</v>
      </c>
      <c r="AF40" t="s">
        <v>87</v>
      </c>
      <c r="AG40" t="s">
        <v>69</v>
      </c>
      <c r="AH40" t="s">
        <v>82</v>
      </c>
      <c r="AI40" t="s">
        <v>89</v>
      </c>
      <c r="AJ40" t="s">
        <v>69</v>
      </c>
      <c r="AK40" t="s">
        <v>69</v>
      </c>
      <c r="AL40">
        <v>1.54</v>
      </c>
      <c r="AM40">
        <v>1.83</v>
      </c>
      <c r="AN40">
        <v>32.65</v>
      </c>
      <c r="AO40">
        <v>22.7</v>
      </c>
      <c r="AP40" t="s">
        <v>139</v>
      </c>
      <c r="AZ40">
        <v>123</v>
      </c>
      <c r="BA40">
        <v>425</v>
      </c>
      <c r="BB40">
        <v>249</v>
      </c>
      <c r="BE40">
        <v>131</v>
      </c>
      <c r="BF40">
        <v>133</v>
      </c>
      <c r="BG40">
        <v>20</v>
      </c>
      <c r="BH40" t="str">
        <f t="shared" si="0"/>
        <v>Offererad produktnr. 06Dustin Sverige AB</v>
      </c>
      <c r="BI40">
        <v>20</v>
      </c>
      <c r="BL40" t="s">
        <v>280</v>
      </c>
      <c r="BM40" t="s">
        <v>280</v>
      </c>
      <c r="BN40" t="s">
        <v>60</v>
      </c>
      <c r="BO40"/>
      <c r="BP40"/>
      <c r="BQ40" t="s">
        <v>281</v>
      </c>
      <c r="BR40" t="s">
        <v>282</v>
      </c>
      <c r="BS40" t="s">
        <v>672</v>
      </c>
      <c r="BT40"/>
      <c r="BU40"/>
      <c r="BX40" t="s">
        <v>688</v>
      </c>
      <c r="BY40">
        <v>3</v>
      </c>
    </row>
    <row r="41" spans="1:77" ht="15" customHeight="1" x14ac:dyDescent="0.35">
      <c r="A41" t="s">
        <v>666</v>
      </c>
      <c r="B41" t="s">
        <v>113</v>
      </c>
      <c r="C41" t="s">
        <v>49</v>
      </c>
      <c r="H41" t="s">
        <v>128</v>
      </c>
      <c r="I41" s="175">
        <v>3261</v>
      </c>
      <c r="J41" t="s">
        <v>70</v>
      </c>
      <c r="K41" t="s">
        <v>140</v>
      </c>
      <c r="L41" t="s">
        <v>582</v>
      </c>
      <c r="M41">
        <v>2022</v>
      </c>
      <c r="N41">
        <v>10.4</v>
      </c>
      <c r="O41" t="s">
        <v>141</v>
      </c>
      <c r="W41" t="s">
        <v>79</v>
      </c>
      <c r="X41">
        <v>5</v>
      </c>
      <c r="Y41" t="s">
        <v>69</v>
      </c>
      <c r="Z41" t="s">
        <v>69</v>
      </c>
      <c r="AB41">
        <v>12</v>
      </c>
      <c r="AD41" t="s">
        <v>69</v>
      </c>
      <c r="AH41" t="s">
        <v>91</v>
      </c>
      <c r="AI41" t="s">
        <v>142</v>
      </c>
      <c r="AK41" t="s">
        <v>69</v>
      </c>
      <c r="AM41">
        <v>24.45</v>
      </c>
      <c r="AN41">
        <v>15.43</v>
      </c>
      <c r="AO41">
        <v>0.7</v>
      </c>
      <c r="AP41" t="s">
        <v>143</v>
      </c>
      <c r="AR41">
        <v>64</v>
      </c>
      <c r="AS41">
        <v>465</v>
      </c>
      <c r="AZ41">
        <v>518</v>
      </c>
      <c r="BA41">
        <v>219</v>
      </c>
      <c r="BB41">
        <v>111</v>
      </c>
      <c r="BC41">
        <v>936</v>
      </c>
      <c r="BD41">
        <v>305</v>
      </c>
      <c r="BE41">
        <v>532</v>
      </c>
      <c r="BF41">
        <v>20</v>
      </c>
      <c r="BG41">
        <v>20</v>
      </c>
      <c r="BH41" t="str">
        <f t="shared" si="0"/>
        <v>Offererad produktnr. 07Dustin Sverige AB</v>
      </c>
      <c r="BL41" t="s">
        <v>70</v>
      </c>
      <c r="BM41" t="s">
        <v>583</v>
      </c>
      <c r="BN41" t="s">
        <v>70</v>
      </c>
      <c r="BO41" t="s">
        <v>584</v>
      </c>
      <c r="BP41" t="s">
        <v>70</v>
      </c>
      <c r="BQ41" t="s">
        <v>673</v>
      </c>
      <c r="BR41" t="s">
        <v>674</v>
      </c>
      <c r="BS41" t="s">
        <v>675</v>
      </c>
      <c r="BT41" t="s">
        <v>585</v>
      </c>
      <c r="BU41" t="s">
        <v>586</v>
      </c>
      <c r="BX41" t="s">
        <v>712</v>
      </c>
    </row>
    <row r="42" spans="1:77" ht="15" customHeight="1" x14ac:dyDescent="0.35">
      <c r="A42" t="s">
        <v>666</v>
      </c>
      <c r="B42" t="s">
        <v>113</v>
      </c>
      <c r="C42" t="s">
        <v>50</v>
      </c>
      <c r="H42" t="s">
        <v>128</v>
      </c>
      <c r="I42" s="175">
        <v>3751</v>
      </c>
      <c r="J42" t="s">
        <v>62</v>
      </c>
      <c r="K42" t="s">
        <v>544</v>
      </c>
      <c r="L42" t="s">
        <v>529</v>
      </c>
      <c r="M42">
        <v>2021</v>
      </c>
      <c r="N42">
        <v>10.199999999999999</v>
      </c>
      <c r="O42" t="s">
        <v>90</v>
      </c>
      <c r="W42" t="s">
        <v>79</v>
      </c>
      <c r="X42">
        <v>4.2</v>
      </c>
      <c r="Y42" t="s">
        <v>69</v>
      </c>
      <c r="Z42" t="s">
        <v>69</v>
      </c>
      <c r="AB42">
        <v>10</v>
      </c>
      <c r="AD42" t="s">
        <v>69</v>
      </c>
      <c r="AH42" t="s">
        <v>96</v>
      </c>
      <c r="AI42" t="s">
        <v>94</v>
      </c>
      <c r="AK42" t="s">
        <v>69</v>
      </c>
      <c r="AM42">
        <v>25.06</v>
      </c>
      <c r="AN42">
        <v>17.41</v>
      </c>
      <c r="AO42">
        <v>0.75</v>
      </c>
      <c r="AP42" t="s">
        <v>145</v>
      </c>
      <c r="AR42">
        <v>64</v>
      </c>
      <c r="AS42">
        <v>487</v>
      </c>
      <c r="AZ42">
        <v>347</v>
      </c>
      <c r="BA42">
        <v>234</v>
      </c>
      <c r="BB42">
        <v>309</v>
      </c>
      <c r="BC42">
        <v>407</v>
      </c>
      <c r="BD42">
        <v>373</v>
      </c>
      <c r="BE42">
        <v>532</v>
      </c>
      <c r="BF42">
        <v>20</v>
      </c>
      <c r="BG42">
        <v>20</v>
      </c>
      <c r="BH42" t="str">
        <f t="shared" si="0"/>
        <v>Offererad produktnr. 08Dustin Sverige AB</v>
      </c>
      <c r="BL42" t="s">
        <v>280</v>
      </c>
      <c r="BM42" t="s">
        <v>280</v>
      </c>
      <c r="BN42" t="s">
        <v>280</v>
      </c>
      <c r="BO42" t="s">
        <v>584</v>
      </c>
      <c r="BP42" t="s">
        <v>318</v>
      </c>
      <c r="BQ42" t="s">
        <v>287</v>
      </c>
      <c r="BR42" t="s">
        <v>288</v>
      </c>
      <c r="BS42" t="s">
        <v>289</v>
      </c>
      <c r="BT42" t="s">
        <v>290</v>
      </c>
      <c r="BU42">
        <v>109907068</v>
      </c>
      <c r="BX42" t="s">
        <v>712</v>
      </c>
    </row>
    <row r="43" spans="1:77" ht="15" customHeight="1" x14ac:dyDescent="0.35">
      <c r="A43" t="s">
        <v>666</v>
      </c>
      <c r="B43" t="s">
        <v>113</v>
      </c>
      <c r="C43" t="s">
        <v>42</v>
      </c>
      <c r="H43" t="s">
        <v>128</v>
      </c>
      <c r="I43" s="175">
        <v>5710</v>
      </c>
      <c r="J43" t="s">
        <v>70</v>
      </c>
      <c r="K43" t="s">
        <v>676</v>
      </c>
      <c r="L43" t="s">
        <v>635</v>
      </c>
      <c r="M43">
        <v>2023</v>
      </c>
      <c r="N43">
        <v>11</v>
      </c>
      <c r="O43" t="s">
        <v>93</v>
      </c>
      <c r="W43" t="s">
        <v>86</v>
      </c>
      <c r="X43">
        <v>5.3</v>
      </c>
      <c r="Y43" t="s">
        <v>69</v>
      </c>
      <c r="Z43" t="s">
        <v>69</v>
      </c>
      <c r="AB43">
        <v>13</v>
      </c>
      <c r="AD43" t="s">
        <v>69</v>
      </c>
      <c r="AH43" t="s">
        <v>661</v>
      </c>
      <c r="AI43" t="s">
        <v>142</v>
      </c>
      <c r="AK43" t="s">
        <v>69</v>
      </c>
      <c r="AM43">
        <v>16.600000000000001</v>
      </c>
      <c r="AN43">
        <v>25.38</v>
      </c>
      <c r="AO43">
        <v>0.63</v>
      </c>
      <c r="AP43" t="s">
        <v>587</v>
      </c>
      <c r="AR43">
        <v>128</v>
      </c>
      <c r="AS43">
        <v>498</v>
      </c>
      <c r="AZ43">
        <v>419</v>
      </c>
      <c r="BA43">
        <v>269</v>
      </c>
      <c r="BB43">
        <v>111</v>
      </c>
      <c r="BC43">
        <v>866</v>
      </c>
      <c r="BE43">
        <v>532</v>
      </c>
      <c r="BF43">
        <v>20</v>
      </c>
      <c r="BG43">
        <v>20</v>
      </c>
      <c r="BH43" t="str">
        <f t="shared" si="0"/>
        <v>Offererad produktnr. 09Dustin Sverige AB</v>
      </c>
      <c r="BL43" t="s">
        <v>677</v>
      </c>
      <c r="BM43" t="s">
        <v>286</v>
      </c>
      <c r="BN43" t="s">
        <v>285</v>
      </c>
      <c r="BO43" t="s">
        <v>584</v>
      </c>
      <c r="BP43" t="s">
        <v>291</v>
      </c>
      <c r="BQ43">
        <v>224339114040</v>
      </c>
      <c r="BR43">
        <v>7332</v>
      </c>
      <c r="BS43" t="s">
        <v>675</v>
      </c>
      <c r="BT43" t="s">
        <v>585</v>
      </c>
      <c r="BU43"/>
      <c r="BX43" t="s">
        <v>712</v>
      </c>
    </row>
    <row r="44" spans="1:77" ht="15" customHeight="1" x14ac:dyDescent="0.35">
      <c r="A44" t="s">
        <v>666</v>
      </c>
      <c r="B44" t="s">
        <v>113</v>
      </c>
      <c r="C44" t="s">
        <v>56</v>
      </c>
      <c r="H44" t="s">
        <v>128</v>
      </c>
      <c r="I44" s="175">
        <v>10190</v>
      </c>
      <c r="J44" t="s">
        <v>70</v>
      </c>
      <c r="K44" t="s">
        <v>678</v>
      </c>
      <c r="L44" t="s">
        <v>679</v>
      </c>
      <c r="M44">
        <v>2023</v>
      </c>
      <c r="N44">
        <v>12.4</v>
      </c>
      <c r="O44" t="s">
        <v>147</v>
      </c>
      <c r="W44" t="s">
        <v>86</v>
      </c>
      <c r="X44">
        <v>5.3</v>
      </c>
      <c r="Y44" t="s">
        <v>69</v>
      </c>
      <c r="Z44" t="s">
        <v>69</v>
      </c>
      <c r="AB44">
        <v>13</v>
      </c>
      <c r="AD44" t="s">
        <v>69</v>
      </c>
      <c r="AH44" t="s">
        <v>661</v>
      </c>
      <c r="AI44" t="s">
        <v>142</v>
      </c>
      <c r="AK44" t="s">
        <v>69</v>
      </c>
      <c r="AM44">
        <v>18.5</v>
      </c>
      <c r="AN44">
        <v>28.5</v>
      </c>
      <c r="AO44">
        <v>0.56999999999999995</v>
      </c>
      <c r="AP44" t="s">
        <v>588</v>
      </c>
      <c r="AR44">
        <v>256</v>
      </c>
      <c r="AS44">
        <v>581</v>
      </c>
      <c r="AZ44">
        <v>279</v>
      </c>
      <c r="BA44">
        <v>206</v>
      </c>
      <c r="BB44">
        <v>111</v>
      </c>
      <c r="BC44">
        <v>979</v>
      </c>
      <c r="BE44">
        <v>532</v>
      </c>
      <c r="BF44">
        <v>20</v>
      </c>
      <c r="BG44">
        <v>20</v>
      </c>
      <c r="BH44" t="str">
        <f t="shared" si="0"/>
        <v>Offererad produktnr. 10Dustin Sverige AB</v>
      </c>
      <c r="BL44" t="s">
        <v>283</v>
      </c>
      <c r="BM44" t="s">
        <v>286</v>
      </c>
      <c r="BN44" t="s">
        <v>70</v>
      </c>
      <c r="BO44" t="s">
        <v>584</v>
      </c>
      <c r="BP44" t="s">
        <v>291</v>
      </c>
      <c r="BQ44" t="s">
        <v>589</v>
      </c>
      <c r="BR44">
        <v>7242</v>
      </c>
      <c r="BS44" t="s">
        <v>675</v>
      </c>
      <c r="BT44" t="s">
        <v>585</v>
      </c>
      <c r="BU44"/>
      <c r="BX44" t="s">
        <v>712</v>
      </c>
    </row>
    <row r="45" spans="1:77" ht="15" customHeight="1" x14ac:dyDescent="0.35">
      <c r="A45" t="s">
        <v>666</v>
      </c>
      <c r="B45" t="s">
        <v>114</v>
      </c>
      <c r="C45" t="s">
        <v>58</v>
      </c>
      <c r="H45" t="s">
        <v>128</v>
      </c>
      <c r="I45" s="175">
        <v>2190</v>
      </c>
      <c r="J45" t="s">
        <v>60</v>
      </c>
      <c r="K45" t="s">
        <v>680</v>
      </c>
      <c r="L45" t="s">
        <v>681</v>
      </c>
      <c r="M45">
        <v>2022</v>
      </c>
      <c r="N45">
        <v>23.8</v>
      </c>
      <c r="O45" t="s">
        <v>71</v>
      </c>
      <c r="S45">
        <v>0</v>
      </c>
      <c r="U45">
        <v>1</v>
      </c>
      <c r="AC45" t="s">
        <v>527</v>
      </c>
      <c r="AF45" t="s">
        <v>87</v>
      </c>
      <c r="AG45" t="s">
        <v>69</v>
      </c>
      <c r="AI45" t="s">
        <v>89</v>
      </c>
      <c r="AK45" t="s">
        <v>69</v>
      </c>
      <c r="AP45" t="s">
        <v>149</v>
      </c>
      <c r="AT45">
        <v>16700000</v>
      </c>
      <c r="AU45">
        <v>250</v>
      </c>
      <c r="AV45" t="s">
        <v>69</v>
      </c>
      <c r="AW45">
        <v>1</v>
      </c>
      <c r="AY45" t="s">
        <v>682</v>
      </c>
      <c r="AZ45">
        <v>620</v>
      </c>
      <c r="BE45">
        <v>28</v>
      </c>
      <c r="BF45">
        <v>20</v>
      </c>
      <c r="BG45">
        <v>20</v>
      </c>
      <c r="BH45" t="str">
        <f t="shared" si="0"/>
        <v>Offererad produktnr. 11Dustin Sverige AB</v>
      </c>
      <c r="BL45" t="s">
        <v>280</v>
      </c>
      <c r="BM45"/>
      <c r="BN45"/>
      <c r="BO45"/>
      <c r="BP45"/>
      <c r="BQ45" t="s">
        <v>292</v>
      </c>
      <c r="BR45"/>
      <c r="BS45"/>
      <c r="BT45"/>
      <c r="BU45"/>
      <c r="BW45" t="s">
        <v>606</v>
      </c>
      <c r="BX45" t="s">
        <v>712</v>
      </c>
    </row>
    <row r="46" spans="1:77" ht="15" customHeight="1" x14ac:dyDescent="0.35">
      <c r="A46" t="s">
        <v>666</v>
      </c>
      <c r="B46" t="s">
        <v>114</v>
      </c>
      <c r="C46" t="s">
        <v>57</v>
      </c>
      <c r="H46" t="s">
        <v>128</v>
      </c>
      <c r="I46" s="175">
        <v>3010</v>
      </c>
      <c r="J46" t="s">
        <v>60</v>
      </c>
      <c r="K46" t="s">
        <v>683</v>
      </c>
      <c r="L46" t="s">
        <v>684</v>
      </c>
      <c r="M46">
        <v>2022</v>
      </c>
      <c r="N46">
        <v>27</v>
      </c>
      <c r="O46" t="s">
        <v>92</v>
      </c>
      <c r="S46">
        <v>4</v>
      </c>
      <c r="U46">
        <v>1</v>
      </c>
      <c r="AC46" t="s">
        <v>527</v>
      </c>
      <c r="AF46" t="s">
        <v>87</v>
      </c>
      <c r="AG46" t="s">
        <v>69</v>
      </c>
      <c r="AI46" t="s">
        <v>94</v>
      </c>
      <c r="AK46" t="s">
        <v>69</v>
      </c>
      <c r="AP46" t="s">
        <v>149</v>
      </c>
      <c r="AT46">
        <v>16700000</v>
      </c>
      <c r="AU46">
        <v>350</v>
      </c>
      <c r="AV46" t="s">
        <v>69</v>
      </c>
      <c r="AW46">
        <v>1</v>
      </c>
      <c r="AY46" t="s">
        <v>24</v>
      </c>
      <c r="AZ46">
        <v>700</v>
      </c>
      <c r="BE46">
        <v>28</v>
      </c>
      <c r="BF46">
        <v>20</v>
      </c>
      <c r="BG46">
        <v>20</v>
      </c>
      <c r="BH46" t="str">
        <f t="shared" si="0"/>
        <v>Offererad produktnr. 12Dustin Sverige AB</v>
      </c>
      <c r="BL46" t="s">
        <v>280</v>
      </c>
      <c r="BM46"/>
      <c r="BN46"/>
      <c r="BO46"/>
      <c r="BP46"/>
      <c r="BQ46" t="s">
        <v>293</v>
      </c>
      <c r="BR46"/>
      <c r="BS46"/>
      <c r="BT46"/>
      <c r="BU46"/>
      <c r="BW46" t="s">
        <v>606</v>
      </c>
      <c r="BX46" t="s">
        <v>712</v>
      </c>
    </row>
    <row r="47" spans="1:77" ht="15" customHeight="1" x14ac:dyDescent="0.35">
      <c r="A47" t="s">
        <v>720</v>
      </c>
      <c r="B47" t="s">
        <v>127</v>
      </c>
      <c r="C47" t="s">
        <v>44</v>
      </c>
      <c r="H47" t="s">
        <v>169</v>
      </c>
      <c r="I47" s="175">
        <v>8848</v>
      </c>
      <c r="J47" t="s">
        <v>60</v>
      </c>
      <c r="K47" t="s">
        <v>608</v>
      </c>
      <c r="L47" t="s">
        <v>667</v>
      </c>
      <c r="M47">
        <v>2021</v>
      </c>
      <c r="N47">
        <v>14</v>
      </c>
      <c r="O47" t="s">
        <v>71</v>
      </c>
      <c r="P47" t="s">
        <v>65</v>
      </c>
      <c r="Q47">
        <v>8</v>
      </c>
      <c r="R47">
        <v>256</v>
      </c>
      <c r="S47">
        <v>4</v>
      </c>
      <c r="T47">
        <v>1</v>
      </c>
      <c r="U47" t="s">
        <v>84</v>
      </c>
      <c r="V47" t="s">
        <v>78</v>
      </c>
      <c r="W47" t="s">
        <v>86</v>
      </c>
      <c r="X47">
        <v>5.3</v>
      </c>
      <c r="Y47" t="s">
        <v>69</v>
      </c>
      <c r="Z47" t="s">
        <v>69</v>
      </c>
      <c r="AA47" t="s">
        <v>69</v>
      </c>
      <c r="AB47">
        <v>11</v>
      </c>
      <c r="AC47" t="s">
        <v>527</v>
      </c>
      <c r="AD47" t="s">
        <v>69</v>
      </c>
      <c r="AE47" t="s">
        <v>69</v>
      </c>
      <c r="AF47" t="s">
        <v>87</v>
      </c>
      <c r="AG47" t="s">
        <v>69</v>
      </c>
      <c r="AH47" t="s">
        <v>567</v>
      </c>
      <c r="AI47" t="s">
        <v>650</v>
      </c>
      <c r="AJ47" t="s">
        <v>69</v>
      </c>
      <c r="AK47" t="s">
        <v>69</v>
      </c>
      <c r="AL47">
        <v>1.38</v>
      </c>
      <c r="AM47">
        <v>2</v>
      </c>
      <c r="AN47">
        <v>32.200000000000003</v>
      </c>
      <c r="AO47">
        <v>21.4</v>
      </c>
      <c r="AP47" t="s">
        <v>170</v>
      </c>
      <c r="AZ47">
        <v>78</v>
      </c>
      <c r="BA47">
        <v>252</v>
      </c>
      <c r="BB47">
        <v>138</v>
      </c>
      <c r="BC47">
        <v>1150</v>
      </c>
      <c r="BE47">
        <v>160</v>
      </c>
      <c r="BF47">
        <v>185</v>
      </c>
      <c r="BG47">
        <v>60</v>
      </c>
      <c r="BH47" t="s">
        <v>210</v>
      </c>
      <c r="BI47">
        <v>50</v>
      </c>
      <c r="BL47" t="s">
        <v>590</v>
      </c>
      <c r="BM47" t="s">
        <v>283</v>
      </c>
      <c r="BN47" t="s">
        <v>60</v>
      </c>
      <c r="BO47" t="s">
        <v>60</v>
      </c>
      <c r="BP47"/>
      <c r="BQ47" t="s">
        <v>591</v>
      </c>
      <c r="BR47" t="s">
        <v>326</v>
      </c>
      <c r="BS47" t="s">
        <v>301</v>
      </c>
      <c r="BT47" t="s">
        <v>302</v>
      </c>
      <c r="BU47"/>
      <c r="BX47" t="s">
        <v>687</v>
      </c>
      <c r="BY47">
        <v>5</v>
      </c>
    </row>
    <row r="48" spans="1:77" ht="15" customHeight="1" x14ac:dyDescent="0.35">
      <c r="A48" t="s">
        <v>720</v>
      </c>
      <c r="B48" t="s">
        <v>127</v>
      </c>
      <c r="C48" t="s">
        <v>72</v>
      </c>
      <c r="H48" t="s">
        <v>169</v>
      </c>
      <c r="I48" s="175">
        <v>9288</v>
      </c>
      <c r="J48" t="s">
        <v>61</v>
      </c>
      <c r="K48" t="s">
        <v>689</v>
      </c>
      <c r="L48" t="s">
        <v>690</v>
      </c>
      <c r="M48">
        <v>2021</v>
      </c>
      <c r="N48">
        <v>14</v>
      </c>
      <c r="O48" t="s">
        <v>71</v>
      </c>
      <c r="P48" t="s">
        <v>65</v>
      </c>
      <c r="Q48">
        <v>8</v>
      </c>
      <c r="R48">
        <v>256</v>
      </c>
      <c r="S48">
        <v>3</v>
      </c>
      <c r="T48">
        <v>1</v>
      </c>
      <c r="U48" t="s">
        <v>84</v>
      </c>
      <c r="V48" t="s">
        <v>78</v>
      </c>
      <c r="W48" t="s">
        <v>79</v>
      </c>
      <c r="X48">
        <v>5</v>
      </c>
      <c r="Y48" t="s">
        <v>69</v>
      </c>
      <c r="Z48" t="s">
        <v>69</v>
      </c>
      <c r="AA48" t="s">
        <v>69</v>
      </c>
      <c r="AB48">
        <v>11</v>
      </c>
      <c r="AC48" t="s">
        <v>527</v>
      </c>
      <c r="AD48" t="s">
        <v>69</v>
      </c>
      <c r="AE48" t="s">
        <v>69</v>
      </c>
      <c r="AF48" t="s">
        <v>87</v>
      </c>
      <c r="AG48" t="s">
        <v>69</v>
      </c>
      <c r="AH48" t="s">
        <v>567</v>
      </c>
      <c r="AI48" t="s">
        <v>650</v>
      </c>
      <c r="AJ48" t="s">
        <v>69</v>
      </c>
      <c r="AK48" t="s">
        <v>69</v>
      </c>
      <c r="AL48">
        <v>1.53</v>
      </c>
      <c r="AM48">
        <v>1.8</v>
      </c>
      <c r="AN48">
        <v>31.3</v>
      </c>
      <c r="AO48">
        <v>21.9</v>
      </c>
      <c r="AP48" t="s">
        <v>117</v>
      </c>
      <c r="AZ48">
        <v>78</v>
      </c>
      <c r="BA48">
        <v>252</v>
      </c>
      <c r="BB48">
        <v>210</v>
      </c>
      <c r="BC48">
        <v>1824</v>
      </c>
      <c r="BE48">
        <v>290</v>
      </c>
      <c r="BF48">
        <v>185</v>
      </c>
      <c r="BG48">
        <v>60</v>
      </c>
      <c r="BH48" t="s">
        <v>211</v>
      </c>
      <c r="BI48">
        <v>50</v>
      </c>
      <c r="BL48" t="s">
        <v>590</v>
      </c>
      <c r="BM48" t="s">
        <v>283</v>
      </c>
      <c r="BN48" t="s">
        <v>61</v>
      </c>
      <c r="BO48" t="s">
        <v>61</v>
      </c>
      <c r="BP48"/>
      <c r="BQ48" t="s">
        <v>591</v>
      </c>
      <c r="BR48" t="s">
        <v>326</v>
      </c>
      <c r="BS48" t="s">
        <v>306</v>
      </c>
      <c r="BT48" t="s">
        <v>327</v>
      </c>
      <c r="BU48"/>
      <c r="BX48" t="s">
        <v>687</v>
      </c>
      <c r="BY48">
        <v>5</v>
      </c>
    </row>
    <row r="49" spans="1:77" ht="15" customHeight="1" x14ac:dyDescent="0.35">
      <c r="A49" t="s">
        <v>720</v>
      </c>
      <c r="B49" t="s">
        <v>127</v>
      </c>
      <c r="C49" t="s">
        <v>45</v>
      </c>
      <c r="H49" t="s">
        <v>169</v>
      </c>
      <c r="I49" s="175">
        <v>11210</v>
      </c>
      <c r="J49" t="s">
        <v>61</v>
      </c>
      <c r="K49" t="s">
        <v>691</v>
      </c>
      <c r="L49" t="s">
        <v>692</v>
      </c>
      <c r="M49">
        <v>2021</v>
      </c>
      <c r="N49">
        <v>14</v>
      </c>
      <c r="O49" t="s">
        <v>71</v>
      </c>
      <c r="P49" t="s">
        <v>66</v>
      </c>
      <c r="Q49">
        <v>16</v>
      </c>
      <c r="R49">
        <v>512</v>
      </c>
      <c r="S49">
        <v>4</v>
      </c>
      <c r="T49">
        <v>2</v>
      </c>
      <c r="U49" t="s">
        <v>84</v>
      </c>
      <c r="V49" t="s">
        <v>78</v>
      </c>
      <c r="W49" t="s">
        <v>86</v>
      </c>
      <c r="X49">
        <v>5.2</v>
      </c>
      <c r="Y49" t="s">
        <v>69</v>
      </c>
      <c r="Z49" t="s">
        <v>69</v>
      </c>
      <c r="AA49" t="s">
        <v>69</v>
      </c>
      <c r="AB49">
        <v>11</v>
      </c>
      <c r="AC49" t="s">
        <v>527</v>
      </c>
      <c r="AD49" t="s">
        <v>69</v>
      </c>
      <c r="AE49" t="s">
        <v>69</v>
      </c>
      <c r="AF49" t="s">
        <v>87</v>
      </c>
      <c r="AG49" t="s">
        <v>69</v>
      </c>
      <c r="AH49" t="s">
        <v>567</v>
      </c>
      <c r="AI49" t="s">
        <v>650</v>
      </c>
      <c r="AJ49" t="s">
        <v>69</v>
      </c>
      <c r="AK49" t="s">
        <v>69</v>
      </c>
      <c r="AL49">
        <v>1.4</v>
      </c>
      <c r="AM49">
        <v>1.9</v>
      </c>
      <c r="AN49">
        <v>32.5</v>
      </c>
      <c r="AO49">
        <v>21.7</v>
      </c>
      <c r="AP49" t="s">
        <v>117</v>
      </c>
      <c r="AZ49">
        <v>78</v>
      </c>
      <c r="BA49">
        <v>252</v>
      </c>
      <c r="BB49">
        <v>210</v>
      </c>
      <c r="BC49">
        <v>1824</v>
      </c>
      <c r="BE49">
        <v>290</v>
      </c>
      <c r="BF49">
        <v>185</v>
      </c>
      <c r="BG49">
        <v>60</v>
      </c>
      <c r="BH49" t="s">
        <v>212</v>
      </c>
      <c r="BI49">
        <v>50</v>
      </c>
      <c r="BL49" t="s">
        <v>590</v>
      </c>
      <c r="BM49" t="s">
        <v>283</v>
      </c>
      <c r="BN49" t="s">
        <v>61</v>
      </c>
      <c r="BO49" t="s">
        <v>61</v>
      </c>
      <c r="BP49"/>
      <c r="BQ49" t="s">
        <v>591</v>
      </c>
      <c r="BR49" t="s">
        <v>326</v>
      </c>
      <c r="BS49" t="s">
        <v>306</v>
      </c>
      <c r="BT49" t="s">
        <v>327</v>
      </c>
      <c r="BU49"/>
      <c r="BX49" t="s">
        <v>687</v>
      </c>
      <c r="BY49">
        <v>7</v>
      </c>
    </row>
    <row r="50" spans="1:77" ht="15" customHeight="1" x14ac:dyDescent="0.35">
      <c r="A50" t="s">
        <v>720</v>
      </c>
      <c r="B50" t="s">
        <v>127</v>
      </c>
      <c r="C50" t="s">
        <v>46</v>
      </c>
      <c r="H50" t="s">
        <v>169</v>
      </c>
      <c r="I50" s="175">
        <v>10577</v>
      </c>
      <c r="J50" t="s">
        <v>60</v>
      </c>
      <c r="K50" t="s">
        <v>693</v>
      </c>
      <c r="L50" t="s">
        <v>685</v>
      </c>
      <c r="M50">
        <v>2021</v>
      </c>
      <c r="N50">
        <v>14</v>
      </c>
      <c r="O50" t="s">
        <v>71</v>
      </c>
      <c r="P50" t="s">
        <v>64</v>
      </c>
      <c r="Q50">
        <v>16</v>
      </c>
      <c r="R50">
        <v>512</v>
      </c>
      <c r="S50">
        <v>4</v>
      </c>
      <c r="T50">
        <v>2</v>
      </c>
      <c r="U50" t="s">
        <v>84</v>
      </c>
      <c r="V50" t="s">
        <v>78</v>
      </c>
      <c r="W50" t="s">
        <v>86</v>
      </c>
      <c r="X50">
        <v>5.3</v>
      </c>
      <c r="Y50" t="s">
        <v>69</v>
      </c>
      <c r="Z50" t="s">
        <v>69</v>
      </c>
      <c r="AA50" t="s">
        <v>69</v>
      </c>
      <c r="AB50">
        <v>11</v>
      </c>
      <c r="AC50" t="s">
        <v>527</v>
      </c>
      <c r="AD50" t="s">
        <v>69</v>
      </c>
      <c r="AE50" t="s">
        <v>69</v>
      </c>
      <c r="AF50" t="s">
        <v>87</v>
      </c>
      <c r="AG50" t="s">
        <v>69</v>
      </c>
      <c r="AH50" t="s">
        <v>567</v>
      </c>
      <c r="AI50" t="s">
        <v>650</v>
      </c>
      <c r="AJ50" t="s">
        <v>69</v>
      </c>
      <c r="AK50" t="s">
        <v>69</v>
      </c>
      <c r="AL50">
        <v>1.38</v>
      </c>
      <c r="AM50">
        <v>2</v>
      </c>
      <c r="AN50">
        <v>32.200000000000003</v>
      </c>
      <c r="AO50">
        <v>21.4</v>
      </c>
      <c r="AP50" t="s">
        <v>131</v>
      </c>
      <c r="AZ50">
        <v>93</v>
      </c>
      <c r="BA50">
        <v>252</v>
      </c>
      <c r="BB50">
        <v>138</v>
      </c>
      <c r="BC50">
        <v>1150</v>
      </c>
      <c r="BE50">
        <v>192</v>
      </c>
      <c r="BF50">
        <v>185</v>
      </c>
      <c r="BG50">
        <v>60</v>
      </c>
      <c r="BH50" t="s">
        <v>213</v>
      </c>
      <c r="BI50">
        <v>50</v>
      </c>
      <c r="BL50" t="s">
        <v>590</v>
      </c>
      <c r="BM50" t="s">
        <v>283</v>
      </c>
      <c r="BN50" t="s">
        <v>60</v>
      </c>
      <c r="BO50" t="s">
        <v>60</v>
      </c>
      <c r="BP50"/>
      <c r="BQ50" t="s">
        <v>591</v>
      </c>
      <c r="BR50" t="s">
        <v>326</v>
      </c>
      <c r="BS50" t="s">
        <v>301</v>
      </c>
      <c r="BT50" t="s">
        <v>302</v>
      </c>
      <c r="BU50"/>
      <c r="BX50" t="s">
        <v>688</v>
      </c>
      <c r="BY50">
        <v>7</v>
      </c>
    </row>
    <row r="51" spans="1:77" ht="15" customHeight="1" x14ac:dyDescent="0.35">
      <c r="A51" t="s">
        <v>720</v>
      </c>
      <c r="B51" t="s">
        <v>134</v>
      </c>
      <c r="C51" t="s">
        <v>47</v>
      </c>
      <c r="H51" t="s">
        <v>169</v>
      </c>
      <c r="I51" s="175">
        <v>3636</v>
      </c>
      <c r="J51" t="s">
        <v>61</v>
      </c>
      <c r="K51" t="s">
        <v>694</v>
      </c>
      <c r="L51" t="s">
        <v>695</v>
      </c>
      <c r="M51" t="s">
        <v>154</v>
      </c>
      <c r="N51">
        <v>11.6</v>
      </c>
      <c r="O51" t="s">
        <v>706</v>
      </c>
      <c r="P51" t="s">
        <v>696</v>
      </c>
      <c r="Q51">
        <v>4</v>
      </c>
      <c r="R51">
        <v>32</v>
      </c>
      <c r="S51">
        <v>3</v>
      </c>
      <c r="T51">
        <v>1</v>
      </c>
      <c r="W51" t="s">
        <v>79</v>
      </c>
      <c r="X51">
        <v>5.0999999999999996</v>
      </c>
      <c r="Y51" t="s">
        <v>69</v>
      </c>
      <c r="Z51" t="s">
        <v>69</v>
      </c>
      <c r="AB51">
        <v>11</v>
      </c>
      <c r="AC51" t="s">
        <v>527</v>
      </c>
      <c r="AD51" t="s">
        <v>69</v>
      </c>
      <c r="AE51" t="s">
        <v>69</v>
      </c>
      <c r="AF51" t="s">
        <v>87</v>
      </c>
      <c r="AG51" t="s">
        <v>69</v>
      </c>
      <c r="AH51" t="s">
        <v>82</v>
      </c>
      <c r="AI51" t="s">
        <v>697</v>
      </c>
      <c r="AJ51" t="s">
        <v>69</v>
      </c>
      <c r="AK51" t="s">
        <v>69</v>
      </c>
      <c r="AL51">
        <v>1.23</v>
      </c>
      <c r="AM51">
        <v>1.8</v>
      </c>
      <c r="AN51">
        <v>28.7</v>
      </c>
      <c r="AO51">
        <v>20</v>
      </c>
      <c r="AP51" t="s">
        <v>116</v>
      </c>
      <c r="AZ51">
        <v>78</v>
      </c>
      <c r="BA51">
        <v>240</v>
      </c>
      <c r="BB51">
        <v>210</v>
      </c>
      <c r="BE51">
        <v>405</v>
      </c>
      <c r="BF51">
        <v>185</v>
      </c>
      <c r="BG51">
        <v>60</v>
      </c>
      <c r="BH51" t="s">
        <v>214</v>
      </c>
      <c r="BI51">
        <v>50</v>
      </c>
      <c r="BL51" t="s">
        <v>590</v>
      </c>
      <c r="BM51" t="s">
        <v>61</v>
      </c>
      <c r="BN51" t="s">
        <v>61</v>
      </c>
      <c r="BO51"/>
      <c r="BP51"/>
      <c r="BQ51" t="s">
        <v>592</v>
      </c>
      <c r="BR51" t="s">
        <v>305</v>
      </c>
      <c r="BS51" t="s">
        <v>306</v>
      </c>
      <c r="BT51"/>
      <c r="BU51"/>
      <c r="BX51" t="s">
        <v>714</v>
      </c>
    </row>
    <row r="52" spans="1:77" ht="15" customHeight="1" x14ac:dyDescent="0.35">
      <c r="A52" t="s">
        <v>720</v>
      </c>
      <c r="B52" t="s">
        <v>134</v>
      </c>
      <c r="C52" t="s">
        <v>48</v>
      </c>
      <c r="H52" t="s">
        <v>169</v>
      </c>
      <c r="I52" s="175">
        <v>5133</v>
      </c>
      <c r="J52" t="s">
        <v>60</v>
      </c>
      <c r="K52" t="s">
        <v>138</v>
      </c>
      <c r="L52" t="s">
        <v>593</v>
      </c>
      <c r="M52" t="s">
        <v>154</v>
      </c>
      <c r="N52">
        <v>14</v>
      </c>
      <c r="O52" t="s">
        <v>71</v>
      </c>
      <c r="P52" t="s">
        <v>81</v>
      </c>
      <c r="Q52">
        <v>8</v>
      </c>
      <c r="R52">
        <v>64</v>
      </c>
      <c r="S52">
        <v>3</v>
      </c>
      <c r="T52">
        <v>1</v>
      </c>
      <c r="W52" t="s">
        <v>86</v>
      </c>
      <c r="X52">
        <v>5</v>
      </c>
      <c r="Y52" t="s">
        <v>69</v>
      </c>
      <c r="Z52" t="s">
        <v>69</v>
      </c>
      <c r="AB52">
        <v>11</v>
      </c>
      <c r="AC52" t="s">
        <v>527</v>
      </c>
      <c r="AD52" t="s">
        <v>69</v>
      </c>
      <c r="AE52" t="s">
        <v>69</v>
      </c>
      <c r="AF52" t="s">
        <v>87</v>
      </c>
      <c r="AG52" t="s">
        <v>69</v>
      </c>
      <c r="AH52" t="s">
        <v>82</v>
      </c>
      <c r="AI52" t="s">
        <v>89</v>
      </c>
      <c r="AJ52" t="s">
        <v>69</v>
      </c>
      <c r="AK52" t="s">
        <v>69</v>
      </c>
      <c r="AL52">
        <v>1.54</v>
      </c>
      <c r="AM52">
        <v>1.8</v>
      </c>
      <c r="AN52">
        <v>32.700000000000003</v>
      </c>
      <c r="AO52">
        <v>22.7</v>
      </c>
      <c r="AP52" t="s">
        <v>139</v>
      </c>
      <c r="AZ52">
        <v>78</v>
      </c>
      <c r="BA52">
        <v>276</v>
      </c>
      <c r="BB52">
        <v>240</v>
      </c>
      <c r="BE52">
        <v>162</v>
      </c>
      <c r="BF52">
        <v>185</v>
      </c>
      <c r="BG52">
        <v>60</v>
      </c>
      <c r="BH52" t="s">
        <v>215</v>
      </c>
      <c r="BI52">
        <v>50</v>
      </c>
      <c r="BL52" t="s">
        <v>590</v>
      </c>
      <c r="BM52" t="s">
        <v>283</v>
      </c>
      <c r="BN52" t="s">
        <v>60</v>
      </c>
      <c r="BO52"/>
      <c r="BP52"/>
      <c r="BQ52" t="s">
        <v>592</v>
      </c>
      <c r="BR52" t="s">
        <v>326</v>
      </c>
      <c r="BS52" t="s">
        <v>307</v>
      </c>
      <c r="BT52"/>
      <c r="BU52"/>
      <c r="BX52" t="s">
        <v>688</v>
      </c>
      <c r="BY52">
        <v>3</v>
      </c>
    </row>
    <row r="53" spans="1:77" ht="15" customHeight="1" x14ac:dyDescent="0.35">
      <c r="A53" t="s">
        <v>720</v>
      </c>
      <c r="B53" t="s">
        <v>113</v>
      </c>
      <c r="C53" t="s">
        <v>49</v>
      </c>
      <c r="H53" t="s">
        <v>169</v>
      </c>
      <c r="I53" s="175">
        <v>4068</v>
      </c>
      <c r="J53" t="s">
        <v>62</v>
      </c>
      <c r="K53" t="s">
        <v>545</v>
      </c>
      <c r="L53" t="s">
        <v>529</v>
      </c>
      <c r="M53" t="s">
        <v>154</v>
      </c>
      <c r="N53">
        <v>10.199999999999999</v>
      </c>
      <c r="O53" t="s">
        <v>90</v>
      </c>
      <c r="W53" t="s">
        <v>79</v>
      </c>
      <c r="X53">
        <v>4.2</v>
      </c>
      <c r="Y53" t="s">
        <v>69</v>
      </c>
      <c r="Z53" t="s">
        <v>69</v>
      </c>
      <c r="AB53">
        <v>10</v>
      </c>
      <c r="AD53" t="s">
        <v>69</v>
      </c>
      <c r="AH53" t="s">
        <v>530</v>
      </c>
      <c r="AI53" t="s">
        <v>94</v>
      </c>
      <c r="AK53" t="s">
        <v>69</v>
      </c>
      <c r="AM53">
        <v>25.06</v>
      </c>
      <c r="AN53">
        <v>17.41</v>
      </c>
      <c r="AO53">
        <v>0.75</v>
      </c>
      <c r="AP53" t="s">
        <v>145</v>
      </c>
      <c r="AR53">
        <v>64</v>
      </c>
      <c r="AS53">
        <v>487</v>
      </c>
      <c r="AZ53">
        <v>210</v>
      </c>
      <c r="BA53">
        <v>240</v>
      </c>
      <c r="BB53">
        <v>372</v>
      </c>
      <c r="BC53">
        <v>156</v>
      </c>
      <c r="BD53">
        <v>1080</v>
      </c>
      <c r="BE53">
        <v>480</v>
      </c>
      <c r="BF53">
        <v>60</v>
      </c>
      <c r="BG53">
        <v>50</v>
      </c>
      <c r="BH53" t="s">
        <v>216</v>
      </c>
      <c r="BL53" t="s">
        <v>283</v>
      </c>
      <c r="BM53" t="s">
        <v>328</v>
      </c>
      <c r="BN53" t="s">
        <v>62</v>
      </c>
      <c r="BO53" t="s">
        <v>294</v>
      </c>
      <c r="BP53" t="s">
        <v>62</v>
      </c>
      <c r="BQ53" t="s">
        <v>329</v>
      </c>
      <c r="BR53" t="s">
        <v>330</v>
      </c>
      <c r="BS53" t="s">
        <v>331</v>
      </c>
      <c r="BT53" t="s">
        <v>332</v>
      </c>
      <c r="BU53" t="s">
        <v>324</v>
      </c>
      <c r="BX53" t="s">
        <v>712</v>
      </c>
    </row>
    <row r="54" spans="1:77" ht="15" customHeight="1" x14ac:dyDescent="0.35">
      <c r="A54" t="s">
        <v>720</v>
      </c>
      <c r="B54" t="s">
        <v>113</v>
      </c>
      <c r="C54" t="s">
        <v>50</v>
      </c>
      <c r="H54" t="s">
        <v>169</v>
      </c>
      <c r="I54" s="175">
        <v>3894</v>
      </c>
      <c r="J54" t="s">
        <v>70</v>
      </c>
      <c r="K54" t="s">
        <v>140</v>
      </c>
      <c r="L54" t="s">
        <v>582</v>
      </c>
      <c r="M54">
        <v>2020</v>
      </c>
      <c r="N54">
        <v>10.4</v>
      </c>
      <c r="O54" t="s">
        <v>141</v>
      </c>
      <c r="W54" t="s">
        <v>79</v>
      </c>
      <c r="X54">
        <v>5</v>
      </c>
      <c r="Y54" t="s">
        <v>69</v>
      </c>
      <c r="Z54" t="s">
        <v>69</v>
      </c>
      <c r="AB54">
        <v>12</v>
      </c>
      <c r="AD54" t="s">
        <v>69</v>
      </c>
      <c r="AH54" t="s">
        <v>91</v>
      </c>
      <c r="AI54" t="s">
        <v>171</v>
      </c>
      <c r="AK54" t="s">
        <v>69</v>
      </c>
      <c r="AM54">
        <v>24.5</v>
      </c>
      <c r="AN54">
        <v>15.4</v>
      </c>
      <c r="AO54">
        <v>0.7</v>
      </c>
      <c r="AP54" t="s">
        <v>116</v>
      </c>
      <c r="AR54">
        <v>64</v>
      </c>
      <c r="AS54">
        <v>465</v>
      </c>
      <c r="AZ54">
        <v>350</v>
      </c>
      <c r="BA54">
        <v>165</v>
      </c>
      <c r="BB54">
        <v>114</v>
      </c>
      <c r="BC54">
        <v>156</v>
      </c>
      <c r="BD54">
        <v>306</v>
      </c>
      <c r="BE54">
        <v>1</v>
      </c>
      <c r="BF54">
        <v>60</v>
      </c>
      <c r="BG54">
        <v>50</v>
      </c>
      <c r="BH54" t="s">
        <v>217</v>
      </c>
      <c r="BL54" t="s">
        <v>298</v>
      </c>
      <c r="BM54" t="s">
        <v>594</v>
      </c>
      <c r="BN54" t="s">
        <v>70</v>
      </c>
      <c r="BO54" t="s">
        <v>294</v>
      </c>
      <c r="BP54" t="s">
        <v>70</v>
      </c>
      <c r="BQ54" t="s">
        <v>333</v>
      </c>
      <c r="BR54" t="s">
        <v>595</v>
      </c>
      <c r="BS54" t="s">
        <v>334</v>
      </c>
      <c r="BT54" t="s">
        <v>332</v>
      </c>
      <c r="BU54" t="s">
        <v>335</v>
      </c>
      <c r="BX54" t="s">
        <v>712</v>
      </c>
    </row>
    <row r="55" spans="1:77" ht="15" customHeight="1" x14ac:dyDescent="0.35">
      <c r="A55" t="s">
        <v>720</v>
      </c>
      <c r="B55" t="s">
        <v>113</v>
      </c>
      <c r="C55" t="s">
        <v>42</v>
      </c>
      <c r="H55" t="s">
        <v>169</v>
      </c>
      <c r="I55" s="175">
        <v>7350</v>
      </c>
      <c r="J55" t="s">
        <v>70</v>
      </c>
      <c r="K55" t="s">
        <v>538</v>
      </c>
      <c r="L55" t="s">
        <v>539</v>
      </c>
      <c r="M55" t="s">
        <v>154</v>
      </c>
      <c r="N55">
        <v>11</v>
      </c>
      <c r="O55" t="s">
        <v>93</v>
      </c>
      <c r="W55" t="s">
        <v>86</v>
      </c>
      <c r="X55">
        <v>5</v>
      </c>
      <c r="Y55" t="s">
        <v>69</v>
      </c>
      <c r="Z55" t="s">
        <v>101</v>
      </c>
      <c r="AB55">
        <v>13</v>
      </c>
      <c r="AD55" t="s">
        <v>69</v>
      </c>
      <c r="AH55" t="s">
        <v>91</v>
      </c>
      <c r="AI55" t="s">
        <v>171</v>
      </c>
      <c r="AK55" t="s">
        <v>69</v>
      </c>
      <c r="AM55">
        <v>16.5</v>
      </c>
      <c r="AN55">
        <v>25.4</v>
      </c>
      <c r="AO55">
        <v>0.6</v>
      </c>
      <c r="AP55" t="s">
        <v>117</v>
      </c>
      <c r="AR55">
        <v>128</v>
      </c>
      <c r="AS55">
        <v>503</v>
      </c>
      <c r="AZ55">
        <v>340</v>
      </c>
      <c r="BA55">
        <v>205</v>
      </c>
      <c r="BB55">
        <v>114</v>
      </c>
      <c r="BC55">
        <v>156</v>
      </c>
      <c r="BD55">
        <v>360</v>
      </c>
      <c r="BE55">
        <v>1</v>
      </c>
      <c r="BF55">
        <v>60</v>
      </c>
      <c r="BG55">
        <v>50</v>
      </c>
      <c r="BH55" t="s">
        <v>218</v>
      </c>
      <c r="BL55" t="s">
        <v>325</v>
      </c>
      <c r="BM55" t="s">
        <v>298</v>
      </c>
      <c r="BN55" t="s">
        <v>70</v>
      </c>
      <c r="BO55" t="s">
        <v>294</v>
      </c>
      <c r="BP55" t="s">
        <v>70</v>
      </c>
      <c r="BQ55" t="s">
        <v>596</v>
      </c>
      <c r="BR55" t="s">
        <v>597</v>
      </c>
      <c r="BS55" t="s">
        <v>334</v>
      </c>
      <c r="BT55" t="s">
        <v>332</v>
      </c>
      <c r="BU55" t="s">
        <v>336</v>
      </c>
      <c r="BX55" t="s">
        <v>712</v>
      </c>
    </row>
    <row r="56" spans="1:77" ht="15" customHeight="1" x14ac:dyDescent="0.35">
      <c r="A56" t="s">
        <v>720</v>
      </c>
      <c r="B56" t="s">
        <v>113</v>
      </c>
      <c r="C56" t="s">
        <v>56</v>
      </c>
      <c r="H56" t="s">
        <v>169</v>
      </c>
      <c r="I56" s="175">
        <v>5256</v>
      </c>
      <c r="J56" t="s">
        <v>61</v>
      </c>
      <c r="K56" t="s">
        <v>172</v>
      </c>
      <c r="L56" t="s">
        <v>157</v>
      </c>
      <c r="M56">
        <v>2020</v>
      </c>
      <c r="N56">
        <v>11.5</v>
      </c>
      <c r="O56" t="s">
        <v>93</v>
      </c>
      <c r="W56" t="s">
        <v>79</v>
      </c>
      <c r="X56">
        <v>5</v>
      </c>
      <c r="Y56" t="s">
        <v>69</v>
      </c>
      <c r="Z56" t="s">
        <v>69</v>
      </c>
      <c r="AB56">
        <v>8</v>
      </c>
      <c r="AD56" t="s">
        <v>69</v>
      </c>
      <c r="AH56" t="s">
        <v>83</v>
      </c>
      <c r="AI56" t="s">
        <v>105</v>
      </c>
      <c r="AK56" t="s">
        <v>69</v>
      </c>
      <c r="AM56">
        <v>26.4</v>
      </c>
      <c r="AN56">
        <v>17.100000000000001</v>
      </c>
      <c r="AO56">
        <v>0.6</v>
      </c>
      <c r="AP56" t="s">
        <v>158</v>
      </c>
      <c r="AR56">
        <v>128</v>
      </c>
      <c r="AS56">
        <v>485</v>
      </c>
      <c r="AZ56">
        <v>210</v>
      </c>
      <c r="BA56">
        <v>276</v>
      </c>
      <c r="BB56">
        <v>240</v>
      </c>
      <c r="BC56">
        <v>156</v>
      </c>
      <c r="BD56">
        <v>564</v>
      </c>
      <c r="BE56">
        <v>550</v>
      </c>
      <c r="BF56">
        <v>60</v>
      </c>
      <c r="BG56">
        <v>50</v>
      </c>
      <c r="BH56" t="s">
        <v>219</v>
      </c>
      <c r="BL56" t="s">
        <v>61</v>
      </c>
      <c r="BM56" t="s">
        <v>61</v>
      </c>
      <c r="BN56" t="s">
        <v>61</v>
      </c>
      <c r="BO56" t="s">
        <v>294</v>
      </c>
      <c r="BP56" t="s">
        <v>61</v>
      </c>
      <c r="BQ56" t="s">
        <v>300</v>
      </c>
      <c r="BR56" t="s">
        <v>337</v>
      </c>
      <c r="BS56" t="s">
        <v>321</v>
      </c>
      <c r="BT56" t="s">
        <v>332</v>
      </c>
      <c r="BU56" t="s">
        <v>323</v>
      </c>
      <c r="BX56" t="s">
        <v>712</v>
      </c>
    </row>
    <row r="57" spans="1:77" ht="15" customHeight="1" x14ac:dyDescent="0.35">
      <c r="A57" t="s">
        <v>720</v>
      </c>
      <c r="B57" t="s">
        <v>114</v>
      </c>
      <c r="C57" t="s">
        <v>58</v>
      </c>
      <c r="H57" t="s">
        <v>169</v>
      </c>
      <c r="I57" s="175">
        <v>2361</v>
      </c>
      <c r="J57" t="s">
        <v>61</v>
      </c>
      <c r="K57" t="s">
        <v>698</v>
      </c>
      <c r="L57" t="s">
        <v>699</v>
      </c>
      <c r="M57">
        <v>2021</v>
      </c>
      <c r="N57">
        <v>23.8</v>
      </c>
      <c r="O57" t="s">
        <v>71</v>
      </c>
      <c r="S57">
        <v>0</v>
      </c>
      <c r="U57">
        <v>1</v>
      </c>
      <c r="AC57" t="s">
        <v>527</v>
      </c>
      <c r="AF57" t="s">
        <v>87</v>
      </c>
      <c r="AG57" t="s">
        <v>69</v>
      </c>
      <c r="AI57" t="s">
        <v>697</v>
      </c>
      <c r="AK57" t="s">
        <v>69</v>
      </c>
      <c r="AP57" t="s">
        <v>117</v>
      </c>
      <c r="AT57">
        <v>16700000</v>
      </c>
      <c r="AU57">
        <v>250</v>
      </c>
      <c r="AV57" t="s">
        <v>69</v>
      </c>
      <c r="AW57">
        <v>1</v>
      </c>
      <c r="AY57" t="s">
        <v>173</v>
      </c>
      <c r="AZ57">
        <v>516</v>
      </c>
      <c r="BE57">
        <v>90</v>
      </c>
      <c r="BF57">
        <v>60</v>
      </c>
      <c r="BG57">
        <v>50</v>
      </c>
      <c r="BH57" t="s">
        <v>220</v>
      </c>
      <c r="BL57" t="s">
        <v>283</v>
      </c>
      <c r="BM57"/>
      <c r="BN57"/>
      <c r="BO57"/>
      <c r="BP57"/>
      <c r="BQ57" t="s">
        <v>338</v>
      </c>
      <c r="BR57"/>
      <c r="BS57"/>
      <c r="BT57"/>
      <c r="BU57"/>
      <c r="BX57" t="s">
        <v>712</v>
      </c>
    </row>
    <row r="58" spans="1:77" ht="15" customHeight="1" x14ac:dyDescent="0.35">
      <c r="A58" t="s">
        <v>720</v>
      </c>
      <c r="B58" t="s">
        <v>114</v>
      </c>
      <c r="C58" t="s">
        <v>57</v>
      </c>
      <c r="H58" t="s">
        <v>169</v>
      </c>
      <c r="I58" s="175">
        <v>3002</v>
      </c>
      <c r="J58" t="s">
        <v>61</v>
      </c>
      <c r="K58" t="s">
        <v>168</v>
      </c>
      <c r="L58" t="s">
        <v>700</v>
      </c>
      <c r="M58">
        <v>2021</v>
      </c>
      <c r="N58">
        <v>27</v>
      </c>
      <c r="O58" t="s">
        <v>92</v>
      </c>
      <c r="S58">
        <v>0</v>
      </c>
      <c r="U58">
        <v>1</v>
      </c>
      <c r="AC58" t="s">
        <v>527</v>
      </c>
      <c r="AF58" t="s">
        <v>87</v>
      </c>
      <c r="AG58" t="s">
        <v>69</v>
      </c>
      <c r="AI58" t="s">
        <v>89</v>
      </c>
      <c r="AK58" t="s">
        <v>69</v>
      </c>
      <c r="AP58" t="s">
        <v>117</v>
      </c>
      <c r="AT58">
        <v>16700000</v>
      </c>
      <c r="AU58">
        <v>350</v>
      </c>
      <c r="AV58" t="s">
        <v>69</v>
      </c>
      <c r="AW58">
        <v>1</v>
      </c>
      <c r="AY58" t="s">
        <v>173</v>
      </c>
      <c r="AZ58">
        <v>672</v>
      </c>
      <c r="BE58">
        <v>90</v>
      </c>
      <c r="BF58">
        <v>60</v>
      </c>
      <c r="BG58">
        <v>50</v>
      </c>
      <c r="BH58" t="s">
        <v>221</v>
      </c>
      <c r="BL58" t="s">
        <v>283</v>
      </c>
      <c r="BM58"/>
      <c r="BN58"/>
      <c r="BO58"/>
      <c r="BP58"/>
      <c r="BQ58" t="s">
        <v>339</v>
      </c>
      <c r="BR58"/>
      <c r="BS58"/>
      <c r="BT58"/>
      <c r="BU58"/>
      <c r="BX58" t="s">
        <v>712</v>
      </c>
    </row>
    <row r="59" spans="1:77" ht="15" customHeight="1" x14ac:dyDescent="0.35">
      <c r="A59" t="s">
        <v>721</v>
      </c>
      <c r="B59" t="s">
        <v>127</v>
      </c>
      <c r="C59" t="s">
        <v>44</v>
      </c>
      <c r="H59" t="s">
        <v>546</v>
      </c>
      <c r="I59" s="175">
        <v>6420</v>
      </c>
      <c r="J59" t="s">
        <v>60</v>
      </c>
      <c r="K59" t="s">
        <v>129</v>
      </c>
      <c r="L59" t="s">
        <v>403</v>
      </c>
      <c r="M59">
        <v>2021</v>
      </c>
      <c r="N59">
        <v>14</v>
      </c>
      <c r="O59" t="s">
        <v>71</v>
      </c>
      <c r="P59" t="s">
        <v>65</v>
      </c>
      <c r="Q59">
        <v>8</v>
      </c>
      <c r="R59">
        <v>256</v>
      </c>
      <c r="S59">
        <v>4</v>
      </c>
      <c r="T59">
        <v>1</v>
      </c>
      <c r="U59" t="s">
        <v>84</v>
      </c>
      <c r="V59" t="s">
        <v>78</v>
      </c>
      <c r="W59" t="s">
        <v>86</v>
      </c>
      <c r="X59">
        <v>5</v>
      </c>
      <c r="Y59" t="s">
        <v>69</v>
      </c>
      <c r="Z59" t="s">
        <v>69</v>
      </c>
      <c r="AA59" t="s">
        <v>69</v>
      </c>
      <c r="AB59">
        <v>11</v>
      </c>
      <c r="AC59" t="s">
        <v>527</v>
      </c>
      <c r="AD59" t="s">
        <v>69</v>
      </c>
      <c r="AE59" t="s">
        <v>69</v>
      </c>
      <c r="AF59" t="s">
        <v>87</v>
      </c>
      <c r="AG59" t="s">
        <v>69</v>
      </c>
      <c r="AH59" t="s">
        <v>80</v>
      </c>
      <c r="AI59" t="s">
        <v>94</v>
      </c>
      <c r="AJ59" t="s">
        <v>69</v>
      </c>
      <c r="AK59" t="s">
        <v>69</v>
      </c>
      <c r="AL59">
        <v>1.38</v>
      </c>
      <c r="AM59">
        <v>2</v>
      </c>
      <c r="AN59">
        <v>32.200000000000003</v>
      </c>
      <c r="AO59">
        <v>21.4</v>
      </c>
      <c r="AP59" t="s">
        <v>131</v>
      </c>
      <c r="AZ59">
        <v>79</v>
      </c>
      <c r="BA59">
        <v>199</v>
      </c>
      <c r="BB59">
        <v>106</v>
      </c>
      <c r="BC59">
        <v>949</v>
      </c>
      <c r="BE59">
        <v>151</v>
      </c>
      <c r="BF59">
        <v>70</v>
      </c>
      <c r="BG59">
        <v>25</v>
      </c>
      <c r="BH59" t="s">
        <v>552</v>
      </c>
      <c r="BI59">
        <v>25</v>
      </c>
      <c r="BL59" t="s">
        <v>60</v>
      </c>
      <c r="BM59" t="s">
        <v>60</v>
      </c>
      <c r="BN59" t="s">
        <v>60</v>
      </c>
      <c r="BO59" t="s">
        <v>60</v>
      </c>
      <c r="BP59"/>
      <c r="BQ59" t="s">
        <v>404</v>
      </c>
      <c r="BR59" t="s">
        <v>405</v>
      </c>
      <c r="BS59" t="s">
        <v>406</v>
      </c>
      <c r="BT59" t="s">
        <v>407</v>
      </c>
      <c r="BU59"/>
      <c r="BX59" t="s">
        <v>687</v>
      </c>
      <c r="BY59">
        <v>5</v>
      </c>
    </row>
    <row r="60" spans="1:77" ht="15" customHeight="1" x14ac:dyDescent="0.35">
      <c r="A60" t="s">
        <v>721</v>
      </c>
      <c r="B60" t="s">
        <v>127</v>
      </c>
      <c r="C60" t="s">
        <v>72</v>
      </c>
      <c r="H60" t="s">
        <v>546</v>
      </c>
      <c r="I60" s="175">
        <v>9600</v>
      </c>
      <c r="J60" t="s">
        <v>547</v>
      </c>
      <c r="K60" t="s">
        <v>701</v>
      </c>
      <c r="L60" t="s">
        <v>702</v>
      </c>
      <c r="M60">
        <v>2023</v>
      </c>
      <c r="N60">
        <v>14</v>
      </c>
      <c r="O60" t="s">
        <v>71</v>
      </c>
      <c r="P60" t="s">
        <v>63</v>
      </c>
      <c r="Q60">
        <v>8</v>
      </c>
      <c r="R60">
        <v>256</v>
      </c>
      <c r="S60">
        <v>2</v>
      </c>
      <c r="T60">
        <v>2</v>
      </c>
      <c r="U60" t="s">
        <v>84</v>
      </c>
      <c r="V60" t="s">
        <v>78</v>
      </c>
      <c r="W60" t="s">
        <v>86</v>
      </c>
      <c r="X60">
        <v>5.3</v>
      </c>
      <c r="Y60" t="s">
        <v>69</v>
      </c>
      <c r="Z60" t="s">
        <v>69</v>
      </c>
      <c r="AA60" t="s">
        <v>69</v>
      </c>
      <c r="AB60">
        <v>11</v>
      </c>
      <c r="AC60" t="s">
        <v>527</v>
      </c>
      <c r="AD60" t="s">
        <v>69</v>
      </c>
      <c r="AE60" t="s">
        <v>69</v>
      </c>
      <c r="AF60" t="s">
        <v>87</v>
      </c>
      <c r="AG60" t="s">
        <v>69</v>
      </c>
      <c r="AH60" t="s">
        <v>567</v>
      </c>
      <c r="AI60" t="s">
        <v>94</v>
      </c>
      <c r="AJ60" t="s">
        <v>69</v>
      </c>
      <c r="AK60" t="s">
        <v>69</v>
      </c>
      <c r="AL60">
        <v>1.39</v>
      </c>
      <c r="AM60">
        <v>1.9</v>
      </c>
      <c r="AN60">
        <v>32.1</v>
      </c>
      <c r="AO60">
        <v>21.2</v>
      </c>
      <c r="AP60" t="s">
        <v>598</v>
      </c>
      <c r="AZ60">
        <v>79</v>
      </c>
      <c r="BA60">
        <v>199</v>
      </c>
      <c r="BB60">
        <v>182</v>
      </c>
      <c r="BC60">
        <v>1138</v>
      </c>
      <c r="BE60">
        <v>151</v>
      </c>
      <c r="BF60">
        <v>70</v>
      </c>
      <c r="BG60">
        <v>25</v>
      </c>
      <c r="BH60" t="s">
        <v>553</v>
      </c>
      <c r="BI60">
        <v>25</v>
      </c>
      <c r="BL60" t="s">
        <v>60</v>
      </c>
      <c r="BM60" t="s">
        <v>60</v>
      </c>
      <c r="BN60" t="s">
        <v>547</v>
      </c>
      <c r="BO60" t="s">
        <v>60</v>
      </c>
      <c r="BP60"/>
      <c r="BQ60" t="s">
        <v>548</v>
      </c>
      <c r="BR60" t="s">
        <v>405</v>
      </c>
      <c r="BS60" t="s">
        <v>703</v>
      </c>
      <c r="BT60" t="s">
        <v>407</v>
      </c>
      <c r="BU60"/>
      <c r="BX60" t="s">
        <v>688</v>
      </c>
      <c r="BY60">
        <v>5</v>
      </c>
    </row>
    <row r="61" spans="1:77" ht="15" customHeight="1" x14ac:dyDescent="0.35">
      <c r="A61" t="s">
        <v>721</v>
      </c>
      <c r="B61" t="s">
        <v>127</v>
      </c>
      <c r="C61" t="s">
        <v>45</v>
      </c>
      <c r="H61" t="s">
        <v>546</v>
      </c>
      <c r="I61" s="175">
        <v>7640</v>
      </c>
      <c r="J61" t="s">
        <v>60</v>
      </c>
      <c r="K61" t="s">
        <v>129</v>
      </c>
      <c r="L61" t="s">
        <v>408</v>
      </c>
      <c r="M61">
        <v>2021</v>
      </c>
      <c r="N61">
        <v>14</v>
      </c>
      <c r="O61" t="s">
        <v>71</v>
      </c>
      <c r="P61" t="s">
        <v>66</v>
      </c>
      <c r="Q61">
        <v>16</v>
      </c>
      <c r="R61">
        <v>512</v>
      </c>
      <c r="S61">
        <v>4</v>
      </c>
      <c r="T61">
        <v>1</v>
      </c>
      <c r="U61" t="s">
        <v>84</v>
      </c>
      <c r="V61" t="s">
        <v>78</v>
      </c>
      <c r="W61" t="s">
        <v>86</v>
      </c>
      <c r="X61">
        <v>5</v>
      </c>
      <c r="Y61" t="s">
        <v>69</v>
      </c>
      <c r="Z61" t="s">
        <v>69</v>
      </c>
      <c r="AA61" t="s">
        <v>69</v>
      </c>
      <c r="AB61">
        <v>11</v>
      </c>
      <c r="AC61" t="s">
        <v>527</v>
      </c>
      <c r="AD61" t="s">
        <v>69</v>
      </c>
      <c r="AE61" t="s">
        <v>69</v>
      </c>
      <c r="AF61" t="s">
        <v>87</v>
      </c>
      <c r="AG61" t="s">
        <v>69</v>
      </c>
      <c r="AH61" t="s">
        <v>80</v>
      </c>
      <c r="AI61" t="s">
        <v>94</v>
      </c>
      <c r="AJ61" t="s">
        <v>69</v>
      </c>
      <c r="AK61" t="s">
        <v>69</v>
      </c>
      <c r="AL61">
        <v>1.38</v>
      </c>
      <c r="AM61">
        <v>2</v>
      </c>
      <c r="AN61">
        <v>32.200000000000003</v>
      </c>
      <c r="AO61">
        <v>21.4</v>
      </c>
      <c r="AP61" t="s">
        <v>131</v>
      </c>
      <c r="AZ61">
        <v>79</v>
      </c>
      <c r="BA61">
        <v>199</v>
      </c>
      <c r="BB61">
        <v>106</v>
      </c>
      <c r="BC61">
        <v>949</v>
      </c>
      <c r="BE61">
        <v>151</v>
      </c>
      <c r="BF61">
        <v>70</v>
      </c>
      <c r="BG61">
        <v>25</v>
      </c>
      <c r="BH61" t="s">
        <v>554</v>
      </c>
      <c r="BI61">
        <v>25</v>
      </c>
      <c r="BL61" t="s">
        <v>60</v>
      </c>
      <c r="BM61" t="s">
        <v>60</v>
      </c>
      <c r="BN61" t="s">
        <v>60</v>
      </c>
      <c r="BO61" t="s">
        <v>60</v>
      </c>
      <c r="BP61"/>
      <c r="BQ61" t="s">
        <v>404</v>
      </c>
      <c r="BR61" t="s">
        <v>405</v>
      </c>
      <c r="BS61" t="s">
        <v>406</v>
      </c>
      <c r="BT61" t="s">
        <v>407</v>
      </c>
      <c r="BU61"/>
      <c r="BX61" t="s">
        <v>687</v>
      </c>
      <c r="BY61">
        <v>7</v>
      </c>
    </row>
    <row r="62" spans="1:77" ht="15" customHeight="1" x14ac:dyDescent="0.35">
      <c r="A62" t="s">
        <v>721</v>
      </c>
      <c r="B62" t="s">
        <v>127</v>
      </c>
      <c r="C62" t="s">
        <v>46</v>
      </c>
      <c r="H62" t="s">
        <v>546</v>
      </c>
      <c r="I62" s="175">
        <v>8299</v>
      </c>
      <c r="J62" t="s">
        <v>60</v>
      </c>
      <c r="K62" t="s">
        <v>132</v>
      </c>
      <c r="L62" t="s">
        <v>409</v>
      </c>
      <c r="M62">
        <v>2020</v>
      </c>
      <c r="N62">
        <v>14</v>
      </c>
      <c r="O62" t="s">
        <v>71</v>
      </c>
      <c r="P62" t="s">
        <v>64</v>
      </c>
      <c r="Q62">
        <v>16</v>
      </c>
      <c r="R62">
        <v>512</v>
      </c>
      <c r="S62">
        <v>4</v>
      </c>
      <c r="T62">
        <v>1</v>
      </c>
      <c r="U62" t="s">
        <v>84</v>
      </c>
      <c r="V62" t="s">
        <v>78</v>
      </c>
      <c r="W62" t="s">
        <v>86</v>
      </c>
      <c r="X62">
        <v>5</v>
      </c>
      <c r="Y62" t="s">
        <v>69</v>
      </c>
      <c r="Z62" t="s">
        <v>69</v>
      </c>
      <c r="AA62" t="s">
        <v>69</v>
      </c>
      <c r="AB62">
        <v>11</v>
      </c>
      <c r="AC62" t="s">
        <v>527</v>
      </c>
      <c r="AD62" t="s">
        <v>69</v>
      </c>
      <c r="AE62" t="s">
        <v>69</v>
      </c>
      <c r="AF62" t="s">
        <v>87</v>
      </c>
      <c r="AG62" t="s">
        <v>69</v>
      </c>
      <c r="AH62" t="s">
        <v>80</v>
      </c>
      <c r="AI62" t="s">
        <v>94</v>
      </c>
      <c r="AJ62" t="s">
        <v>69</v>
      </c>
      <c r="AK62" t="s">
        <v>69</v>
      </c>
      <c r="AL62">
        <v>1.38</v>
      </c>
      <c r="AM62">
        <v>2</v>
      </c>
      <c r="AN62">
        <v>32.200000000000003</v>
      </c>
      <c r="AO62">
        <v>21.4</v>
      </c>
      <c r="AP62" t="s">
        <v>131</v>
      </c>
      <c r="AZ62">
        <v>79</v>
      </c>
      <c r="BA62">
        <v>199</v>
      </c>
      <c r="BB62">
        <v>106</v>
      </c>
      <c r="BC62">
        <v>949</v>
      </c>
      <c r="BE62">
        <v>151</v>
      </c>
      <c r="BF62">
        <v>70</v>
      </c>
      <c r="BG62">
        <v>25</v>
      </c>
      <c r="BH62" t="s">
        <v>555</v>
      </c>
      <c r="BI62">
        <v>25</v>
      </c>
      <c r="BL62" t="s">
        <v>60</v>
      </c>
      <c r="BM62" t="s">
        <v>60</v>
      </c>
      <c r="BN62" t="s">
        <v>60</v>
      </c>
      <c r="BO62" t="s">
        <v>60</v>
      </c>
      <c r="BP62"/>
      <c r="BQ62" t="s">
        <v>404</v>
      </c>
      <c r="BR62" t="s">
        <v>405</v>
      </c>
      <c r="BS62" t="s">
        <v>406</v>
      </c>
      <c r="BT62" t="s">
        <v>407</v>
      </c>
      <c r="BU62"/>
      <c r="BX62" t="s">
        <v>688</v>
      </c>
      <c r="BY62">
        <v>7</v>
      </c>
    </row>
    <row r="63" spans="1:77" ht="15" customHeight="1" x14ac:dyDescent="0.35">
      <c r="A63" t="s">
        <v>721</v>
      </c>
      <c r="B63" t="s">
        <v>134</v>
      </c>
      <c r="C63" t="s">
        <v>47</v>
      </c>
      <c r="H63" t="s">
        <v>546</v>
      </c>
      <c r="I63" s="175">
        <v>2950</v>
      </c>
      <c r="J63" t="s">
        <v>547</v>
      </c>
      <c r="K63" t="s">
        <v>704</v>
      </c>
      <c r="L63" t="s">
        <v>705</v>
      </c>
      <c r="M63">
        <v>2022</v>
      </c>
      <c r="N63">
        <v>11.6</v>
      </c>
      <c r="O63" t="s">
        <v>706</v>
      </c>
      <c r="P63" t="s">
        <v>81</v>
      </c>
      <c r="Q63">
        <v>4</v>
      </c>
      <c r="R63">
        <v>32</v>
      </c>
      <c r="S63">
        <v>2</v>
      </c>
      <c r="T63">
        <v>1</v>
      </c>
      <c r="W63" t="s">
        <v>86</v>
      </c>
      <c r="X63">
        <v>5.0999999999999996</v>
      </c>
      <c r="Y63" t="s">
        <v>69</v>
      </c>
      <c r="Z63" t="s">
        <v>69</v>
      </c>
      <c r="AB63">
        <v>11</v>
      </c>
      <c r="AC63" t="s">
        <v>527</v>
      </c>
      <c r="AD63" t="s">
        <v>69</v>
      </c>
      <c r="AE63" t="s">
        <v>69</v>
      </c>
      <c r="AF63" t="s">
        <v>87</v>
      </c>
      <c r="AG63" t="s">
        <v>69</v>
      </c>
      <c r="AH63" t="s">
        <v>82</v>
      </c>
      <c r="AI63" t="s">
        <v>89</v>
      </c>
      <c r="AJ63" t="s">
        <v>69</v>
      </c>
      <c r="AK63" t="s">
        <v>69</v>
      </c>
      <c r="AL63">
        <v>1.28</v>
      </c>
      <c r="AM63">
        <v>2.1</v>
      </c>
      <c r="AN63">
        <v>20.8</v>
      </c>
      <c r="AO63">
        <v>30.4</v>
      </c>
      <c r="AP63" t="s">
        <v>549</v>
      </c>
      <c r="AZ63">
        <v>59</v>
      </c>
      <c r="BA63">
        <v>287</v>
      </c>
      <c r="BB63">
        <v>240</v>
      </c>
      <c r="BE63">
        <v>275</v>
      </c>
      <c r="BF63">
        <v>70</v>
      </c>
      <c r="BG63">
        <v>25</v>
      </c>
      <c r="BH63" t="s">
        <v>556</v>
      </c>
      <c r="BI63">
        <v>25</v>
      </c>
      <c r="BL63" t="s">
        <v>60</v>
      </c>
      <c r="BM63" t="s">
        <v>410</v>
      </c>
      <c r="BN63" t="s">
        <v>547</v>
      </c>
      <c r="BO63"/>
      <c r="BP63"/>
      <c r="BQ63" t="s">
        <v>411</v>
      </c>
      <c r="BR63" t="s">
        <v>412</v>
      </c>
      <c r="BS63" t="s">
        <v>707</v>
      </c>
      <c r="BT63"/>
      <c r="BU63"/>
      <c r="BX63" t="s">
        <v>688</v>
      </c>
      <c r="BY63">
        <v>3</v>
      </c>
    </row>
    <row r="64" spans="1:77" ht="15" customHeight="1" x14ac:dyDescent="0.35">
      <c r="A64" t="s">
        <v>721</v>
      </c>
      <c r="B64" t="s">
        <v>134</v>
      </c>
      <c r="C64" t="s">
        <v>48</v>
      </c>
      <c r="H64" t="s">
        <v>546</v>
      </c>
      <c r="I64" s="175">
        <v>3610</v>
      </c>
      <c r="J64" t="s">
        <v>60</v>
      </c>
      <c r="K64" t="s">
        <v>138</v>
      </c>
      <c r="L64" t="s">
        <v>413</v>
      </c>
      <c r="M64" t="s">
        <v>154</v>
      </c>
      <c r="N64">
        <v>14</v>
      </c>
      <c r="O64" t="s">
        <v>71</v>
      </c>
      <c r="P64" t="s">
        <v>81</v>
      </c>
      <c r="Q64">
        <v>8</v>
      </c>
      <c r="R64">
        <v>64</v>
      </c>
      <c r="S64">
        <v>3</v>
      </c>
      <c r="T64">
        <v>1</v>
      </c>
      <c r="W64" t="s">
        <v>86</v>
      </c>
      <c r="X64">
        <v>5</v>
      </c>
      <c r="Y64" t="s">
        <v>69</v>
      </c>
      <c r="Z64" t="s">
        <v>69</v>
      </c>
      <c r="AB64">
        <v>11</v>
      </c>
      <c r="AC64" t="s">
        <v>527</v>
      </c>
      <c r="AD64" t="s">
        <v>69</v>
      </c>
      <c r="AE64" t="s">
        <v>69</v>
      </c>
      <c r="AF64" t="s">
        <v>87</v>
      </c>
      <c r="AG64" t="s">
        <v>69</v>
      </c>
      <c r="AH64" t="s">
        <v>82</v>
      </c>
      <c r="AI64" t="s">
        <v>89</v>
      </c>
      <c r="AJ64" t="s">
        <v>69</v>
      </c>
      <c r="AK64" t="s">
        <v>69</v>
      </c>
      <c r="AL64">
        <v>1.54</v>
      </c>
      <c r="AM64">
        <v>1.8</v>
      </c>
      <c r="AN64">
        <v>32.700000000000003</v>
      </c>
      <c r="AO64">
        <v>22.7</v>
      </c>
      <c r="AP64" t="s">
        <v>139</v>
      </c>
      <c r="AZ64">
        <v>64</v>
      </c>
      <c r="BA64">
        <v>298</v>
      </c>
      <c r="BB64">
        <v>198</v>
      </c>
      <c r="BE64">
        <v>125</v>
      </c>
      <c r="BF64">
        <v>70</v>
      </c>
      <c r="BG64">
        <v>25</v>
      </c>
      <c r="BH64" t="s">
        <v>557</v>
      </c>
      <c r="BI64">
        <v>25</v>
      </c>
      <c r="BL64" t="s">
        <v>60</v>
      </c>
      <c r="BM64" t="s">
        <v>410</v>
      </c>
      <c r="BN64" t="s">
        <v>60</v>
      </c>
      <c r="BO64"/>
      <c r="BP64"/>
      <c r="BQ64" t="s">
        <v>404</v>
      </c>
      <c r="BR64" t="s">
        <v>414</v>
      </c>
      <c r="BS64" t="s">
        <v>415</v>
      </c>
      <c r="BT64"/>
      <c r="BU64"/>
      <c r="BX64" t="s">
        <v>688</v>
      </c>
      <c r="BY64">
        <v>3</v>
      </c>
    </row>
    <row r="65" spans="1:76" ht="15" customHeight="1" x14ac:dyDescent="0.35">
      <c r="A65" t="s">
        <v>721</v>
      </c>
      <c r="B65" t="s">
        <v>113</v>
      </c>
      <c r="C65" t="s">
        <v>49</v>
      </c>
      <c r="H65" t="s">
        <v>546</v>
      </c>
      <c r="I65" s="175">
        <v>1700</v>
      </c>
      <c r="J65" t="s">
        <v>61</v>
      </c>
      <c r="K65" t="s">
        <v>416</v>
      </c>
      <c r="L65" t="s">
        <v>417</v>
      </c>
      <c r="M65">
        <v>2019</v>
      </c>
      <c r="N65">
        <v>10.3</v>
      </c>
      <c r="O65" t="s">
        <v>163</v>
      </c>
      <c r="W65" t="s">
        <v>79</v>
      </c>
      <c r="X65">
        <v>5</v>
      </c>
      <c r="Y65" t="s">
        <v>69</v>
      </c>
      <c r="Z65" t="s">
        <v>69</v>
      </c>
      <c r="AB65">
        <v>9</v>
      </c>
      <c r="AD65" t="s">
        <v>69</v>
      </c>
      <c r="AH65" t="s">
        <v>165</v>
      </c>
      <c r="AI65" t="s">
        <v>105</v>
      </c>
      <c r="AK65" t="s">
        <v>69</v>
      </c>
      <c r="AM65">
        <v>24.4</v>
      </c>
      <c r="AN65">
        <v>15.3</v>
      </c>
      <c r="AO65">
        <v>0.8</v>
      </c>
      <c r="AP65" t="s">
        <v>418</v>
      </c>
      <c r="AR65">
        <v>64</v>
      </c>
      <c r="AS65">
        <v>460</v>
      </c>
      <c r="AZ65">
        <v>325</v>
      </c>
      <c r="BA65">
        <v>180</v>
      </c>
      <c r="BB65">
        <v>220</v>
      </c>
      <c r="BC65">
        <v>150</v>
      </c>
      <c r="BD65">
        <v>399</v>
      </c>
      <c r="BE65">
        <v>570</v>
      </c>
      <c r="BF65">
        <v>25</v>
      </c>
      <c r="BG65">
        <v>25</v>
      </c>
      <c r="BH65" t="s">
        <v>558</v>
      </c>
      <c r="BL65" t="s">
        <v>419</v>
      </c>
      <c r="BM65" t="s">
        <v>61</v>
      </c>
      <c r="BN65" t="s">
        <v>61</v>
      </c>
      <c r="BO65" t="s">
        <v>295</v>
      </c>
      <c r="BP65" t="s">
        <v>420</v>
      </c>
      <c r="BQ65" t="s">
        <v>421</v>
      </c>
      <c r="BR65" t="s">
        <v>422</v>
      </c>
      <c r="BS65" t="s">
        <v>423</v>
      </c>
      <c r="BT65" t="s">
        <v>424</v>
      </c>
      <c r="BU65" t="s">
        <v>425</v>
      </c>
      <c r="BX65" t="s">
        <v>712</v>
      </c>
    </row>
    <row r="66" spans="1:76" ht="15" customHeight="1" x14ac:dyDescent="0.35">
      <c r="A66" t="s">
        <v>721</v>
      </c>
      <c r="B66" t="s">
        <v>113</v>
      </c>
      <c r="C66" t="s">
        <v>50</v>
      </c>
      <c r="H66" t="s">
        <v>546</v>
      </c>
      <c r="I66" s="175">
        <v>3205</v>
      </c>
      <c r="J66" t="s">
        <v>62</v>
      </c>
      <c r="K66" t="s">
        <v>550</v>
      </c>
      <c r="L66" t="s">
        <v>551</v>
      </c>
      <c r="M66" t="s">
        <v>154</v>
      </c>
      <c r="N66">
        <v>10.199999999999999</v>
      </c>
      <c r="O66" t="s">
        <v>90</v>
      </c>
      <c r="W66" t="s">
        <v>79</v>
      </c>
      <c r="X66">
        <v>4.2</v>
      </c>
      <c r="Y66" t="s">
        <v>69</v>
      </c>
      <c r="Z66" t="s">
        <v>69</v>
      </c>
      <c r="AB66">
        <v>10</v>
      </c>
      <c r="AD66" t="s">
        <v>69</v>
      </c>
      <c r="AH66" t="s">
        <v>530</v>
      </c>
      <c r="AI66" t="s">
        <v>105</v>
      </c>
      <c r="AK66" t="s">
        <v>69</v>
      </c>
      <c r="AM66">
        <v>25.06</v>
      </c>
      <c r="AN66">
        <v>17.399999999999999</v>
      </c>
      <c r="AO66">
        <v>0.75</v>
      </c>
      <c r="AP66" t="s">
        <v>426</v>
      </c>
      <c r="AR66">
        <v>64</v>
      </c>
      <c r="AS66">
        <v>487</v>
      </c>
      <c r="AZ66">
        <v>460</v>
      </c>
      <c r="BA66">
        <v>189</v>
      </c>
      <c r="BB66">
        <v>279</v>
      </c>
      <c r="BC66">
        <v>150</v>
      </c>
      <c r="BD66">
        <v>839</v>
      </c>
      <c r="BE66">
        <v>514</v>
      </c>
      <c r="BF66">
        <v>25</v>
      </c>
      <c r="BG66">
        <v>25</v>
      </c>
      <c r="BH66" t="s">
        <v>559</v>
      </c>
      <c r="BL66" t="s">
        <v>427</v>
      </c>
      <c r="BM66" t="s">
        <v>308</v>
      </c>
      <c r="BN66" t="s">
        <v>428</v>
      </c>
      <c r="BO66" t="s">
        <v>295</v>
      </c>
      <c r="BP66" t="s">
        <v>62</v>
      </c>
      <c r="BQ66" t="s">
        <v>429</v>
      </c>
      <c r="BR66" t="s">
        <v>430</v>
      </c>
      <c r="BS66" t="s">
        <v>431</v>
      </c>
      <c r="BT66" t="s">
        <v>424</v>
      </c>
      <c r="BU66" t="s">
        <v>432</v>
      </c>
      <c r="BX66" t="s">
        <v>712</v>
      </c>
    </row>
    <row r="67" spans="1:76" ht="15" customHeight="1" x14ac:dyDescent="0.35">
      <c r="A67" t="s">
        <v>721</v>
      </c>
      <c r="B67" t="s">
        <v>113</v>
      </c>
      <c r="C67" t="s">
        <v>42</v>
      </c>
      <c r="H67" t="s">
        <v>546</v>
      </c>
      <c r="I67" s="175">
        <v>7256</v>
      </c>
      <c r="J67" t="s">
        <v>62</v>
      </c>
      <c r="K67" t="s">
        <v>433</v>
      </c>
      <c r="L67" t="s">
        <v>434</v>
      </c>
      <c r="M67" t="s">
        <v>154</v>
      </c>
      <c r="N67">
        <v>11</v>
      </c>
      <c r="O67" t="s">
        <v>435</v>
      </c>
      <c r="W67" t="s">
        <v>86</v>
      </c>
      <c r="X67">
        <v>5</v>
      </c>
      <c r="Y67" t="s">
        <v>69</v>
      </c>
      <c r="Z67" t="s">
        <v>69</v>
      </c>
      <c r="AB67">
        <v>10</v>
      </c>
      <c r="AD67" t="s">
        <v>69</v>
      </c>
      <c r="AH67" t="s">
        <v>96</v>
      </c>
      <c r="AI67" t="s">
        <v>105</v>
      </c>
      <c r="AK67" t="s">
        <v>69</v>
      </c>
      <c r="AM67">
        <v>24.76</v>
      </c>
      <c r="AN67">
        <v>17.850000000000001</v>
      </c>
      <c r="AO67">
        <v>0.59</v>
      </c>
      <c r="AP67" t="s">
        <v>145</v>
      </c>
      <c r="AR67">
        <v>128</v>
      </c>
      <c r="AS67">
        <v>466</v>
      </c>
      <c r="AZ67">
        <v>435</v>
      </c>
      <c r="BA67">
        <v>179</v>
      </c>
      <c r="BB67">
        <v>355</v>
      </c>
      <c r="BC67">
        <v>150</v>
      </c>
      <c r="BD67">
        <v>1145</v>
      </c>
      <c r="BE67">
        <v>724</v>
      </c>
      <c r="BF67">
        <v>25</v>
      </c>
      <c r="BG67">
        <v>25</v>
      </c>
      <c r="BH67" t="s">
        <v>560</v>
      </c>
      <c r="BL67" t="s">
        <v>427</v>
      </c>
      <c r="BM67" t="s">
        <v>308</v>
      </c>
      <c r="BN67" t="s">
        <v>428</v>
      </c>
      <c r="BO67" t="s">
        <v>295</v>
      </c>
      <c r="BP67" t="s">
        <v>62</v>
      </c>
      <c r="BQ67" t="s">
        <v>436</v>
      </c>
      <c r="BR67" t="s">
        <v>437</v>
      </c>
      <c r="BS67" t="s">
        <v>438</v>
      </c>
      <c r="BT67" t="s">
        <v>424</v>
      </c>
      <c r="BU67" t="s">
        <v>439</v>
      </c>
      <c r="BX67" t="s">
        <v>712</v>
      </c>
    </row>
    <row r="68" spans="1:76" ht="15" customHeight="1" x14ac:dyDescent="0.35">
      <c r="A68" t="s">
        <v>721</v>
      </c>
      <c r="B68" t="s">
        <v>113</v>
      </c>
      <c r="C68" t="s">
        <v>56</v>
      </c>
      <c r="H68" t="s">
        <v>546</v>
      </c>
      <c r="I68" s="175">
        <v>4710</v>
      </c>
      <c r="J68" t="s">
        <v>61</v>
      </c>
      <c r="K68" t="s">
        <v>440</v>
      </c>
      <c r="L68" t="s">
        <v>441</v>
      </c>
      <c r="M68">
        <v>2020</v>
      </c>
      <c r="N68">
        <v>11.5</v>
      </c>
      <c r="O68" t="s">
        <v>93</v>
      </c>
      <c r="W68" t="s">
        <v>79</v>
      </c>
      <c r="X68">
        <v>5</v>
      </c>
      <c r="Y68" t="s">
        <v>69</v>
      </c>
      <c r="Z68" t="s">
        <v>101</v>
      </c>
      <c r="AB68">
        <v>8</v>
      </c>
      <c r="AD68" t="s">
        <v>69</v>
      </c>
      <c r="AH68" t="s">
        <v>83</v>
      </c>
      <c r="AI68" t="s">
        <v>105</v>
      </c>
      <c r="AK68" t="s">
        <v>69</v>
      </c>
      <c r="AM68">
        <v>26.4</v>
      </c>
      <c r="AN68">
        <v>17.14</v>
      </c>
      <c r="AO68">
        <v>0.57999999999999996</v>
      </c>
      <c r="AP68" t="s">
        <v>116</v>
      </c>
      <c r="AR68">
        <v>128</v>
      </c>
      <c r="AS68">
        <v>485</v>
      </c>
      <c r="AZ68">
        <v>330</v>
      </c>
      <c r="BA68">
        <v>180</v>
      </c>
      <c r="BB68">
        <v>220</v>
      </c>
      <c r="BC68">
        <v>150</v>
      </c>
      <c r="BD68">
        <v>399</v>
      </c>
      <c r="BE68">
        <v>560</v>
      </c>
      <c r="BF68">
        <v>25</v>
      </c>
      <c r="BG68">
        <v>25</v>
      </c>
      <c r="BH68" t="s">
        <v>561</v>
      </c>
      <c r="BL68" t="s">
        <v>419</v>
      </c>
      <c r="BM68" t="s">
        <v>61</v>
      </c>
      <c r="BN68" t="s">
        <v>61</v>
      </c>
      <c r="BO68" t="s">
        <v>295</v>
      </c>
      <c r="BP68" t="s">
        <v>420</v>
      </c>
      <c r="BQ68" t="s">
        <v>442</v>
      </c>
      <c r="BR68" t="s">
        <v>422</v>
      </c>
      <c r="BS68" t="s">
        <v>423</v>
      </c>
      <c r="BT68" t="s">
        <v>424</v>
      </c>
      <c r="BU68" t="s">
        <v>425</v>
      </c>
      <c r="BX68" t="s">
        <v>712</v>
      </c>
    </row>
    <row r="69" spans="1:76" ht="15" customHeight="1" x14ac:dyDescent="0.35">
      <c r="A69" t="s">
        <v>721</v>
      </c>
      <c r="B69" t="s">
        <v>114</v>
      </c>
      <c r="C69" t="s">
        <v>58</v>
      </c>
      <c r="H69" t="s">
        <v>546</v>
      </c>
      <c r="I69" s="175">
        <v>2076</v>
      </c>
      <c r="J69" t="s">
        <v>547</v>
      </c>
      <c r="K69" t="s">
        <v>708</v>
      </c>
      <c r="L69" t="s">
        <v>709</v>
      </c>
      <c r="M69">
        <v>2021</v>
      </c>
      <c r="N69">
        <v>23.8</v>
      </c>
      <c r="O69" t="s">
        <v>71</v>
      </c>
      <c r="S69">
        <v>5</v>
      </c>
      <c r="U69">
        <v>1</v>
      </c>
      <c r="AC69" t="s">
        <v>527</v>
      </c>
      <c r="AF69" t="s">
        <v>87</v>
      </c>
      <c r="AG69" t="s">
        <v>69</v>
      </c>
      <c r="AI69" t="s">
        <v>89</v>
      </c>
      <c r="AK69" t="s">
        <v>69</v>
      </c>
      <c r="AP69" t="s">
        <v>117</v>
      </c>
      <c r="AT69">
        <v>16700000</v>
      </c>
      <c r="AU69">
        <v>250</v>
      </c>
      <c r="AV69" t="s">
        <v>69</v>
      </c>
      <c r="AW69">
        <v>1</v>
      </c>
      <c r="AY69" t="s">
        <v>166</v>
      </c>
      <c r="AZ69">
        <v>540</v>
      </c>
      <c r="BE69">
        <v>89</v>
      </c>
      <c r="BF69">
        <v>25</v>
      </c>
      <c r="BG69">
        <v>25</v>
      </c>
      <c r="BH69" t="s">
        <v>562</v>
      </c>
      <c r="BL69" t="s">
        <v>410</v>
      </c>
      <c r="BM69"/>
      <c r="BN69"/>
      <c r="BO69"/>
      <c r="BP69"/>
      <c r="BQ69" t="s">
        <v>443</v>
      </c>
      <c r="BR69"/>
      <c r="BS69"/>
      <c r="BT69"/>
      <c r="BU69"/>
      <c r="BX69" t="s">
        <v>712</v>
      </c>
    </row>
    <row r="70" spans="1:76" ht="15" customHeight="1" x14ac:dyDescent="0.35">
      <c r="A70" t="s">
        <v>721</v>
      </c>
      <c r="B70" t="s">
        <v>114</v>
      </c>
      <c r="C70" t="s">
        <v>57</v>
      </c>
      <c r="H70" t="s">
        <v>546</v>
      </c>
      <c r="I70" s="175">
        <v>2430</v>
      </c>
      <c r="J70" t="s">
        <v>61</v>
      </c>
      <c r="K70" t="s">
        <v>168</v>
      </c>
      <c r="L70" t="s">
        <v>444</v>
      </c>
      <c r="M70">
        <v>2021</v>
      </c>
      <c r="N70">
        <v>27</v>
      </c>
      <c r="O70" t="s">
        <v>92</v>
      </c>
      <c r="S70">
        <v>0</v>
      </c>
      <c r="U70">
        <v>1</v>
      </c>
      <c r="AC70" t="s">
        <v>527</v>
      </c>
      <c r="AF70" t="s">
        <v>87</v>
      </c>
      <c r="AG70" t="s">
        <v>69</v>
      </c>
      <c r="AI70" t="s">
        <v>89</v>
      </c>
      <c r="AK70" t="s">
        <v>69</v>
      </c>
      <c r="AP70" t="s">
        <v>117</v>
      </c>
      <c r="AT70">
        <v>16700000</v>
      </c>
      <c r="AU70">
        <v>350</v>
      </c>
      <c r="AV70" t="s">
        <v>69</v>
      </c>
      <c r="AW70">
        <v>1</v>
      </c>
      <c r="AY70" t="s">
        <v>166</v>
      </c>
      <c r="AZ70">
        <v>669</v>
      </c>
      <c r="BE70">
        <v>89</v>
      </c>
      <c r="BF70">
        <v>25</v>
      </c>
      <c r="BG70">
        <v>25</v>
      </c>
      <c r="BH70" t="s">
        <v>563</v>
      </c>
      <c r="BL70" t="s">
        <v>410</v>
      </c>
      <c r="BM70"/>
      <c r="BN70"/>
      <c r="BO70"/>
      <c r="BP70"/>
      <c r="BQ70" t="s">
        <v>445</v>
      </c>
      <c r="BR70"/>
      <c r="BS70"/>
      <c r="BT70"/>
      <c r="BU70"/>
      <c r="BX70" t="s">
        <v>712</v>
      </c>
    </row>
    <row r="71" spans="1:76" ht="15" customHeight="1" x14ac:dyDescent="0.35">
      <c r="BM71"/>
      <c r="BN71"/>
      <c r="BO71"/>
      <c r="BP71"/>
      <c r="BQ71"/>
      <c r="BR71"/>
      <c r="BS71"/>
      <c r="BT71"/>
      <c r="BU71"/>
    </row>
    <row r="72" spans="1:76" ht="15" customHeight="1" outlineLevel="1" x14ac:dyDescent="0.35">
      <c r="BM72"/>
      <c r="BN72"/>
      <c r="BO72"/>
      <c r="BP72"/>
      <c r="BQ72"/>
      <c r="BR72"/>
      <c r="BS72"/>
      <c r="BT72"/>
      <c r="BU72"/>
    </row>
    <row r="73" spans="1:76" ht="15" customHeight="1" outlineLevel="1" x14ac:dyDescent="0.35">
      <c r="BM73"/>
      <c r="BN73"/>
      <c r="BO73"/>
      <c r="BP73"/>
      <c r="BQ73"/>
      <c r="BR73"/>
      <c r="BS73"/>
      <c r="BT73"/>
      <c r="BU73"/>
    </row>
    <row r="74" spans="1:76" ht="15" customHeight="1" outlineLevel="1" x14ac:dyDescent="0.35">
      <c r="BM74"/>
      <c r="BN74"/>
      <c r="BO74"/>
      <c r="BP74"/>
      <c r="BQ74"/>
      <c r="BR74"/>
      <c r="BS74"/>
      <c r="BT74"/>
      <c r="BU74"/>
    </row>
    <row r="75" spans="1:76" ht="15" customHeight="1" outlineLevel="1" x14ac:dyDescent="0.35">
      <c r="BM75"/>
      <c r="BN75"/>
      <c r="BO75"/>
      <c r="BP75"/>
      <c r="BQ75"/>
      <c r="BR75"/>
      <c r="BS75"/>
      <c r="BT75"/>
      <c r="BU75"/>
    </row>
    <row r="76" spans="1:76" ht="15" customHeight="1" outlineLevel="1" x14ac:dyDescent="0.35">
      <c r="BM76"/>
      <c r="BN76"/>
      <c r="BO76"/>
      <c r="BP76"/>
      <c r="BQ76"/>
      <c r="BR76"/>
      <c r="BS76"/>
      <c r="BT76"/>
      <c r="BU76"/>
    </row>
    <row r="77" spans="1:76" ht="15" customHeight="1" outlineLevel="1" x14ac:dyDescent="0.35">
      <c r="BM77"/>
      <c r="BN77"/>
      <c r="BO77"/>
      <c r="BP77"/>
      <c r="BQ77"/>
      <c r="BR77"/>
      <c r="BS77"/>
      <c r="BT77"/>
      <c r="BU77"/>
    </row>
    <row r="78" spans="1:76" ht="15" customHeight="1" outlineLevel="1" x14ac:dyDescent="0.35">
      <c r="BM78"/>
      <c r="BN78"/>
      <c r="BO78"/>
      <c r="BP78"/>
      <c r="BQ78"/>
      <c r="BR78"/>
      <c r="BS78"/>
      <c r="BT78"/>
      <c r="BU78"/>
    </row>
    <row r="79" spans="1:76" ht="15" customHeight="1" outlineLevel="1" x14ac:dyDescent="0.35">
      <c r="BM79"/>
      <c r="BN79"/>
      <c r="BO79"/>
      <c r="BP79"/>
      <c r="BQ79"/>
      <c r="BR79"/>
      <c r="BS79"/>
      <c r="BT79"/>
      <c r="BU79"/>
    </row>
    <row r="80" spans="1:76" ht="15" customHeight="1" outlineLevel="1" x14ac:dyDescent="0.35">
      <c r="K80" s="177"/>
      <c r="BM80"/>
      <c r="BN80"/>
      <c r="BO80"/>
      <c r="BP80"/>
      <c r="BQ80"/>
      <c r="BR80"/>
      <c r="BS80"/>
      <c r="BT80"/>
      <c r="BU80"/>
    </row>
    <row r="81" spans="60:75" ht="15" customHeight="1" outlineLevel="1" x14ac:dyDescent="0.35">
      <c r="BM81"/>
      <c r="BN81"/>
      <c r="BO81"/>
      <c r="BP81"/>
      <c r="BQ81"/>
      <c r="BR81"/>
      <c r="BS81"/>
      <c r="BT81"/>
      <c r="BU81"/>
    </row>
    <row r="82" spans="60:75" ht="15" customHeight="1" outlineLevel="1" x14ac:dyDescent="0.35">
      <c r="BM82"/>
      <c r="BN82"/>
      <c r="BO82"/>
      <c r="BP82"/>
      <c r="BQ82"/>
      <c r="BR82"/>
      <c r="BS82"/>
      <c r="BT82"/>
      <c r="BU82"/>
    </row>
    <row r="83" spans="60:75" ht="15" customHeight="1" outlineLevel="1" x14ac:dyDescent="0.35">
      <c r="BH83" s="104"/>
    </row>
    <row r="84" spans="60:75" ht="15" customHeight="1" outlineLevel="1" x14ac:dyDescent="0.35">
      <c r="BH84" s="104"/>
      <c r="BW84" s="177"/>
    </row>
    <row r="85" spans="60:75" ht="15" customHeight="1" outlineLevel="1" x14ac:dyDescent="0.35">
      <c r="BH85" s="104"/>
      <c r="BW85" s="177"/>
    </row>
    <row r="86" spans="60:75" ht="15" customHeight="1" outlineLevel="1" x14ac:dyDescent="0.35">
      <c r="BH86" s="104"/>
      <c r="BW86" s="177"/>
    </row>
    <row r="87" spans="60:75" ht="15" customHeight="1" outlineLevel="1" x14ac:dyDescent="0.35">
      <c r="BH87" s="104"/>
      <c r="BW87" s="177"/>
    </row>
    <row r="88" spans="60:75" ht="15" customHeight="1" outlineLevel="1" x14ac:dyDescent="0.35">
      <c r="BH88" s="104"/>
      <c r="BW88" s="177"/>
    </row>
    <row r="89" spans="60:75" ht="15" customHeight="1" outlineLevel="1" x14ac:dyDescent="0.35">
      <c r="BH89" s="104"/>
      <c r="BW89" s="177"/>
    </row>
    <row r="90" spans="60:75" ht="15" customHeight="1" outlineLevel="1" x14ac:dyDescent="0.35">
      <c r="BH90" s="104"/>
      <c r="BW90" s="177"/>
    </row>
    <row r="91" spans="60:75" ht="15" customHeight="1" outlineLevel="1" x14ac:dyDescent="0.35">
      <c r="BH91" s="104"/>
      <c r="BW91" s="177"/>
    </row>
    <row r="92" spans="60:75" ht="15" customHeight="1" outlineLevel="1" x14ac:dyDescent="0.35">
      <c r="BH92" s="104"/>
      <c r="BW92" s="177"/>
    </row>
    <row r="93" spans="60:75" ht="15" customHeight="1" outlineLevel="1" x14ac:dyDescent="0.35">
      <c r="BH93" s="104"/>
      <c r="BW93" s="177"/>
    </row>
    <row r="94" spans="60:75" ht="15" customHeight="1" outlineLevel="1" x14ac:dyDescent="0.35">
      <c r="BH94" s="104"/>
      <c r="BW94" s="177"/>
    </row>
    <row r="95" spans="60:75" ht="15" customHeight="1" outlineLevel="1" x14ac:dyDescent="0.35">
      <c r="BH95" s="104"/>
      <c r="BW95" s="177"/>
    </row>
    <row r="96" spans="60:75" ht="15" customHeight="1" outlineLevel="1" x14ac:dyDescent="0.35">
      <c r="BH96" s="104"/>
      <c r="BW96" s="177"/>
    </row>
    <row r="97" spans="60:75" ht="15" customHeight="1" outlineLevel="1" x14ac:dyDescent="0.35">
      <c r="BH97" s="104"/>
      <c r="BW97" s="177"/>
    </row>
    <row r="98" spans="60:75" ht="15" customHeight="1" outlineLevel="1" x14ac:dyDescent="0.35">
      <c r="BH98" s="104"/>
      <c r="BW98" s="177"/>
    </row>
    <row r="99" spans="60:75" ht="15" customHeight="1" outlineLevel="1" x14ac:dyDescent="0.35">
      <c r="BH99" s="104"/>
      <c r="BW99" s="177"/>
    </row>
    <row r="100" spans="60:75" ht="15" customHeight="1" outlineLevel="1" x14ac:dyDescent="0.35">
      <c r="BH100" s="104"/>
      <c r="BW100" s="177"/>
    </row>
    <row r="101" spans="60:75" ht="15" customHeight="1" outlineLevel="1" x14ac:dyDescent="0.35">
      <c r="BH101" s="104"/>
      <c r="BW101" s="177"/>
    </row>
    <row r="102" spans="60:75" ht="15" customHeight="1" outlineLevel="1" x14ac:dyDescent="0.35">
      <c r="BH102" s="104"/>
      <c r="BW102" s="177"/>
    </row>
    <row r="103" spans="60:75" ht="15" customHeight="1" outlineLevel="1" x14ac:dyDescent="0.35">
      <c r="BH103" s="104"/>
      <c r="BW103" s="177"/>
    </row>
    <row r="104" spans="60:75" ht="15" customHeight="1" outlineLevel="1" x14ac:dyDescent="0.35">
      <c r="BH104" s="104"/>
      <c r="BW104" s="177"/>
    </row>
    <row r="105" spans="60:75" ht="15" customHeight="1" outlineLevel="1" x14ac:dyDescent="0.35">
      <c r="BH105" s="104"/>
      <c r="BW105" s="177"/>
    </row>
    <row r="106" spans="60:75" ht="15" customHeight="1" outlineLevel="1" x14ac:dyDescent="0.35">
      <c r="BH106" s="104"/>
      <c r="BW106" s="177"/>
    </row>
    <row r="107" spans="60:75" ht="15" customHeight="1" outlineLevel="1" x14ac:dyDescent="0.35">
      <c r="BH107" s="104"/>
      <c r="BW107" s="177"/>
    </row>
    <row r="108" spans="60:75" ht="15" customHeight="1" outlineLevel="1" x14ac:dyDescent="0.35">
      <c r="BH108" s="104"/>
      <c r="BW108" s="177"/>
    </row>
    <row r="109" spans="60:75" ht="15" customHeight="1" outlineLevel="1" x14ac:dyDescent="0.35">
      <c r="BH109" s="104"/>
      <c r="BW109" s="177"/>
    </row>
    <row r="110" spans="60:75" ht="15" customHeight="1" outlineLevel="1" x14ac:dyDescent="0.35">
      <c r="BH110" s="104"/>
      <c r="BW110" s="177"/>
    </row>
    <row r="111" spans="60:75" ht="15" customHeight="1" outlineLevel="1" x14ac:dyDescent="0.35">
      <c r="BH111" s="104"/>
      <c r="BW111" s="177"/>
    </row>
    <row r="112" spans="60:75" ht="15" customHeight="1" outlineLevel="1" x14ac:dyDescent="0.35">
      <c r="BH112" s="104"/>
      <c r="BW112" s="177"/>
    </row>
    <row r="113" spans="60:75" ht="15" customHeight="1" outlineLevel="1" x14ac:dyDescent="0.35">
      <c r="BH113" s="104"/>
      <c r="BW113" s="177"/>
    </row>
    <row r="114" spans="60:75" ht="15" customHeight="1" outlineLevel="1" x14ac:dyDescent="0.35">
      <c r="BH114" s="104"/>
      <c r="BW114" s="177"/>
    </row>
    <row r="115" spans="60:75" ht="15" customHeight="1" outlineLevel="1" x14ac:dyDescent="0.35">
      <c r="BH115" s="104"/>
      <c r="BW115" s="177"/>
    </row>
    <row r="116" spans="60:75" ht="15" customHeight="1" outlineLevel="1" x14ac:dyDescent="0.35">
      <c r="BH116" s="104"/>
      <c r="BW116" s="177"/>
    </row>
    <row r="117" spans="60:75" ht="15" customHeight="1" outlineLevel="1" x14ac:dyDescent="0.35">
      <c r="BH117" s="104"/>
      <c r="BW117" s="177"/>
    </row>
    <row r="118" spans="60:75" ht="15" customHeight="1" outlineLevel="1" x14ac:dyDescent="0.35">
      <c r="BH118" s="104"/>
      <c r="BW118" s="177"/>
    </row>
    <row r="119" spans="60:75" ht="15" customHeight="1" outlineLevel="1" x14ac:dyDescent="0.35">
      <c r="BH119" s="104"/>
      <c r="BW119" s="177"/>
    </row>
    <row r="120" spans="60:75" ht="15" customHeight="1" outlineLevel="1" x14ac:dyDescent="0.35">
      <c r="BH120" s="104"/>
      <c r="BW120" s="177"/>
    </row>
    <row r="121" spans="60:75" ht="15" customHeight="1" outlineLevel="1" x14ac:dyDescent="0.35">
      <c r="BH121" s="104"/>
      <c r="BW121" s="177"/>
    </row>
    <row r="122" spans="60:75" ht="15" customHeight="1" outlineLevel="1" x14ac:dyDescent="0.35">
      <c r="BH122" s="104"/>
      <c r="BW122" s="177"/>
    </row>
    <row r="123" spans="60:75" hidden="1" outlineLevel="1" x14ac:dyDescent="0.35">
      <c r="BH123" s="104"/>
    </row>
    <row r="124" spans="60:75" hidden="1" outlineLevel="1" x14ac:dyDescent="0.35">
      <c r="BH124" s="104"/>
    </row>
    <row r="125" spans="60:75" hidden="1" outlineLevel="1" x14ac:dyDescent="0.35"/>
    <row r="126" spans="60:75" hidden="1" outlineLevel="1" x14ac:dyDescent="0.35"/>
    <row r="127" spans="60:75" hidden="1" outlineLevel="1" x14ac:dyDescent="0.35"/>
    <row r="128" spans="60:75" hidden="1" outlineLevel="1" x14ac:dyDescent="0.35"/>
    <row r="129" hidden="1" outlineLevel="1" x14ac:dyDescent="0.35"/>
    <row r="130" hidden="1" outlineLevel="1" x14ac:dyDescent="0.35"/>
    <row r="131" hidden="1" outlineLevel="1" x14ac:dyDescent="0.35"/>
    <row r="132" hidden="1" outlineLevel="1" x14ac:dyDescent="0.35"/>
    <row r="133" hidden="1" outlineLevel="1" x14ac:dyDescent="0.35"/>
    <row r="134" hidden="1" outlineLevel="1" x14ac:dyDescent="0.35"/>
    <row r="135" hidden="1" outlineLevel="1" x14ac:dyDescent="0.35"/>
    <row r="136" hidden="1" outlineLevel="1" x14ac:dyDescent="0.35"/>
    <row r="137" hidden="1" outlineLevel="1" x14ac:dyDescent="0.35"/>
    <row r="138" hidden="1" outlineLevel="1" x14ac:dyDescent="0.35"/>
    <row r="139" hidden="1" outlineLevel="1" x14ac:dyDescent="0.35"/>
    <row r="140" hidden="1" outlineLevel="1" x14ac:dyDescent="0.35"/>
    <row r="141" hidden="1" outlineLevel="1" x14ac:dyDescent="0.35"/>
    <row r="142" hidden="1" outlineLevel="1" x14ac:dyDescent="0.35"/>
    <row r="143" hidden="1" outlineLevel="1" x14ac:dyDescent="0.35"/>
    <row r="144" hidden="1" outlineLevel="1" x14ac:dyDescent="0.35"/>
    <row r="145" hidden="1" outlineLevel="1" x14ac:dyDescent="0.35"/>
    <row r="146" hidden="1" outlineLevel="1" x14ac:dyDescent="0.35"/>
    <row r="147" hidden="1" outlineLevel="1" x14ac:dyDescent="0.35"/>
    <row r="148" hidden="1" outlineLevel="1" x14ac:dyDescent="0.35"/>
    <row r="149" hidden="1" outlineLevel="1" x14ac:dyDescent="0.35"/>
    <row r="150" hidden="1" outlineLevel="1" x14ac:dyDescent="0.35"/>
    <row r="151" hidden="1" outlineLevel="1" x14ac:dyDescent="0.35"/>
    <row r="152" hidden="1" outlineLevel="1" x14ac:dyDescent="0.35"/>
    <row r="153" hidden="1" outlineLevel="1" x14ac:dyDescent="0.35"/>
    <row r="154" hidden="1" outlineLevel="1" x14ac:dyDescent="0.35"/>
    <row r="155" hidden="1" outlineLevel="1" x14ac:dyDescent="0.35"/>
    <row r="156" hidden="1" outlineLevel="1" x14ac:dyDescent="0.35"/>
    <row r="157" hidden="1" outlineLevel="1" x14ac:dyDescent="0.35"/>
    <row r="158" hidden="1" outlineLevel="1" x14ac:dyDescent="0.35"/>
    <row r="159" hidden="1" outlineLevel="1" x14ac:dyDescent="0.35"/>
    <row r="160" hidden="1" outlineLevel="1" x14ac:dyDescent="0.35"/>
    <row r="161" hidden="1" outlineLevel="1" x14ac:dyDescent="0.35"/>
    <row r="162" hidden="1" outlineLevel="1" x14ac:dyDescent="0.35"/>
    <row r="163" hidden="1" outlineLevel="1" x14ac:dyDescent="0.35"/>
    <row r="164" hidden="1" outlineLevel="1" x14ac:dyDescent="0.35"/>
    <row r="165" hidden="1" outlineLevel="1" x14ac:dyDescent="0.35"/>
    <row r="166" hidden="1" outlineLevel="1" x14ac:dyDescent="0.35"/>
    <row r="167" hidden="1" outlineLevel="1" x14ac:dyDescent="0.35"/>
    <row r="168" hidden="1" outlineLevel="1" x14ac:dyDescent="0.35"/>
    <row r="169" hidden="1" outlineLevel="1" x14ac:dyDescent="0.35"/>
    <row r="170" hidden="1" outlineLevel="1" x14ac:dyDescent="0.35"/>
    <row r="171" hidden="1" outlineLevel="1" x14ac:dyDescent="0.35"/>
    <row r="172" hidden="1" outlineLevel="1" x14ac:dyDescent="0.35"/>
    <row r="173" hidden="1" outlineLevel="1" x14ac:dyDescent="0.35"/>
    <row r="174" hidden="1" outlineLevel="1" x14ac:dyDescent="0.35"/>
    <row r="175" hidden="1" outlineLevel="1" x14ac:dyDescent="0.35"/>
    <row r="176" hidden="1" outlineLevel="1" x14ac:dyDescent="0.35"/>
    <row r="177" hidden="1" outlineLevel="1" x14ac:dyDescent="0.35"/>
    <row r="178" hidden="1" outlineLevel="1" x14ac:dyDescent="0.35"/>
    <row r="179" hidden="1" outlineLevel="1" x14ac:dyDescent="0.35"/>
    <row r="180" hidden="1" outlineLevel="1" x14ac:dyDescent="0.35"/>
    <row r="181" hidden="1" outlineLevel="1" x14ac:dyDescent="0.35"/>
    <row r="182" hidden="1" outlineLevel="1" x14ac:dyDescent="0.35"/>
    <row r="183" hidden="1" outlineLevel="1" x14ac:dyDescent="0.35"/>
    <row r="184" hidden="1" outlineLevel="1" x14ac:dyDescent="0.35"/>
    <row r="185" hidden="1" outlineLevel="1" x14ac:dyDescent="0.35"/>
    <row r="186" hidden="1" outlineLevel="1" x14ac:dyDescent="0.35"/>
    <row r="187" hidden="1" outlineLevel="1" x14ac:dyDescent="0.35"/>
    <row r="188" hidden="1" outlineLevel="1" x14ac:dyDescent="0.35"/>
    <row r="189" hidden="1" outlineLevel="1" x14ac:dyDescent="0.35"/>
    <row r="190" hidden="1" outlineLevel="1" x14ac:dyDescent="0.35"/>
    <row r="191" hidden="1" outlineLevel="1" x14ac:dyDescent="0.35"/>
    <row r="192" hidden="1" outlineLevel="1" x14ac:dyDescent="0.35"/>
    <row r="193" hidden="1" outlineLevel="1" x14ac:dyDescent="0.35"/>
    <row r="194" hidden="1" outlineLevel="1" x14ac:dyDescent="0.35"/>
    <row r="195" hidden="1" outlineLevel="1" x14ac:dyDescent="0.35"/>
    <row r="196" hidden="1" outlineLevel="1" x14ac:dyDescent="0.35"/>
    <row r="197" hidden="1" outlineLevel="1" x14ac:dyDescent="0.35"/>
    <row r="198" hidden="1" outlineLevel="1" x14ac:dyDescent="0.35"/>
    <row r="199" hidden="1" outlineLevel="1" x14ac:dyDescent="0.35"/>
    <row r="200" hidden="1" outlineLevel="1" x14ac:dyDescent="0.35"/>
    <row r="201" hidden="1" outlineLevel="1" x14ac:dyDescent="0.35"/>
    <row r="202" hidden="1" outlineLevel="1" x14ac:dyDescent="0.35"/>
    <row r="203" hidden="1" outlineLevel="1" x14ac:dyDescent="0.35"/>
    <row r="204" hidden="1" outlineLevel="1" x14ac:dyDescent="0.35"/>
    <row r="205" hidden="1" outlineLevel="1" x14ac:dyDescent="0.35"/>
    <row r="206" hidden="1" outlineLevel="1" x14ac:dyDescent="0.35"/>
    <row r="207" hidden="1" outlineLevel="1" x14ac:dyDescent="0.35"/>
    <row r="208" hidden="1" outlineLevel="1" x14ac:dyDescent="0.35"/>
    <row r="209" hidden="1" outlineLevel="1" x14ac:dyDescent="0.35"/>
    <row r="210" hidden="1" outlineLevel="1" x14ac:dyDescent="0.35"/>
    <row r="211" hidden="1" outlineLevel="1" x14ac:dyDescent="0.35"/>
    <row r="212" hidden="1" outlineLevel="1" x14ac:dyDescent="0.35"/>
    <row r="213" hidden="1" outlineLevel="1" x14ac:dyDescent="0.35"/>
    <row r="214" hidden="1" outlineLevel="1" x14ac:dyDescent="0.35"/>
    <row r="215" hidden="1" outlineLevel="1" x14ac:dyDescent="0.35"/>
    <row r="216" hidden="1" outlineLevel="1" x14ac:dyDescent="0.35"/>
    <row r="217" hidden="1" outlineLevel="1" x14ac:dyDescent="0.35"/>
    <row r="218" hidden="1" outlineLevel="1" x14ac:dyDescent="0.35"/>
    <row r="219" hidden="1" outlineLevel="1" x14ac:dyDescent="0.35"/>
    <row r="220" hidden="1" outlineLevel="1" x14ac:dyDescent="0.35"/>
    <row r="221" hidden="1" outlineLevel="1" x14ac:dyDescent="0.35"/>
    <row r="222" hidden="1" outlineLevel="1" x14ac:dyDescent="0.35"/>
    <row r="223" hidden="1" outlineLevel="1" x14ac:dyDescent="0.35"/>
    <row r="224" hidden="1" outlineLevel="1" x14ac:dyDescent="0.35"/>
    <row r="225" hidden="1" outlineLevel="1" x14ac:dyDescent="0.35"/>
    <row r="226" hidden="1" outlineLevel="1" x14ac:dyDescent="0.35"/>
    <row r="227" hidden="1" outlineLevel="1" x14ac:dyDescent="0.35"/>
    <row r="228" hidden="1" outlineLevel="1" x14ac:dyDescent="0.35"/>
    <row r="229" hidden="1" outlineLevel="1" x14ac:dyDescent="0.35"/>
    <row r="230" hidden="1" outlineLevel="1" x14ac:dyDescent="0.35"/>
    <row r="231" hidden="1" outlineLevel="1" x14ac:dyDescent="0.35"/>
    <row r="232" hidden="1" outlineLevel="1" x14ac:dyDescent="0.35"/>
    <row r="233" hidden="1" outlineLevel="1" x14ac:dyDescent="0.35"/>
    <row r="234" hidden="1" outlineLevel="1" x14ac:dyDescent="0.35"/>
    <row r="235" hidden="1" outlineLevel="1" x14ac:dyDescent="0.35"/>
    <row r="236" hidden="1" outlineLevel="1" x14ac:dyDescent="0.35"/>
    <row r="237" hidden="1" outlineLevel="1" x14ac:dyDescent="0.35"/>
    <row r="238" hidden="1" outlineLevel="1" x14ac:dyDescent="0.35"/>
    <row r="239" hidden="1" outlineLevel="1" x14ac:dyDescent="0.35"/>
    <row r="240" hidden="1" outlineLevel="1" x14ac:dyDescent="0.35"/>
    <row r="241" hidden="1" outlineLevel="1" x14ac:dyDescent="0.35"/>
    <row r="242" hidden="1" outlineLevel="1" x14ac:dyDescent="0.35"/>
    <row r="243" hidden="1" outlineLevel="1" x14ac:dyDescent="0.35"/>
    <row r="244" hidden="1" outlineLevel="1" x14ac:dyDescent="0.35"/>
    <row r="245" hidden="1" outlineLevel="1" x14ac:dyDescent="0.35"/>
    <row r="246" hidden="1" outlineLevel="1" x14ac:dyDescent="0.35"/>
    <row r="247" hidden="1" outlineLevel="1" x14ac:dyDescent="0.35"/>
    <row r="248" hidden="1" outlineLevel="1" x14ac:dyDescent="0.35"/>
    <row r="249" hidden="1" outlineLevel="1" x14ac:dyDescent="0.35"/>
    <row r="250" hidden="1" outlineLevel="1" x14ac:dyDescent="0.35"/>
    <row r="251" hidden="1" outlineLevel="1" x14ac:dyDescent="0.35"/>
    <row r="252" hidden="1" outlineLevel="1" x14ac:dyDescent="0.35"/>
    <row r="253" hidden="1" outlineLevel="1" x14ac:dyDescent="0.35"/>
    <row r="254" hidden="1" outlineLevel="1" x14ac:dyDescent="0.35"/>
    <row r="255" hidden="1" outlineLevel="1" x14ac:dyDescent="0.35"/>
    <row r="256" hidden="1" outlineLevel="1" x14ac:dyDescent="0.35"/>
    <row r="257" hidden="1" outlineLevel="1" x14ac:dyDescent="0.35"/>
    <row r="258" hidden="1" outlineLevel="1" x14ac:dyDescent="0.35"/>
    <row r="259" hidden="1" outlineLevel="1" x14ac:dyDescent="0.35"/>
    <row r="260" hidden="1" outlineLevel="1" x14ac:dyDescent="0.35"/>
    <row r="261" hidden="1" outlineLevel="1" x14ac:dyDescent="0.35"/>
    <row r="262" hidden="1" outlineLevel="1" x14ac:dyDescent="0.35"/>
    <row r="263" hidden="1" outlineLevel="1" x14ac:dyDescent="0.35"/>
    <row r="264" hidden="1" outlineLevel="1" x14ac:dyDescent="0.35"/>
    <row r="265" hidden="1" outlineLevel="1" x14ac:dyDescent="0.35"/>
    <row r="266" hidden="1" outlineLevel="1" x14ac:dyDescent="0.35"/>
    <row r="267" hidden="1" outlineLevel="1" x14ac:dyDescent="0.35"/>
    <row r="268" hidden="1" outlineLevel="1" x14ac:dyDescent="0.35"/>
    <row r="269" hidden="1" outlineLevel="1" x14ac:dyDescent="0.35"/>
    <row r="270" hidden="1" outlineLevel="1" x14ac:dyDescent="0.35"/>
    <row r="271" hidden="1" outlineLevel="1" x14ac:dyDescent="0.35"/>
    <row r="272" hidden="1" outlineLevel="1" x14ac:dyDescent="0.35"/>
    <row r="273" hidden="1" outlineLevel="1" x14ac:dyDescent="0.35"/>
    <row r="274" hidden="1" outlineLevel="1" x14ac:dyDescent="0.35"/>
    <row r="275" hidden="1" outlineLevel="1" x14ac:dyDescent="0.35"/>
    <row r="276" hidden="1" outlineLevel="1" x14ac:dyDescent="0.35"/>
    <row r="277" hidden="1" outlineLevel="1" x14ac:dyDescent="0.35"/>
    <row r="278" hidden="1" outlineLevel="1" x14ac:dyDescent="0.35"/>
    <row r="279" hidden="1" outlineLevel="1" x14ac:dyDescent="0.35"/>
    <row r="280" hidden="1" outlineLevel="1" x14ac:dyDescent="0.35"/>
    <row r="281" hidden="1" outlineLevel="1" x14ac:dyDescent="0.35"/>
    <row r="282" hidden="1" outlineLevel="1" x14ac:dyDescent="0.35"/>
    <row r="283" hidden="1" outlineLevel="1" x14ac:dyDescent="0.35"/>
    <row r="284" hidden="1" outlineLevel="1" x14ac:dyDescent="0.35"/>
    <row r="285" hidden="1" outlineLevel="1" x14ac:dyDescent="0.35"/>
    <row r="286" hidden="1" outlineLevel="1" x14ac:dyDescent="0.35"/>
    <row r="287" hidden="1" outlineLevel="1" x14ac:dyDescent="0.35"/>
    <row r="288" hidden="1" outlineLevel="1" x14ac:dyDescent="0.35"/>
    <row r="289" hidden="1" outlineLevel="1" x14ac:dyDescent="0.35"/>
    <row r="290" hidden="1" outlineLevel="1" x14ac:dyDescent="0.35"/>
    <row r="291" hidden="1" outlineLevel="1" x14ac:dyDescent="0.35"/>
    <row r="292" hidden="1" outlineLevel="1" x14ac:dyDescent="0.35"/>
    <row r="293" hidden="1" outlineLevel="1" x14ac:dyDescent="0.35"/>
    <row r="294" hidden="1" outlineLevel="1" x14ac:dyDescent="0.35"/>
    <row r="295" hidden="1" outlineLevel="1" x14ac:dyDescent="0.35"/>
    <row r="296" hidden="1" outlineLevel="1" x14ac:dyDescent="0.35"/>
    <row r="297" hidden="1" outlineLevel="1" x14ac:dyDescent="0.35"/>
    <row r="298" hidden="1" outlineLevel="1" x14ac:dyDescent="0.35"/>
    <row r="299" hidden="1" outlineLevel="1" x14ac:dyDescent="0.35"/>
    <row r="300" hidden="1" outlineLevel="1" x14ac:dyDescent="0.35"/>
    <row r="301" hidden="1" outlineLevel="1" x14ac:dyDescent="0.35"/>
    <row r="302" hidden="1" outlineLevel="1" x14ac:dyDescent="0.35"/>
    <row r="303" hidden="1" outlineLevel="1" x14ac:dyDescent="0.35"/>
    <row r="304" hidden="1" outlineLevel="1" x14ac:dyDescent="0.35"/>
    <row r="305" hidden="1" outlineLevel="1" x14ac:dyDescent="0.35"/>
    <row r="306" hidden="1" outlineLevel="1" x14ac:dyDescent="0.35"/>
    <row r="307" hidden="1" outlineLevel="1" x14ac:dyDescent="0.35"/>
    <row r="308" hidden="1" outlineLevel="1" x14ac:dyDescent="0.35"/>
    <row r="309" hidden="1" outlineLevel="1" x14ac:dyDescent="0.35"/>
    <row r="310" hidden="1" outlineLevel="1" x14ac:dyDescent="0.35"/>
    <row r="311" hidden="1" outlineLevel="1" x14ac:dyDescent="0.35"/>
    <row r="312" hidden="1" outlineLevel="1" x14ac:dyDescent="0.35"/>
    <row r="313" hidden="1" outlineLevel="1" x14ac:dyDescent="0.35"/>
    <row r="314" hidden="1" outlineLevel="1" x14ac:dyDescent="0.35"/>
    <row r="315" hidden="1" outlineLevel="1" x14ac:dyDescent="0.35"/>
    <row r="316" hidden="1" outlineLevel="1" x14ac:dyDescent="0.35"/>
    <row r="317" hidden="1" outlineLevel="1" x14ac:dyDescent="0.35"/>
    <row r="318" hidden="1" outlineLevel="1" x14ac:dyDescent="0.35"/>
    <row r="319" hidden="1" outlineLevel="1" x14ac:dyDescent="0.35"/>
    <row r="320" hidden="1" outlineLevel="1" x14ac:dyDescent="0.35"/>
    <row r="321" hidden="1" outlineLevel="1" x14ac:dyDescent="0.35"/>
    <row r="322" hidden="1" outlineLevel="1" x14ac:dyDescent="0.35"/>
    <row r="323" hidden="1" outlineLevel="1" x14ac:dyDescent="0.35"/>
    <row r="324" hidden="1" outlineLevel="1" x14ac:dyDescent="0.35"/>
    <row r="325" hidden="1" outlineLevel="1" x14ac:dyDescent="0.35"/>
    <row r="326" hidden="1" outlineLevel="1" x14ac:dyDescent="0.35"/>
    <row r="327" hidden="1" outlineLevel="1" x14ac:dyDescent="0.35"/>
    <row r="328" hidden="1" outlineLevel="1" x14ac:dyDescent="0.35"/>
    <row r="329" hidden="1" outlineLevel="1" x14ac:dyDescent="0.35"/>
    <row r="330" hidden="1" outlineLevel="1" x14ac:dyDescent="0.35"/>
    <row r="331" hidden="1" outlineLevel="1" x14ac:dyDescent="0.35"/>
    <row r="332" hidden="1" outlineLevel="1" x14ac:dyDescent="0.35"/>
    <row r="333" hidden="1" outlineLevel="1" x14ac:dyDescent="0.35"/>
    <row r="334" hidden="1" outlineLevel="1" x14ac:dyDescent="0.35"/>
    <row r="335" hidden="1" outlineLevel="1" x14ac:dyDescent="0.35"/>
    <row r="336" hidden="1" outlineLevel="1" x14ac:dyDescent="0.35"/>
    <row r="337" hidden="1" outlineLevel="1" x14ac:dyDescent="0.35"/>
    <row r="338" hidden="1" outlineLevel="1" x14ac:dyDescent="0.35"/>
    <row r="339" hidden="1" outlineLevel="1" x14ac:dyDescent="0.35"/>
    <row r="340" hidden="1" outlineLevel="1" x14ac:dyDescent="0.35"/>
    <row r="341" hidden="1" outlineLevel="1" x14ac:dyDescent="0.35"/>
    <row r="342" hidden="1" outlineLevel="1" x14ac:dyDescent="0.35"/>
    <row r="343" hidden="1" outlineLevel="1" x14ac:dyDescent="0.35"/>
    <row r="344" hidden="1" outlineLevel="1" x14ac:dyDescent="0.35"/>
    <row r="345" hidden="1" outlineLevel="1" x14ac:dyDescent="0.35"/>
    <row r="346" hidden="1" outlineLevel="1" x14ac:dyDescent="0.35"/>
    <row r="347" hidden="1" outlineLevel="1" x14ac:dyDescent="0.35"/>
    <row r="348" hidden="1" outlineLevel="1" x14ac:dyDescent="0.35"/>
    <row r="349" hidden="1" outlineLevel="1" x14ac:dyDescent="0.35"/>
    <row r="350" hidden="1" outlineLevel="1" x14ac:dyDescent="0.35"/>
    <row r="351" hidden="1" outlineLevel="1" x14ac:dyDescent="0.35"/>
    <row r="352" hidden="1" outlineLevel="1" x14ac:dyDescent="0.35"/>
    <row r="353" hidden="1" outlineLevel="1" x14ac:dyDescent="0.35"/>
    <row r="354" hidden="1" outlineLevel="1" x14ac:dyDescent="0.35"/>
    <row r="355" hidden="1" outlineLevel="1" x14ac:dyDescent="0.35"/>
    <row r="356" hidden="1" outlineLevel="1" x14ac:dyDescent="0.35"/>
    <row r="357" hidden="1" outlineLevel="1" x14ac:dyDescent="0.35"/>
    <row r="358" hidden="1" outlineLevel="1" x14ac:dyDescent="0.35"/>
    <row r="359" hidden="1" outlineLevel="1" x14ac:dyDescent="0.35"/>
    <row r="360" hidden="1" outlineLevel="1" x14ac:dyDescent="0.35"/>
    <row r="361" hidden="1" outlineLevel="1" x14ac:dyDescent="0.35"/>
    <row r="362" hidden="1" outlineLevel="1" x14ac:dyDescent="0.35"/>
    <row r="363" hidden="1" outlineLevel="1" x14ac:dyDescent="0.35"/>
    <row r="364" hidden="1" outlineLevel="1" x14ac:dyDescent="0.35"/>
    <row r="365" hidden="1" outlineLevel="1" x14ac:dyDescent="0.35"/>
    <row r="366" hidden="1" outlineLevel="1" x14ac:dyDescent="0.35"/>
    <row r="367" hidden="1" outlineLevel="1" x14ac:dyDescent="0.35"/>
    <row r="368" hidden="1" outlineLevel="1" x14ac:dyDescent="0.35"/>
    <row r="369" hidden="1" outlineLevel="1" x14ac:dyDescent="0.35"/>
    <row r="370" hidden="1" outlineLevel="1" x14ac:dyDescent="0.35"/>
    <row r="371" hidden="1" outlineLevel="1" x14ac:dyDescent="0.35"/>
    <row r="372" hidden="1" outlineLevel="1" x14ac:dyDescent="0.35"/>
    <row r="373" hidden="1" outlineLevel="1" x14ac:dyDescent="0.35"/>
    <row r="374" hidden="1" outlineLevel="1" x14ac:dyDescent="0.35"/>
    <row r="375" hidden="1" outlineLevel="1" x14ac:dyDescent="0.35"/>
    <row r="376" hidden="1" outlineLevel="1" x14ac:dyDescent="0.35"/>
    <row r="377" hidden="1" outlineLevel="1" x14ac:dyDescent="0.35"/>
    <row r="378" hidden="1" outlineLevel="1" x14ac:dyDescent="0.35"/>
    <row r="379" hidden="1" outlineLevel="1" x14ac:dyDescent="0.35"/>
    <row r="380" hidden="1" outlineLevel="1" x14ac:dyDescent="0.35"/>
    <row r="381" hidden="1" outlineLevel="1" x14ac:dyDescent="0.35"/>
    <row r="382" hidden="1" outlineLevel="1" x14ac:dyDescent="0.35"/>
    <row r="383" hidden="1" outlineLevel="1" x14ac:dyDescent="0.35"/>
    <row r="384" hidden="1" outlineLevel="1" x14ac:dyDescent="0.35"/>
    <row r="385" hidden="1" outlineLevel="1" x14ac:dyDescent="0.35"/>
    <row r="386" hidden="1" outlineLevel="1" x14ac:dyDescent="0.35"/>
    <row r="387" hidden="1" outlineLevel="1" x14ac:dyDescent="0.35"/>
    <row r="388" hidden="1" outlineLevel="1" x14ac:dyDescent="0.35"/>
    <row r="389" hidden="1" outlineLevel="1" x14ac:dyDescent="0.35"/>
    <row r="390" hidden="1" outlineLevel="1" x14ac:dyDescent="0.35"/>
    <row r="391" hidden="1" outlineLevel="1" x14ac:dyDescent="0.35"/>
    <row r="392" hidden="1" outlineLevel="1" x14ac:dyDescent="0.35"/>
    <row r="393" hidden="1" outlineLevel="1" x14ac:dyDescent="0.35"/>
    <row r="394" hidden="1" outlineLevel="1" x14ac:dyDescent="0.35"/>
    <row r="395" hidden="1" outlineLevel="1" x14ac:dyDescent="0.35"/>
    <row r="396" hidden="1" outlineLevel="1" x14ac:dyDescent="0.35"/>
    <row r="397" hidden="1" outlineLevel="1" x14ac:dyDescent="0.35"/>
    <row r="398" hidden="1" outlineLevel="1" x14ac:dyDescent="0.35"/>
    <row r="399" hidden="1" outlineLevel="1" x14ac:dyDescent="0.35"/>
  </sheetData>
  <autoFilter ref="A10:BZ122" xr:uid="{00000000-0001-0000-0B00-000000000000}"/>
  <phoneticPr fontId="7" type="noConversion"/>
  <conditionalFormatting sqref="BA1">
    <cfRule type="expression" dxfId="4" priority="1" stopIfTrue="1">
      <formula>#REF!="Ja, sekretessfilter är en inbyggd funktion"</formula>
    </cfRule>
  </conditionalFormatting>
  <conditionalFormatting sqref="BA10">
    <cfRule type="expression" dxfId="3" priority="21273" stopIfTrue="1">
      <formula>#REF!="Ja, sekretessfilter är en inbyggd funktion"</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0" tint="-0.14999847407452621"/>
  </sheetPr>
  <dimension ref="B6:E106"/>
  <sheetViews>
    <sheetView showGridLines="0" workbookViewId="0">
      <selection activeCell="H105" sqref="H105"/>
    </sheetView>
  </sheetViews>
  <sheetFormatPr defaultRowHeight="14.5" x14ac:dyDescent="0.35"/>
  <cols>
    <col min="2" max="2" width="20.7265625" customWidth="1"/>
    <col min="3" max="3" width="48.453125" customWidth="1"/>
    <col min="5" max="5" width="19" customWidth="1"/>
  </cols>
  <sheetData>
    <row r="6" spans="2:5" x14ac:dyDescent="0.35">
      <c r="C6" s="1"/>
      <c r="D6" s="1"/>
      <c r="E6" s="1"/>
    </row>
    <row r="7" spans="2:5" x14ac:dyDescent="0.35">
      <c r="C7" s="1"/>
      <c r="D7" s="1"/>
      <c r="E7" s="1"/>
    </row>
    <row r="8" spans="2:5" x14ac:dyDescent="0.35">
      <c r="C8" s="1"/>
      <c r="D8" s="1"/>
      <c r="E8" s="1"/>
    </row>
    <row r="10" spans="2:5" x14ac:dyDescent="0.35">
      <c r="B10" s="15" t="s">
        <v>226</v>
      </c>
      <c r="C10" s="15" t="s">
        <v>123</v>
      </c>
      <c r="D10" s="15" t="s">
        <v>25</v>
      </c>
    </row>
    <row r="11" spans="2:5" ht="28.5" customHeight="1" x14ac:dyDescent="0.35">
      <c r="B11" s="18" t="s">
        <v>162</v>
      </c>
      <c r="C11" s="19" t="s">
        <v>33</v>
      </c>
      <c r="D11" s="16">
        <f>ROUNDUP(E11*1.03,0)</f>
        <v>85</v>
      </c>
      <c r="E11">
        <v>82</v>
      </c>
    </row>
    <row r="12" spans="2:5" ht="28.5" customHeight="1" x14ac:dyDescent="0.35">
      <c r="B12" s="18" t="s">
        <v>162</v>
      </c>
      <c r="C12" s="19" t="s">
        <v>32</v>
      </c>
      <c r="D12" s="16">
        <f t="shared" ref="D12:D75" si="0">ROUNDUP(E12*1.03,0)</f>
        <v>49</v>
      </c>
      <c r="E12">
        <v>47</v>
      </c>
    </row>
    <row r="13" spans="2:5" ht="28.5" customHeight="1" x14ac:dyDescent="0.35">
      <c r="B13" s="18" t="s">
        <v>162</v>
      </c>
      <c r="C13" s="19" t="s">
        <v>31</v>
      </c>
      <c r="D13" s="16">
        <f t="shared" si="0"/>
        <v>67</v>
      </c>
      <c r="E13">
        <v>65</v>
      </c>
    </row>
    <row r="14" spans="2:5" ht="28.5" customHeight="1" x14ac:dyDescent="0.35">
      <c r="B14" s="18" t="s">
        <v>162</v>
      </c>
      <c r="C14" s="19" t="s">
        <v>21</v>
      </c>
      <c r="D14" s="16">
        <f t="shared" si="0"/>
        <v>63</v>
      </c>
      <c r="E14">
        <v>61</v>
      </c>
    </row>
    <row r="15" spans="2:5" ht="28.5" customHeight="1" x14ac:dyDescent="0.35">
      <c r="B15" s="18" t="s">
        <v>162</v>
      </c>
      <c r="C15" s="19" t="s">
        <v>22</v>
      </c>
      <c r="D15" s="16">
        <f t="shared" si="0"/>
        <v>77</v>
      </c>
      <c r="E15">
        <v>74</v>
      </c>
    </row>
    <row r="16" spans="2:5" ht="28.5" customHeight="1" x14ac:dyDescent="0.35">
      <c r="B16" s="18" t="s">
        <v>162</v>
      </c>
      <c r="C16" s="19" t="s">
        <v>26</v>
      </c>
      <c r="D16" s="16">
        <f t="shared" si="0"/>
        <v>105</v>
      </c>
      <c r="E16">
        <v>101</v>
      </c>
    </row>
    <row r="17" spans="2:5" ht="28.5" customHeight="1" x14ac:dyDescent="0.35">
      <c r="B17" s="18" t="s">
        <v>162</v>
      </c>
      <c r="C17" s="19" t="s">
        <v>27</v>
      </c>
      <c r="D17" s="16">
        <f t="shared" si="0"/>
        <v>105</v>
      </c>
      <c r="E17">
        <v>101</v>
      </c>
    </row>
    <row r="18" spans="2:5" ht="28.5" customHeight="1" x14ac:dyDescent="0.35">
      <c r="B18" s="18" t="s">
        <v>162</v>
      </c>
      <c r="C18" s="19" t="s">
        <v>23</v>
      </c>
      <c r="D18" s="16">
        <f t="shared" si="0"/>
        <v>111</v>
      </c>
      <c r="E18">
        <v>107</v>
      </c>
    </row>
    <row r="19" spans="2:5" ht="28.5" customHeight="1" x14ac:dyDescent="0.35">
      <c r="B19" s="18" t="s">
        <v>162</v>
      </c>
      <c r="C19" s="19" t="s">
        <v>28</v>
      </c>
      <c r="D19" s="16">
        <f t="shared" si="0"/>
        <v>123</v>
      </c>
      <c r="E19">
        <v>119</v>
      </c>
    </row>
    <row r="20" spans="2:5" ht="28.5" customHeight="1" x14ac:dyDescent="0.35">
      <c r="B20" s="18" t="s">
        <v>162</v>
      </c>
      <c r="C20" s="19" t="s">
        <v>18</v>
      </c>
      <c r="D20" s="16">
        <f t="shared" si="0"/>
        <v>131</v>
      </c>
      <c r="E20">
        <v>127</v>
      </c>
    </row>
    <row r="21" spans="2:5" ht="28.5" customHeight="1" x14ac:dyDescent="0.35">
      <c r="B21" s="18" t="s">
        <v>162</v>
      </c>
      <c r="C21" s="19" t="s">
        <v>19</v>
      </c>
      <c r="D21" s="16">
        <f t="shared" si="0"/>
        <v>32</v>
      </c>
      <c r="E21">
        <v>31</v>
      </c>
    </row>
    <row r="22" spans="2:5" ht="28.5" customHeight="1" x14ac:dyDescent="0.35">
      <c r="B22" s="18" t="s">
        <v>162</v>
      </c>
      <c r="C22" s="19" t="s">
        <v>20</v>
      </c>
      <c r="D22" s="16">
        <f t="shared" si="0"/>
        <v>48</v>
      </c>
      <c r="E22">
        <v>46</v>
      </c>
    </row>
    <row r="23" spans="2:5" ht="28.5" customHeight="1" x14ac:dyDescent="0.35">
      <c r="B23" s="18" t="s">
        <v>162</v>
      </c>
      <c r="C23" s="19" t="s">
        <v>34</v>
      </c>
      <c r="D23" s="16">
        <f t="shared" si="0"/>
        <v>425</v>
      </c>
      <c r="E23">
        <v>412</v>
      </c>
    </row>
    <row r="24" spans="2:5" ht="28.5" customHeight="1" x14ac:dyDescent="0.35">
      <c r="B24" s="18" t="s">
        <v>162</v>
      </c>
      <c r="C24" s="19" t="s">
        <v>35</v>
      </c>
      <c r="D24" s="16">
        <f t="shared" si="0"/>
        <v>580</v>
      </c>
      <c r="E24">
        <v>563</v>
      </c>
    </row>
    <row r="25" spans="2:5" ht="28.5" customHeight="1" x14ac:dyDescent="0.35">
      <c r="B25" s="18" t="s">
        <v>162</v>
      </c>
      <c r="C25" s="19" t="s">
        <v>29</v>
      </c>
      <c r="D25" s="16">
        <f t="shared" si="0"/>
        <v>454</v>
      </c>
      <c r="E25">
        <v>440</v>
      </c>
    </row>
    <row r="26" spans="2:5" ht="28.5" customHeight="1" x14ac:dyDescent="0.35">
      <c r="B26" s="18" t="s">
        <v>162</v>
      </c>
      <c r="C26" s="19" t="s">
        <v>30</v>
      </c>
      <c r="D26" s="16">
        <f t="shared" si="0"/>
        <v>206</v>
      </c>
      <c r="E26">
        <v>200</v>
      </c>
    </row>
    <row r="27" spans="2:5" ht="28.5" customHeight="1" x14ac:dyDescent="0.35">
      <c r="B27" s="17" t="s">
        <v>169</v>
      </c>
      <c r="C27" s="19" t="s">
        <v>33</v>
      </c>
      <c r="D27" s="16">
        <f t="shared" si="0"/>
        <v>211</v>
      </c>
      <c r="E27">
        <v>204</v>
      </c>
    </row>
    <row r="28" spans="2:5" ht="28.5" customHeight="1" x14ac:dyDescent="0.35">
      <c r="B28" s="17" t="s">
        <v>169</v>
      </c>
      <c r="C28" s="19" t="s">
        <v>32</v>
      </c>
      <c r="D28" s="16">
        <f t="shared" si="0"/>
        <v>56</v>
      </c>
      <c r="E28">
        <v>54</v>
      </c>
    </row>
    <row r="29" spans="2:5" ht="28.5" customHeight="1" x14ac:dyDescent="0.35">
      <c r="B29" s="17" t="s">
        <v>169</v>
      </c>
      <c r="C29" s="19" t="s">
        <v>31</v>
      </c>
      <c r="D29" s="16">
        <f t="shared" si="0"/>
        <v>116</v>
      </c>
      <c r="E29">
        <v>112</v>
      </c>
    </row>
    <row r="30" spans="2:5" ht="28.5" customHeight="1" x14ac:dyDescent="0.35">
      <c r="B30" s="17" t="s">
        <v>169</v>
      </c>
      <c r="C30" s="19" t="s">
        <v>21</v>
      </c>
      <c r="D30" s="16">
        <f t="shared" si="0"/>
        <v>66</v>
      </c>
      <c r="E30">
        <v>64</v>
      </c>
    </row>
    <row r="31" spans="2:5" ht="28.5" customHeight="1" x14ac:dyDescent="0.35">
      <c r="B31" s="17" t="s">
        <v>169</v>
      </c>
      <c r="C31" s="19" t="s">
        <v>22</v>
      </c>
      <c r="D31" s="16">
        <f t="shared" si="0"/>
        <v>133</v>
      </c>
      <c r="E31">
        <v>129</v>
      </c>
    </row>
    <row r="32" spans="2:5" ht="28.5" customHeight="1" x14ac:dyDescent="0.35">
      <c r="B32" s="17" t="s">
        <v>169</v>
      </c>
      <c r="C32" s="19" t="s">
        <v>26</v>
      </c>
      <c r="D32" s="16">
        <f t="shared" si="0"/>
        <v>127</v>
      </c>
      <c r="E32">
        <v>123</v>
      </c>
    </row>
    <row r="33" spans="2:5" ht="28.5" customHeight="1" x14ac:dyDescent="0.35">
      <c r="B33" s="17" t="s">
        <v>169</v>
      </c>
      <c r="C33" s="19" t="s">
        <v>27</v>
      </c>
      <c r="D33" s="16">
        <f t="shared" si="0"/>
        <v>111</v>
      </c>
      <c r="E33">
        <v>107</v>
      </c>
    </row>
    <row r="34" spans="2:5" ht="28.5" customHeight="1" x14ac:dyDescent="0.35">
      <c r="B34" s="17" t="s">
        <v>169</v>
      </c>
      <c r="C34" s="19" t="s">
        <v>23</v>
      </c>
      <c r="D34" s="16">
        <f t="shared" si="0"/>
        <v>111</v>
      </c>
      <c r="E34">
        <v>107</v>
      </c>
    </row>
    <row r="35" spans="2:5" ht="28.5" customHeight="1" x14ac:dyDescent="0.35">
      <c r="B35" s="17" t="s">
        <v>169</v>
      </c>
      <c r="C35" s="19" t="s">
        <v>28</v>
      </c>
      <c r="D35" s="16">
        <f t="shared" si="0"/>
        <v>111</v>
      </c>
      <c r="E35">
        <v>107</v>
      </c>
    </row>
    <row r="36" spans="2:5" ht="28.5" customHeight="1" x14ac:dyDescent="0.35">
      <c r="B36" s="17" t="s">
        <v>169</v>
      </c>
      <c r="C36" s="19" t="s">
        <v>18</v>
      </c>
      <c r="D36" s="16">
        <f t="shared" si="0"/>
        <v>116</v>
      </c>
      <c r="E36">
        <v>112</v>
      </c>
    </row>
    <row r="37" spans="2:5" ht="28.5" customHeight="1" x14ac:dyDescent="0.35">
      <c r="B37" s="17" t="s">
        <v>169</v>
      </c>
      <c r="C37" s="19" t="s">
        <v>19</v>
      </c>
      <c r="D37" s="16">
        <f t="shared" si="0"/>
        <v>50</v>
      </c>
      <c r="E37">
        <v>48</v>
      </c>
    </row>
    <row r="38" spans="2:5" ht="28.5" customHeight="1" x14ac:dyDescent="0.35">
      <c r="B38" s="17" t="s">
        <v>169</v>
      </c>
      <c r="C38" s="19" t="s">
        <v>20</v>
      </c>
      <c r="D38" s="16">
        <f t="shared" si="0"/>
        <v>56</v>
      </c>
      <c r="E38">
        <v>54</v>
      </c>
    </row>
    <row r="39" spans="2:5" ht="28.5" customHeight="1" x14ac:dyDescent="0.35">
      <c r="B39" s="17" t="s">
        <v>169</v>
      </c>
      <c r="C39" s="19" t="s">
        <v>34</v>
      </c>
      <c r="D39" s="16">
        <f t="shared" si="0"/>
        <v>507</v>
      </c>
      <c r="E39">
        <v>492</v>
      </c>
    </row>
    <row r="40" spans="2:5" ht="28.5" customHeight="1" x14ac:dyDescent="0.35">
      <c r="B40" s="17" t="s">
        <v>169</v>
      </c>
      <c r="C40" s="19" t="s">
        <v>35</v>
      </c>
      <c r="D40" s="16">
        <f t="shared" si="0"/>
        <v>507</v>
      </c>
      <c r="E40">
        <v>492</v>
      </c>
    </row>
    <row r="41" spans="2:5" ht="28.5" customHeight="1" x14ac:dyDescent="0.35">
      <c r="B41" s="17" t="s">
        <v>169</v>
      </c>
      <c r="C41" s="19" t="s">
        <v>29</v>
      </c>
      <c r="D41" s="16">
        <f t="shared" si="0"/>
        <v>939</v>
      </c>
      <c r="E41">
        <v>911</v>
      </c>
    </row>
    <row r="42" spans="2:5" ht="28.5" customHeight="1" x14ac:dyDescent="0.35">
      <c r="B42" s="17" t="s">
        <v>169</v>
      </c>
      <c r="C42" s="19" t="s">
        <v>30</v>
      </c>
      <c r="D42" s="16">
        <f t="shared" si="0"/>
        <v>900</v>
      </c>
      <c r="E42">
        <v>873</v>
      </c>
    </row>
    <row r="43" spans="2:5" ht="28.5" customHeight="1" x14ac:dyDescent="0.35">
      <c r="B43" s="18" t="s">
        <v>150</v>
      </c>
      <c r="C43" s="19" t="s">
        <v>33</v>
      </c>
      <c r="D43" s="16">
        <f t="shared" si="0"/>
        <v>277</v>
      </c>
      <c r="E43">
        <v>268</v>
      </c>
    </row>
    <row r="44" spans="2:5" ht="28.5" customHeight="1" x14ac:dyDescent="0.35">
      <c r="B44" s="18" t="s">
        <v>150</v>
      </c>
      <c r="C44" s="19" t="s">
        <v>32</v>
      </c>
      <c r="D44" s="16">
        <f t="shared" si="0"/>
        <v>140</v>
      </c>
      <c r="E44">
        <v>135</v>
      </c>
    </row>
    <row r="45" spans="2:5" ht="28.5" customHeight="1" x14ac:dyDescent="0.35">
      <c r="B45" s="18" t="s">
        <v>150</v>
      </c>
      <c r="C45" s="19" t="s">
        <v>31</v>
      </c>
      <c r="D45" s="16">
        <f t="shared" si="0"/>
        <v>140</v>
      </c>
      <c r="E45">
        <v>135</v>
      </c>
    </row>
    <row r="46" spans="2:5" ht="28.5" customHeight="1" x14ac:dyDescent="0.35">
      <c r="B46" s="18" t="s">
        <v>150</v>
      </c>
      <c r="C46" s="19" t="s">
        <v>21</v>
      </c>
      <c r="D46" s="16">
        <f t="shared" si="0"/>
        <v>112</v>
      </c>
      <c r="E46">
        <v>108</v>
      </c>
    </row>
    <row r="47" spans="2:5" ht="28.5" customHeight="1" x14ac:dyDescent="0.35">
      <c r="B47" s="18" t="s">
        <v>150</v>
      </c>
      <c r="C47" s="19" t="s">
        <v>22</v>
      </c>
      <c r="D47" s="16">
        <f t="shared" si="0"/>
        <v>281</v>
      </c>
      <c r="E47">
        <v>272</v>
      </c>
    </row>
    <row r="48" spans="2:5" ht="28.5" customHeight="1" x14ac:dyDescent="0.35">
      <c r="B48" s="18" t="s">
        <v>150</v>
      </c>
      <c r="C48" s="19" t="s">
        <v>26</v>
      </c>
      <c r="D48" s="16">
        <f t="shared" si="0"/>
        <v>77</v>
      </c>
      <c r="E48">
        <v>74</v>
      </c>
    </row>
    <row r="49" spans="2:5" ht="28.5" customHeight="1" x14ac:dyDescent="0.35">
      <c r="B49" s="18" t="s">
        <v>150</v>
      </c>
      <c r="C49" s="19" t="s">
        <v>27</v>
      </c>
      <c r="D49" s="16">
        <f t="shared" si="0"/>
        <v>77</v>
      </c>
      <c r="E49">
        <v>74</v>
      </c>
    </row>
    <row r="50" spans="2:5" ht="28.5" customHeight="1" x14ac:dyDescent="0.35">
      <c r="B50" s="18" t="s">
        <v>150</v>
      </c>
      <c r="C50" s="19" t="s">
        <v>23</v>
      </c>
      <c r="D50" s="16">
        <f t="shared" si="0"/>
        <v>250</v>
      </c>
      <c r="E50">
        <v>242</v>
      </c>
    </row>
    <row r="51" spans="2:5" ht="28.5" customHeight="1" x14ac:dyDescent="0.35">
      <c r="B51" s="18" t="s">
        <v>150</v>
      </c>
      <c r="C51" s="19" t="s">
        <v>28</v>
      </c>
      <c r="D51" s="16">
        <f t="shared" si="0"/>
        <v>276</v>
      </c>
      <c r="E51">
        <v>267</v>
      </c>
    </row>
    <row r="52" spans="2:5" ht="28.5" customHeight="1" x14ac:dyDescent="0.35">
      <c r="B52" s="18" t="s">
        <v>150</v>
      </c>
      <c r="C52" s="19" t="s">
        <v>18</v>
      </c>
      <c r="D52" s="16">
        <f t="shared" si="0"/>
        <v>220</v>
      </c>
      <c r="E52">
        <v>213</v>
      </c>
    </row>
    <row r="53" spans="2:5" ht="28.5" customHeight="1" x14ac:dyDescent="0.35">
      <c r="B53" s="18" t="s">
        <v>150</v>
      </c>
      <c r="C53" s="19" t="s">
        <v>19</v>
      </c>
      <c r="D53" s="16">
        <f t="shared" si="0"/>
        <v>80</v>
      </c>
      <c r="E53">
        <v>77</v>
      </c>
    </row>
    <row r="54" spans="2:5" ht="28.5" customHeight="1" x14ac:dyDescent="0.35">
      <c r="B54" s="18" t="s">
        <v>150</v>
      </c>
      <c r="C54" s="19" t="s">
        <v>20</v>
      </c>
      <c r="D54" s="16">
        <f t="shared" si="0"/>
        <v>71</v>
      </c>
      <c r="E54">
        <v>68</v>
      </c>
    </row>
    <row r="55" spans="2:5" ht="28.5" customHeight="1" x14ac:dyDescent="0.35">
      <c r="B55" s="18" t="s">
        <v>150</v>
      </c>
      <c r="C55" s="19" t="s">
        <v>34</v>
      </c>
      <c r="D55" s="16">
        <f t="shared" si="0"/>
        <v>452</v>
      </c>
      <c r="E55">
        <v>438</v>
      </c>
    </row>
    <row r="56" spans="2:5" ht="28.5" customHeight="1" x14ac:dyDescent="0.35">
      <c r="B56" s="18" t="s">
        <v>150</v>
      </c>
      <c r="C56" s="19" t="s">
        <v>35</v>
      </c>
      <c r="D56" s="16">
        <f t="shared" si="0"/>
        <v>782</v>
      </c>
      <c r="E56">
        <v>759</v>
      </c>
    </row>
    <row r="57" spans="2:5" ht="28.5" customHeight="1" x14ac:dyDescent="0.35">
      <c r="B57" s="18" t="s">
        <v>150</v>
      </c>
      <c r="C57" s="19" t="s">
        <v>29</v>
      </c>
      <c r="D57" s="16">
        <f t="shared" si="0"/>
        <v>586</v>
      </c>
      <c r="E57">
        <v>568</v>
      </c>
    </row>
    <row r="58" spans="2:5" ht="28.5" customHeight="1" x14ac:dyDescent="0.35">
      <c r="B58" s="18" t="s">
        <v>150</v>
      </c>
      <c r="C58" s="19" t="s">
        <v>30</v>
      </c>
      <c r="D58" s="16">
        <f t="shared" si="0"/>
        <v>1158</v>
      </c>
      <c r="E58">
        <v>1124</v>
      </c>
    </row>
    <row r="59" spans="2:5" ht="28.5" customHeight="1" x14ac:dyDescent="0.35">
      <c r="B59" s="18" t="s">
        <v>128</v>
      </c>
      <c r="C59" s="19" t="s">
        <v>33</v>
      </c>
      <c r="D59" s="16">
        <f t="shared" si="0"/>
        <v>114</v>
      </c>
      <c r="E59">
        <v>110</v>
      </c>
    </row>
    <row r="60" spans="2:5" ht="28.5" customHeight="1" x14ac:dyDescent="0.35">
      <c r="B60" s="18" t="s">
        <v>128</v>
      </c>
      <c r="C60" s="19" t="s">
        <v>32</v>
      </c>
      <c r="D60" s="16">
        <f t="shared" si="0"/>
        <v>36</v>
      </c>
      <c r="E60">
        <v>34</v>
      </c>
    </row>
    <row r="61" spans="2:5" ht="28.5" customHeight="1" x14ac:dyDescent="0.35">
      <c r="B61" s="18" t="s">
        <v>128</v>
      </c>
      <c r="C61" s="19" t="s">
        <v>31</v>
      </c>
      <c r="D61" s="16">
        <f t="shared" si="0"/>
        <v>74</v>
      </c>
      <c r="E61">
        <v>71</v>
      </c>
    </row>
    <row r="62" spans="2:5" ht="28.5" customHeight="1" x14ac:dyDescent="0.35">
      <c r="B62" s="18" t="s">
        <v>128</v>
      </c>
      <c r="C62" s="19" t="s">
        <v>21</v>
      </c>
      <c r="D62" s="16">
        <f t="shared" si="0"/>
        <v>48</v>
      </c>
      <c r="E62">
        <v>46</v>
      </c>
    </row>
    <row r="63" spans="2:5" ht="28.5" customHeight="1" x14ac:dyDescent="0.35">
      <c r="B63" s="18" t="s">
        <v>128</v>
      </c>
      <c r="C63" s="19" t="s">
        <v>22</v>
      </c>
      <c r="D63" s="16">
        <f t="shared" si="0"/>
        <v>55</v>
      </c>
      <c r="E63">
        <v>53</v>
      </c>
    </row>
    <row r="64" spans="2:5" ht="28.5" customHeight="1" x14ac:dyDescent="0.35">
      <c r="B64" s="18" t="s">
        <v>128</v>
      </c>
      <c r="C64" s="19" t="s">
        <v>26</v>
      </c>
      <c r="D64" s="16">
        <f t="shared" si="0"/>
        <v>86</v>
      </c>
      <c r="E64">
        <v>83</v>
      </c>
    </row>
    <row r="65" spans="2:5" ht="28.5" customHeight="1" x14ac:dyDescent="0.35">
      <c r="B65" s="18" t="s">
        <v>128</v>
      </c>
      <c r="C65" s="19" t="s">
        <v>27</v>
      </c>
      <c r="D65" s="16">
        <f t="shared" si="0"/>
        <v>94</v>
      </c>
      <c r="E65">
        <v>91</v>
      </c>
    </row>
    <row r="66" spans="2:5" ht="28.5" customHeight="1" x14ac:dyDescent="0.35">
      <c r="B66" s="18" t="s">
        <v>128</v>
      </c>
      <c r="C66" s="19" t="s">
        <v>23</v>
      </c>
      <c r="D66" s="16">
        <f t="shared" si="0"/>
        <v>98</v>
      </c>
      <c r="E66">
        <v>95</v>
      </c>
    </row>
    <row r="67" spans="2:5" ht="28.5" customHeight="1" x14ac:dyDescent="0.35">
      <c r="B67" s="18" t="s">
        <v>128</v>
      </c>
      <c r="C67" s="19" t="s">
        <v>28</v>
      </c>
      <c r="D67" s="16">
        <f t="shared" si="0"/>
        <v>98</v>
      </c>
      <c r="E67">
        <v>95</v>
      </c>
    </row>
    <row r="68" spans="2:5" ht="28.5" customHeight="1" x14ac:dyDescent="0.35">
      <c r="B68" s="18" t="s">
        <v>128</v>
      </c>
      <c r="C68" s="19" t="s">
        <v>18</v>
      </c>
      <c r="D68" s="16">
        <f t="shared" si="0"/>
        <v>71</v>
      </c>
      <c r="E68">
        <v>68</v>
      </c>
    </row>
    <row r="69" spans="2:5" ht="28.5" customHeight="1" x14ac:dyDescent="0.35">
      <c r="B69" s="18" t="s">
        <v>128</v>
      </c>
      <c r="C69" s="19" t="s">
        <v>19</v>
      </c>
      <c r="D69" s="16">
        <f t="shared" si="0"/>
        <v>25</v>
      </c>
      <c r="E69">
        <v>24</v>
      </c>
    </row>
    <row r="70" spans="2:5" ht="28.5" customHeight="1" x14ac:dyDescent="0.35">
      <c r="B70" s="18" t="s">
        <v>128</v>
      </c>
      <c r="C70" s="19" t="s">
        <v>20</v>
      </c>
      <c r="D70" s="16">
        <f t="shared" si="0"/>
        <v>37</v>
      </c>
      <c r="E70">
        <v>35</v>
      </c>
    </row>
    <row r="71" spans="2:5" ht="28.5" customHeight="1" x14ac:dyDescent="0.35">
      <c r="B71" s="18" t="s">
        <v>128</v>
      </c>
      <c r="C71" s="19" t="s">
        <v>34</v>
      </c>
      <c r="D71" s="16">
        <f t="shared" si="0"/>
        <v>403</v>
      </c>
      <c r="E71">
        <v>391</v>
      </c>
    </row>
    <row r="72" spans="2:5" ht="28.5" customHeight="1" x14ac:dyDescent="0.35">
      <c r="B72" s="18" t="s">
        <v>128</v>
      </c>
      <c r="C72" s="19" t="s">
        <v>35</v>
      </c>
      <c r="D72" s="16">
        <f t="shared" si="0"/>
        <v>612</v>
      </c>
      <c r="E72">
        <v>594</v>
      </c>
    </row>
    <row r="73" spans="2:5" ht="28.5" customHeight="1" x14ac:dyDescent="0.35">
      <c r="B73" s="18" t="s">
        <v>128</v>
      </c>
      <c r="C73" s="19" t="s">
        <v>29</v>
      </c>
      <c r="D73" s="16">
        <f t="shared" si="0"/>
        <v>458</v>
      </c>
      <c r="E73">
        <v>444</v>
      </c>
    </row>
    <row r="74" spans="2:5" ht="28.5" customHeight="1" x14ac:dyDescent="0.35">
      <c r="B74" s="18" t="s">
        <v>128</v>
      </c>
      <c r="C74" s="19" t="s">
        <v>30</v>
      </c>
      <c r="D74" s="16">
        <f t="shared" si="0"/>
        <v>1373</v>
      </c>
      <c r="E74">
        <v>1333</v>
      </c>
    </row>
    <row r="75" spans="2:5" ht="28.5" customHeight="1" x14ac:dyDescent="0.35">
      <c r="B75" s="18" t="s">
        <v>167</v>
      </c>
      <c r="C75" s="19" t="s">
        <v>33</v>
      </c>
      <c r="D75" s="16">
        <f t="shared" si="0"/>
        <v>85</v>
      </c>
      <c r="E75">
        <v>82</v>
      </c>
    </row>
    <row r="76" spans="2:5" ht="28.5" customHeight="1" x14ac:dyDescent="0.35">
      <c r="B76" s="18" t="s">
        <v>167</v>
      </c>
      <c r="C76" s="19" t="s">
        <v>32</v>
      </c>
      <c r="D76" s="16">
        <f t="shared" ref="D76:D106" si="1">ROUNDUP(E76*1.03,0)</f>
        <v>48</v>
      </c>
      <c r="E76">
        <v>46</v>
      </c>
    </row>
    <row r="77" spans="2:5" ht="28.5" customHeight="1" x14ac:dyDescent="0.35">
      <c r="B77" s="18" t="s">
        <v>167</v>
      </c>
      <c r="C77" s="19" t="s">
        <v>31</v>
      </c>
      <c r="D77" s="16">
        <f t="shared" si="1"/>
        <v>48</v>
      </c>
      <c r="E77">
        <v>46</v>
      </c>
    </row>
    <row r="78" spans="2:5" ht="28.5" customHeight="1" x14ac:dyDescent="0.35">
      <c r="B78" s="18" t="s">
        <v>167</v>
      </c>
      <c r="C78" s="19" t="s">
        <v>21</v>
      </c>
      <c r="D78" s="16">
        <f t="shared" si="1"/>
        <v>47</v>
      </c>
      <c r="E78">
        <v>45</v>
      </c>
    </row>
    <row r="79" spans="2:5" ht="28.5" customHeight="1" x14ac:dyDescent="0.35">
      <c r="B79" s="18" t="s">
        <v>167</v>
      </c>
      <c r="C79" s="19" t="s">
        <v>22</v>
      </c>
      <c r="D79" s="16">
        <f t="shared" si="1"/>
        <v>77</v>
      </c>
      <c r="E79">
        <v>74</v>
      </c>
    </row>
    <row r="80" spans="2:5" ht="28.5" customHeight="1" x14ac:dyDescent="0.35">
      <c r="B80" s="18" t="s">
        <v>167</v>
      </c>
      <c r="C80" s="19" t="s">
        <v>26</v>
      </c>
      <c r="D80" s="16">
        <f t="shared" si="1"/>
        <v>101</v>
      </c>
      <c r="E80">
        <v>98</v>
      </c>
    </row>
    <row r="81" spans="2:5" ht="28.5" customHeight="1" x14ac:dyDescent="0.35">
      <c r="B81" s="18" t="s">
        <v>167</v>
      </c>
      <c r="C81" s="19" t="s">
        <v>27</v>
      </c>
      <c r="D81" s="16">
        <f t="shared" si="1"/>
        <v>86</v>
      </c>
      <c r="E81">
        <v>83</v>
      </c>
    </row>
    <row r="82" spans="2:5" ht="28.5" customHeight="1" x14ac:dyDescent="0.35">
      <c r="B82" s="18" t="s">
        <v>167</v>
      </c>
      <c r="C82" s="19" t="s">
        <v>23</v>
      </c>
      <c r="D82" s="16">
        <f t="shared" si="1"/>
        <v>222</v>
      </c>
      <c r="E82">
        <v>215</v>
      </c>
    </row>
    <row r="83" spans="2:5" ht="28.5" customHeight="1" x14ac:dyDescent="0.35">
      <c r="B83" s="18" t="s">
        <v>167</v>
      </c>
      <c r="C83" s="19" t="s">
        <v>28</v>
      </c>
      <c r="D83" s="16">
        <f t="shared" si="1"/>
        <v>123</v>
      </c>
      <c r="E83">
        <v>119</v>
      </c>
    </row>
    <row r="84" spans="2:5" ht="28.5" customHeight="1" x14ac:dyDescent="0.35">
      <c r="B84" s="18" t="s">
        <v>167</v>
      </c>
      <c r="C84" s="19" t="s">
        <v>18</v>
      </c>
      <c r="D84" s="16">
        <f t="shared" si="1"/>
        <v>109</v>
      </c>
      <c r="E84">
        <v>105</v>
      </c>
    </row>
    <row r="85" spans="2:5" ht="28.5" customHeight="1" x14ac:dyDescent="0.35">
      <c r="B85" s="18" t="s">
        <v>167</v>
      </c>
      <c r="C85" s="19" t="s">
        <v>19</v>
      </c>
      <c r="D85" s="16">
        <f t="shared" si="1"/>
        <v>26</v>
      </c>
      <c r="E85">
        <v>25</v>
      </c>
    </row>
    <row r="86" spans="2:5" ht="28.5" customHeight="1" x14ac:dyDescent="0.35">
      <c r="B86" s="18" t="s">
        <v>167</v>
      </c>
      <c r="C86" s="19" t="s">
        <v>20</v>
      </c>
      <c r="D86" s="16">
        <f t="shared" si="1"/>
        <v>33</v>
      </c>
      <c r="E86">
        <v>32</v>
      </c>
    </row>
    <row r="87" spans="2:5" ht="28.5" customHeight="1" x14ac:dyDescent="0.35">
      <c r="B87" s="18" t="s">
        <v>167</v>
      </c>
      <c r="C87" s="19" t="s">
        <v>34</v>
      </c>
      <c r="D87" s="16">
        <f t="shared" si="1"/>
        <v>1387</v>
      </c>
      <c r="E87">
        <v>1346</v>
      </c>
    </row>
    <row r="88" spans="2:5" ht="28.5" customHeight="1" x14ac:dyDescent="0.35">
      <c r="B88" s="18" t="s">
        <v>167</v>
      </c>
      <c r="C88" s="19" t="s">
        <v>35</v>
      </c>
      <c r="D88" s="16">
        <f t="shared" si="1"/>
        <v>1412</v>
      </c>
      <c r="E88">
        <v>1370</v>
      </c>
    </row>
    <row r="89" spans="2:5" ht="28.5" customHeight="1" x14ac:dyDescent="0.35">
      <c r="B89" s="18" t="s">
        <v>167</v>
      </c>
      <c r="C89" s="19" t="s">
        <v>29</v>
      </c>
      <c r="D89" s="16">
        <f t="shared" si="1"/>
        <v>421</v>
      </c>
      <c r="E89">
        <v>408</v>
      </c>
    </row>
    <row r="90" spans="2:5" ht="28.5" customHeight="1" x14ac:dyDescent="0.35">
      <c r="B90" s="18" t="s">
        <v>167</v>
      </c>
      <c r="C90" s="19" t="s">
        <v>30</v>
      </c>
      <c r="D90" s="16">
        <f t="shared" si="1"/>
        <v>1663</v>
      </c>
      <c r="E90">
        <v>1614</v>
      </c>
    </row>
    <row r="91" spans="2:5" ht="15" customHeight="1" x14ac:dyDescent="0.35">
      <c r="B91" t="s">
        <v>546</v>
      </c>
      <c r="C91" s="133" t="s">
        <v>33</v>
      </c>
      <c r="D91" s="16">
        <f t="shared" si="1"/>
        <v>77</v>
      </c>
      <c r="E91">
        <v>74</v>
      </c>
    </row>
    <row r="92" spans="2:5" ht="15" customHeight="1" x14ac:dyDescent="0.35">
      <c r="B92" t="s">
        <v>546</v>
      </c>
      <c r="C92" s="133" t="s">
        <v>32</v>
      </c>
      <c r="D92" s="16">
        <f t="shared" si="1"/>
        <v>50</v>
      </c>
      <c r="E92">
        <v>48</v>
      </c>
    </row>
    <row r="93" spans="2:5" ht="15" customHeight="1" x14ac:dyDescent="0.35">
      <c r="B93" t="s">
        <v>546</v>
      </c>
      <c r="C93" s="133" t="s">
        <v>31</v>
      </c>
      <c r="D93" s="16">
        <f t="shared" si="1"/>
        <v>50</v>
      </c>
      <c r="E93">
        <v>48</v>
      </c>
    </row>
    <row r="94" spans="2:5" x14ac:dyDescent="0.35">
      <c r="B94" t="s">
        <v>546</v>
      </c>
      <c r="C94" s="133" t="s">
        <v>21</v>
      </c>
      <c r="D94" s="16">
        <f t="shared" si="1"/>
        <v>84</v>
      </c>
      <c r="E94">
        <v>81</v>
      </c>
    </row>
    <row r="95" spans="2:5" x14ac:dyDescent="0.35">
      <c r="B95" t="s">
        <v>546</v>
      </c>
      <c r="C95" s="133" t="s">
        <v>22</v>
      </c>
      <c r="D95" s="16">
        <f t="shared" si="1"/>
        <v>109</v>
      </c>
      <c r="E95">
        <v>105</v>
      </c>
    </row>
    <row r="96" spans="2:5" ht="15" customHeight="1" x14ac:dyDescent="0.35">
      <c r="B96" t="s">
        <v>546</v>
      </c>
      <c r="C96" s="133" t="s">
        <v>26</v>
      </c>
      <c r="D96" s="16">
        <f t="shared" si="1"/>
        <v>127</v>
      </c>
      <c r="E96">
        <v>123</v>
      </c>
    </row>
    <row r="97" spans="2:5" ht="15" customHeight="1" x14ac:dyDescent="0.35">
      <c r="B97" t="s">
        <v>546</v>
      </c>
      <c r="C97" s="133" t="s">
        <v>27</v>
      </c>
      <c r="D97" s="16">
        <f t="shared" si="1"/>
        <v>132</v>
      </c>
      <c r="E97">
        <v>128</v>
      </c>
    </row>
    <row r="98" spans="2:5" ht="15" customHeight="1" x14ac:dyDescent="0.35">
      <c r="B98" t="s">
        <v>546</v>
      </c>
      <c r="C98" s="133" t="s">
        <v>23</v>
      </c>
      <c r="D98" s="16">
        <f t="shared" si="1"/>
        <v>182</v>
      </c>
      <c r="E98">
        <v>176</v>
      </c>
    </row>
    <row r="99" spans="2:5" ht="15" customHeight="1" x14ac:dyDescent="0.35">
      <c r="B99" t="s">
        <v>546</v>
      </c>
      <c r="C99" s="133" t="s">
        <v>28</v>
      </c>
      <c r="D99" s="16">
        <f t="shared" si="1"/>
        <v>100</v>
      </c>
      <c r="E99">
        <v>97</v>
      </c>
    </row>
    <row r="100" spans="2:5" x14ac:dyDescent="0.35">
      <c r="B100" t="s">
        <v>546</v>
      </c>
      <c r="C100" s="133" t="s">
        <v>18</v>
      </c>
      <c r="D100" s="16">
        <f t="shared" si="1"/>
        <v>132</v>
      </c>
      <c r="E100">
        <v>128</v>
      </c>
    </row>
    <row r="101" spans="2:5" x14ac:dyDescent="0.35">
      <c r="B101" t="s">
        <v>546</v>
      </c>
      <c r="C101" s="133" t="s">
        <v>19</v>
      </c>
      <c r="D101" s="16">
        <f t="shared" si="1"/>
        <v>50</v>
      </c>
      <c r="E101">
        <v>48</v>
      </c>
    </row>
    <row r="102" spans="2:5" x14ac:dyDescent="0.35">
      <c r="B102" t="s">
        <v>546</v>
      </c>
      <c r="C102" s="133" t="s">
        <v>20</v>
      </c>
      <c r="D102" s="16">
        <f t="shared" si="1"/>
        <v>50</v>
      </c>
      <c r="E102">
        <v>48</v>
      </c>
    </row>
    <row r="103" spans="2:5" ht="15" customHeight="1" x14ac:dyDescent="0.35">
      <c r="B103" t="s">
        <v>546</v>
      </c>
      <c r="C103" s="133" t="s">
        <v>34</v>
      </c>
      <c r="D103" s="16">
        <f t="shared" si="1"/>
        <v>464</v>
      </c>
      <c r="E103">
        <v>450</v>
      </c>
    </row>
    <row r="104" spans="2:5" ht="15" customHeight="1" x14ac:dyDescent="0.35">
      <c r="B104" t="s">
        <v>546</v>
      </c>
      <c r="C104" s="133" t="s">
        <v>35</v>
      </c>
      <c r="D104" s="16">
        <f t="shared" si="1"/>
        <v>707</v>
      </c>
      <c r="E104">
        <v>686</v>
      </c>
    </row>
    <row r="105" spans="2:5" ht="15" customHeight="1" x14ac:dyDescent="0.35">
      <c r="B105" t="s">
        <v>546</v>
      </c>
      <c r="C105" s="133" t="s">
        <v>29</v>
      </c>
      <c r="D105" s="16">
        <f t="shared" si="1"/>
        <v>464</v>
      </c>
      <c r="E105">
        <v>450</v>
      </c>
    </row>
    <row r="106" spans="2:5" ht="15" customHeight="1" x14ac:dyDescent="0.35">
      <c r="B106" t="s">
        <v>546</v>
      </c>
      <c r="C106" s="133" t="s">
        <v>30</v>
      </c>
      <c r="D106" s="16">
        <f t="shared" si="1"/>
        <v>271</v>
      </c>
      <c r="E106">
        <v>263</v>
      </c>
    </row>
  </sheetData>
  <conditionalFormatting sqref="B27:B42">
    <cfRule type="expression" dxfId="2" priority="13">
      <formula>B27=$AP27</formula>
    </cfRule>
  </conditionalFormatting>
  <conditionalFormatting sqref="D11:D106">
    <cfRule type="expression" dxfId="1" priority="23">
      <formula>D11=$AP11</formula>
    </cfRule>
  </conditionalFormatting>
  <dataValidations count="1">
    <dataValidation type="whole" operator="greaterThanOrEqual" allowBlank="1" showInputMessage="1" showErrorMessage="1" sqref="D11:D106" xr:uid="{00000000-0002-0000-0C00-000000000000}">
      <formula1>0</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AG23"/>
  <sheetViews>
    <sheetView topLeftCell="N1" zoomScale="205" zoomScaleNormal="205" workbookViewId="0">
      <selection activeCell="C2" sqref="C2"/>
    </sheetView>
  </sheetViews>
  <sheetFormatPr defaultRowHeight="14.5" outlineLevelCol="1" x14ac:dyDescent="0.35"/>
  <cols>
    <col min="1" max="1" width="20.54296875" customWidth="1"/>
    <col min="2" max="2" width="19.453125" customWidth="1"/>
    <col min="3" max="3" width="19.54296875" customWidth="1"/>
    <col min="4" max="4" width="17.26953125" customWidth="1"/>
    <col min="5" max="5" width="17" customWidth="1"/>
    <col min="6" max="6" width="17.1796875" customWidth="1"/>
    <col min="7" max="7" width="16.453125" customWidth="1"/>
    <col min="9" max="9" width="15.54296875" customWidth="1"/>
    <col min="16" max="16" width="19.1796875" customWidth="1" outlineLevel="1"/>
    <col min="17" max="21" width="9.1796875" customWidth="1" outlineLevel="1"/>
    <col min="27" max="27" width="22.7265625" customWidth="1"/>
    <col min="28" max="28" width="18.81640625" customWidth="1"/>
  </cols>
  <sheetData>
    <row r="1" spans="1:33" ht="15" thickBot="1" x14ac:dyDescent="0.4">
      <c r="A1" s="22" t="s">
        <v>242</v>
      </c>
      <c r="B1" s="23" t="s">
        <v>63</v>
      </c>
      <c r="C1" s="23" t="s">
        <v>151</v>
      </c>
      <c r="D1" s="23" t="s">
        <v>64</v>
      </c>
      <c r="E1" s="23" t="s">
        <v>152</v>
      </c>
      <c r="F1" s="23" t="s">
        <v>65</v>
      </c>
      <c r="G1" s="23" t="s">
        <v>66</v>
      </c>
      <c r="I1" s="47" t="s">
        <v>251</v>
      </c>
      <c r="J1" s="47"/>
      <c r="K1" s="47"/>
      <c r="L1" s="47"/>
      <c r="M1" s="47"/>
      <c r="P1" t="s">
        <v>242</v>
      </c>
      <c r="Q1">
        <v>12</v>
      </c>
      <c r="R1">
        <v>13</v>
      </c>
      <c r="S1">
        <v>14</v>
      </c>
      <c r="T1">
        <v>15</v>
      </c>
      <c r="U1">
        <v>16</v>
      </c>
      <c r="AA1" s="23" t="s">
        <v>4</v>
      </c>
      <c r="AB1" s="23" t="s">
        <v>716</v>
      </c>
      <c r="AC1" s="23" t="s">
        <v>687</v>
      </c>
      <c r="AD1" s="23" t="s">
        <v>688</v>
      </c>
      <c r="AE1" s="23" t="s">
        <v>717</v>
      </c>
      <c r="AF1" s="23" t="s">
        <v>718</v>
      </c>
      <c r="AG1" s="23" t="s">
        <v>718</v>
      </c>
    </row>
    <row r="2" spans="1:33" ht="15" thickBot="1" x14ac:dyDescent="0.4">
      <c r="A2" s="24" t="s">
        <v>247</v>
      </c>
      <c r="B2" s="25" t="b">
        <v>1</v>
      </c>
      <c r="C2" s="25" t="b">
        <v>1</v>
      </c>
      <c r="D2" s="25" t="b">
        <v>1</v>
      </c>
      <c r="E2" s="25" t="b">
        <v>1</v>
      </c>
      <c r="F2" s="25" t="b">
        <v>1</v>
      </c>
      <c r="G2" s="25" t="b">
        <v>1</v>
      </c>
      <c r="I2" s="47" t="s">
        <v>350</v>
      </c>
      <c r="J2" s="47">
        <v>11.99</v>
      </c>
      <c r="K2" s="47">
        <v>14.91</v>
      </c>
      <c r="L2" s="47"/>
      <c r="M2" s="47" t="s">
        <v>472</v>
      </c>
      <c r="N2" t="s">
        <v>473</v>
      </c>
      <c r="P2" s="47" t="s">
        <v>350</v>
      </c>
      <c r="Q2" s="25" t="b">
        <v>1</v>
      </c>
      <c r="R2" s="25" t="b">
        <v>1</v>
      </c>
      <c r="S2" s="25" t="b">
        <v>1</v>
      </c>
      <c r="T2" s="26" t="b">
        <v>0</v>
      </c>
      <c r="U2" s="26" t="b">
        <v>0</v>
      </c>
      <c r="AA2" s="189" t="s">
        <v>65</v>
      </c>
      <c r="AB2" s="189">
        <v>5</v>
      </c>
      <c r="AC2" s="189">
        <v>5</v>
      </c>
      <c r="AD2" s="189"/>
      <c r="AE2" s="189"/>
      <c r="AF2" s="189"/>
      <c r="AG2" s="189"/>
    </row>
    <row r="3" spans="1:33" ht="15" thickBot="1" x14ac:dyDescent="0.4">
      <c r="A3" s="24" t="s">
        <v>248</v>
      </c>
      <c r="B3" s="26" t="b">
        <v>0</v>
      </c>
      <c r="C3" s="26" t="b">
        <v>0</v>
      </c>
      <c r="D3" s="25" t="b">
        <v>1</v>
      </c>
      <c r="E3" s="25" t="b">
        <v>1</v>
      </c>
      <c r="F3" s="26" t="b">
        <v>0</v>
      </c>
      <c r="G3" s="25" t="b">
        <v>1</v>
      </c>
      <c r="I3" s="47" t="s">
        <v>351</v>
      </c>
      <c r="J3" s="47">
        <v>12.99</v>
      </c>
      <c r="K3" s="47">
        <v>14.91</v>
      </c>
      <c r="L3" s="47"/>
      <c r="M3" s="47" t="s">
        <v>469</v>
      </c>
      <c r="N3" s="47" t="s">
        <v>471</v>
      </c>
      <c r="P3" s="47" t="s">
        <v>357</v>
      </c>
      <c r="Q3" s="26" t="b">
        <v>0</v>
      </c>
      <c r="R3" s="25" t="b">
        <v>1</v>
      </c>
      <c r="S3" s="25" t="b">
        <v>1</v>
      </c>
      <c r="T3" s="25" t="b">
        <v>1</v>
      </c>
      <c r="U3" s="26" t="b">
        <v>0</v>
      </c>
      <c r="AA3" s="189" t="s">
        <v>66</v>
      </c>
      <c r="AB3" s="189">
        <v>7</v>
      </c>
      <c r="AC3" s="189">
        <v>7</v>
      </c>
      <c r="AD3" s="189"/>
      <c r="AE3" s="189"/>
      <c r="AF3" s="189"/>
      <c r="AG3" s="189"/>
    </row>
    <row r="4" spans="1:33" ht="15" thickBot="1" x14ac:dyDescent="0.4">
      <c r="A4" s="24"/>
      <c r="B4" s="27"/>
      <c r="C4" s="27"/>
      <c r="D4" s="27"/>
      <c r="E4" s="27"/>
      <c r="F4" s="27"/>
      <c r="G4" s="27"/>
      <c r="I4" s="47" t="s">
        <v>396</v>
      </c>
      <c r="J4" s="47">
        <v>10.99</v>
      </c>
      <c r="K4" s="47">
        <v>12.91</v>
      </c>
      <c r="P4" s="47"/>
      <c r="AA4" s="189" t="s">
        <v>63</v>
      </c>
      <c r="AB4" s="189">
        <v>5</v>
      </c>
      <c r="AC4" s="189"/>
      <c r="AD4" s="189">
        <v>5</v>
      </c>
      <c r="AE4" s="189"/>
      <c r="AF4" s="189"/>
      <c r="AG4" s="189"/>
    </row>
    <row r="5" spans="1:33" ht="15" thickBot="1" x14ac:dyDescent="0.4">
      <c r="A5" s="24" t="s">
        <v>243</v>
      </c>
      <c r="B5" s="25" t="b">
        <v>1</v>
      </c>
      <c r="C5" s="26" t="b">
        <v>0</v>
      </c>
      <c r="D5" s="26" t="b">
        <v>0</v>
      </c>
      <c r="E5" s="26" t="b">
        <v>0</v>
      </c>
      <c r="F5" s="26" t="b">
        <v>0</v>
      </c>
      <c r="G5" s="26" t="b">
        <v>0</v>
      </c>
      <c r="I5" s="47" t="s">
        <v>351</v>
      </c>
      <c r="J5" s="47">
        <v>12.99</v>
      </c>
      <c r="K5" s="47">
        <v>14.91</v>
      </c>
      <c r="P5" s="47">
        <v>12</v>
      </c>
      <c r="Q5" s="25" t="b">
        <v>1</v>
      </c>
      <c r="R5" s="25" t="b">
        <v>1</v>
      </c>
      <c r="S5" s="25" t="b">
        <v>1</v>
      </c>
      <c r="T5" s="25" t="b">
        <v>1</v>
      </c>
      <c r="U5" s="26" t="b">
        <v>0</v>
      </c>
      <c r="AA5" s="189" t="s">
        <v>569</v>
      </c>
      <c r="AB5" s="189">
        <v>5.12</v>
      </c>
      <c r="AC5" s="189"/>
      <c r="AD5" s="189">
        <v>5.12</v>
      </c>
      <c r="AE5" s="189"/>
      <c r="AF5" s="189"/>
      <c r="AG5" s="189"/>
    </row>
    <row r="6" spans="1:33" ht="15" thickBot="1" x14ac:dyDescent="0.4">
      <c r="A6" s="24" t="s">
        <v>244</v>
      </c>
      <c r="B6" s="26" t="b">
        <v>0</v>
      </c>
      <c r="C6" s="25" t="b">
        <v>1</v>
      </c>
      <c r="D6" s="26" t="b">
        <v>0</v>
      </c>
      <c r="E6" s="26" t="b">
        <v>0</v>
      </c>
      <c r="F6" s="26" t="b">
        <v>0</v>
      </c>
      <c r="G6" s="26" t="b">
        <v>0</v>
      </c>
      <c r="I6" s="47" t="s">
        <v>356</v>
      </c>
      <c r="J6" s="47">
        <v>9.99</v>
      </c>
      <c r="K6" s="47">
        <v>10.91</v>
      </c>
      <c r="P6" s="47">
        <v>13</v>
      </c>
      <c r="Q6" s="26" t="b">
        <v>0</v>
      </c>
      <c r="R6" s="25" t="b">
        <v>1</v>
      </c>
      <c r="S6" s="25" t="b">
        <v>1</v>
      </c>
      <c r="T6" s="25" t="b">
        <v>1</v>
      </c>
      <c r="U6" s="26" t="b">
        <v>0</v>
      </c>
      <c r="AA6" s="189" t="s">
        <v>711</v>
      </c>
      <c r="AB6" s="189">
        <v>5.13</v>
      </c>
      <c r="AC6" s="189"/>
      <c r="AD6" s="189">
        <v>5.13</v>
      </c>
      <c r="AE6" s="189"/>
      <c r="AF6" s="189"/>
      <c r="AG6" s="189"/>
    </row>
    <row r="7" spans="1:33" ht="15" thickBot="1" x14ac:dyDescent="0.4">
      <c r="A7" s="24" t="s">
        <v>245</v>
      </c>
      <c r="B7" s="26" t="b">
        <v>0</v>
      </c>
      <c r="C7" s="26" t="b">
        <v>0</v>
      </c>
      <c r="D7" s="25" t="b">
        <v>1</v>
      </c>
      <c r="E7" s="26" t="b">
        <v>0</v>
      </c>
      <c r="F7" s="26" t="b">
        <v>0</v>
      </c>
      <c r="G7" s="26" t="b">
        <v>0</v>
      </c>
      <c r="I7" s="47" t="s">
        <v>353</v>
      </c>
      <c r="J7" s="47">
        <v>10.99</v>
      </c>
      <c r="K7" s="47">
        <v>13.91</v>
      </c>
      <c r="P7" s="47">
        <v>14</v>
      </c>
      <c r="Q7" s="26" t="b">
        <v>0</v>
      </c>
      <c r="R7" s="26" t="b">
        <v>0</v>
      </c>
      <c r="S7" s="25" t="b">
        <v>1</v>
      </c>
      <c r="T7" s="25" t="b">
        <v>1</v>
      </c>
      <c r="U7" s="26" t="b">
        <v>0</v>
      </c>
      <c r="AA7" s="189" t="s">
        <v>64</v>
      </c>
      <c r="AB7" s="189">
        <v>7</v>
      </c>
      <c r="AC7" s="189"/>
      <c r="AD7" s="189">
        <v>7</v>
      </c>
      <c r="AE7" s="189"/>
      <c r="AF7" s="189"/>
      <c r="AG7" s="189"/>
    </row>
    <row r="8" spans="1:33" ht="15" thickBot="1" x14ac:dyDescent="0.4">
      <c r="A8" s="24" t="s">
        <v>246</v>
      </c>
      <c r="B8" s="26" t="b">
        <v>0</v>
      </c>
      <c r="C8" s="26" t="b">
        <v>0</v>
      </c>
      <c r="D8" s="26" t="b">
        <v>0</v>
      </c>
      <c r="E8" s="25" t="b">
        <v>1</v>
      </c>
      <c r="F8" s="26" t="b">
        <v>0</v>
      </c>
      <c r="G8" s="26" t="b">
        <v>0</v>
      </c>
      <c r="I8" s="47" t="s">
        <v>354</v>
      </c>
      <c r="J8" s="47">
        <v>22.99</v>
      </c>
      <c r="K8" s="47">
        <v>24.91</v>
      </c>
      <c r="P8" s="47">
        <v>15</v>
      </c>
      <c r="Q8" s="26" t="b">
        <v>0</v>
      </c>
      <c r="R8" s="26" t="b">
        <v>0</v>
      </c>
      <c r="S8" s="26" t="b">
        <v>0</v>
      </c>
      <c r="T8" s="25" t="b">
        <v>1</v>
      </c>
      <c r="U8" s="26" t="b">
        <v>0</v>
      </c>
      <c r="AA8" s="189" t="s">
        <v>571</v>
      </c>
      <c r="AB8" s="189">
        <v>7.12</v>
      </c>
      <c r="AC8" s="189"/>
      <c r="AD8" s="189">
        <v>7.12</v>
      </c>
      <c r="AE8" s="189"/>
      <c r="AF8" s="189"/>
      <c r="AG8" s="189"/>
    </row>
    <row r="9" spans="1:33" ht="15" thickBot="1" x14ac:dyDescent="0.4">
      <c r="A9" s="24" t="s">
        <v>65</v>
      </c>
      <c r="B9" s="26" t="b">
        <v>0</v>
      </c>
      <c r="C9" s="26" t="b">
        <v>0</v>
      </c>
      <c r="D9" s="26" t="b">
        <v>0</v>
      </c>
      <c r="E9" s="26" t="b">
        <v>0</v>
      </c>
      <c r="F9" s="25" t="b">
        <v>1</v>
      </c>
      <c r="G9" s="26" t="b">
        <v>0</v>
      </c>
      <c r="I9" s="47" t="s">
        <v>355</v>
      </c>
      <c r="J9" s="47">
        <v>24.99</v>
      </c>
      <c r="K9" s="47">
        <v>27.91</v>
      </c>
      <c r="P9" s="47"/>
      <c r="AA9" s="189" t="s">
        <v>710</v>
      </c>
      <c r="AB9" s="189">
        <v>7.13</v>
      </c>
      <c r="AC9" s="189"/>
      <c r="AD9" s="189">
        <v>7.13</v>
      </c>
      <c r="AE9" s="189"/>
      <c r="AF9" s="189"/>
      <c r="AG9" s="189"/>
    </row>
    <row r="10" spans="1:33" ht="15" thickBot="1" x14ac:dyDescent="0.4">
      <c r="A10" s="24" t="s">
        <v>66</v>
      </c>
      <c r="B10" s="26" t="b">
        <v>0</v>
      </c>
      <c r="C10" s="26" t="b">
        <v>0</v>
      </c>
      <c r="D10" s="26" t="b">
        <v>0</v>
      </c>
      <c r="E10" s="26" t="b">
        <v>0</v>
      </c>
      <c r="F10" s="26" t="b">
        <v>0</v>
      </c>
      <c r="G10" s="25" t="b">
        <v>1</v>
      </c>
      <c r="AA10" s="189" t="s">
        <v>81</v>
      </c>
      <c r="AB10" s="189">
        <v>3</v>
      </c>
      <c r="AC10" s="189"/>
      <c r="AD10" s="189">
        <v>3</v>
      </c>
      <c r="AE10" s="189"/>
      <c r="AF10" s="189"/>
      <c r="AG10" s="189"/>
    </row>
    <row r="11" spans="1:33" x14ac:dyDescent="0.35">
      <c r="P11" t="s">
        <v>242</v>
      </c>
      <c r="Q11">
        <v>12</v>
      </c>
      <c r="R11">
        <v>13</v>
      </c>
      <c r="S11">
        <v>14</v>
      </c>
      <c r="T11">
        <v>15</v>
      </c>
      <c r="U11">
        <v>16</v>
      </c>
      <c r="AA11" s="189"/>
      <c r="AB11" s="189"/>
      <c r="AC11" s="189"/>
      <c r="AD11" s="189"/>
      <c r="AE11" s="189"/>
      <c r="AF11" s="189"/>
      <c r="AG11" s="189"/>
    </row>
    <row r="12" spans="1:33" x14ac:dyDescent="0.35">
      <c r="P12" s="47" t="s">
        <v>350</v>
      </c>
      <c r="Q12" s="25" t="b">
        <v>1</v>
      </c>
      <c r="R12" s="25" t="b">
        <v>1</v>
      </c>
      <c r="S12" s="25" t="b">
        <v>1</v>
      </c>
      <c r="T12" s="26" t="b">
        <v>0</v>
      </c>
      <c r="U12" s="26" t="b">
        <v>0</v>
      </c>
      <c r="AA12" s="189"/>
      <c r="AB12" s="189"/>
      <c r="AC12" s="189"/>
      <c r="AD12" s="189"/>
      <c r="AE12" s="189"/>
      <c r="AF12" s="189"/>
      <c r="AG12" s="189"/>
    </row>
    <row r="13" spans="1:33" x14ac:dyDescent="0.35">
      <c r="A13" t="s">
        <v>249</v>
      </c>
      <c r="P13" s="47" t="s">
        <v>357</v>
      </c>
      <c r="Q13" s="26" t="b">
        <v>0</v>
      </c>
      <c r="R13" s="25" t="b">
        <v>1</v>
      </c>
      <c r="S13" s="25" t="b">
        <v>1</v>
      </c>
      <c r="T13" s="25" t="b">
        <v>1</v>
      </c>
      <c r="U13" s="26" t="b">
        <v>0</v>
      </c>
      <c r="AA13" s="189"/>
      <c r="AB13" s="189"/>
      <c r="AC13" s="189"/>
      <c r="AD13" s="189"/>
      <c r="AE13" s="189"/>
      <c r="AF13" s="189"/>
      <c r="AG13" s="189"/>
    </row>
    <row r="14" spans="1:33" x14ac:dyDescent="0.35">
      <c r="C14">
        <v>1</v>
      </c>
      <c r="D14" t="e">
        <f>MATCH(A14,Processor!$A$14:$A$20,0)</f>
        <v>#N/A</v>
      </c>
      <c r="E14" t="e">
        <f>MATCH(A14,Processor!$A$14:$A$20,0)</f>
        <v>#N/A</v>
      </c>
      <c r="G14" s="21"/>
      <c r="P14" s="47"/>
      <c r="AA14" s="189"/>
      <c r="AB14" s="189"/>
      <c r="AC14" s="189"/>
      <c r="AD14" s="189"/>
      <c r="AE14" s="189"/>
      <c r="AF14" s="189"/>
      <c r="AG14" s="189"/>
    </row>
    <row r="15" spans="1:33" x14ac:dyDescent="0.35">
      <c r="A15" t="str">
        <f>LEFT(B15,10)</f>
        <v>Minst 8 ti</v>
      </c>
      <c r="B15" t="s">
        <v>148</v>
      </c>
      <c r="C15">
        <v>2</v>
      </c>
      <c r="D15">
        <f>MATCH(A15,Processor!$A$14:$A$20,0)</f>
        <v>2</v>
      </c>
      <c r="E15">
        <f>MATCH(A15,Processor!$A$14:$A$20,0)</f>
        <v>2</v>
      </c>
      <c r="F15" t="e">
        <f>MATCH(Surfplattor!D19,Processor!$A$14:$A$20,0)</f>
        <v>#N/A</v>
      </c>
      <c r="H15" t="s">
        <v>151</v>
      </c>
      <c r="P15" s="47">
        <v>12</v>
      </c>
      <c r="Q15" s="25" t="b">
        <v>1</v>
      </c>
      <c r="R15" s="26" t="b">
        <v>0</v>
      </c>
      <c r="S15" s="26" t="b">
        <v>0</v>
      </c>
      <c r="T15" s="26" t="b">
        <v>0</v>
      </c>
      <c r="U15" s="26" t="b">
        <v>0</v>
      </c>
      <c r="AA15" s="189"/>
      <c r="AB15" s="189"/>
      <c r="AC15" s="189"/>
      <c r="AD15" s="189"/>
      <c r="AE15" s="189"/>
      <c r="AF15" s="189"/>
      <c r="AG15" s="189"/>
    </row>
    <row r="16" spans="1:33" x14ac:dyDescent="0.35">
      <c r="A16" t="str">
        <f t="shared" ref="A16:A20" si="0">LEFT(B16,10)</f>
        <v>Minst 9 ti</v>
      </c>
      <c r="B16" t="s">
        <v>164</v>
      </c>
      <c r="C16">
        <v>3</v>
      </c>
      <c r="D16">
        <f>MATCH(A16,Processor!$A$14:$A$20,0)</f>
        <v>3</v>
      </c>
      <c r="E16">
        <f>MATCH(A16,Processor!$A$14:$A$20,0)</f>
        <v>3</v>
      </c>
      <c r="F16" t="e">
        <f ca="1">MATCH(Surfplattor!AX16,Processor!$A$14:$A$20,0)</f>
        <v>#N/A</v>
      </c>
      <c r="P16" s="47">
        <v>13</v>
      </c>
      <c r="Q16" s="26" t="b">
        <v>0</v>
      </c>
      <c r="R16" s="25" t="b">
        <v>1</v>
      </c>
      <c r="S16" s="26" t="b">
        <v>0</v>
      </c>
      <c r="T16" s="26" t="b">
        <v>0</v>
      </c>
      <c r="U16" s="26" t="b">
        <v>0</v>
      </c>
      <c r="AA16" s="189"/>
      <c r="AB16" s="189"/>
      <c r="AC16" s="189"/>
      <c r="AD16" s="189"/>
      <c r="AE16" s="189"/>
      <c r="AF16" s="189"/>
      <c r="AG16" s="189"/>
    </row>
    <row r="17" spans="1:33" x14ac:dyDescent="0.35">
      <c r="A17" t="str">
        <f t="shared" si="0"/>
        <v>Minst 10 t</v>
      </c>
      <c r="B17" t="s">
        <v>144</v>
      </c>
      <c r="C17">
        <v>4</v>
      </c>
      <c r="D17">
        <f>MATCH(A17,Processor!$A$14:$A$20,0)</f>
        <v>4</v>
      </c>
      <c r="E17">
        <f>MATCH(A17,Processor!$A$14:$A$20,0)</f>
        <v>4</v>
      </c>
      <c r="P17" s="47">
        <v>14</v>
      </c>
      <c r="Q17" s="26" t="b">
        <v>0</v>
      </c>
      <c r="R17" s="26" t="b">
        <v>0</v>
      </c>
      <c r="S17" s="25" t="b">
        <v>1</v>
      </c>
      <c r="T17" s="26" t="b">
        <v>0</v>
      </c>
      <c r="U17" s="26" t="b">
        <v>0</v>
      </c>
      <c r="AA17" s="189"/>
      <c r="AB17" s="189"/>
      <c r="AC17" s="189"/>
      <c r="AD17" s="189"/>
      <c r="AE17" s="189"/>
      <c r="AF17" s="189"/>
      <c r="AG17" s="189"/>
    </row>
    <row r="18" spans="1:33" x14ac:dyDescent="0.35">
      <c r="A18" t="str">
        <f t="shared" si="0"/>
        <v xml:space="preserve">Mer än 11 </v>
      </c>
      <c r="B18" t="s">
        <v>130</v>
      </c>
      <c r="C18">
        <v>5</v>
      </c>
      <c r="D18">
        <f>MATCH(A18,Processor!$A$14:$A$20,0)</f>
        <v>5</v>
      </c>
      <c r="E18">
        <f>MATCH(A18,Processor!$A$14:$A$20,0)</f>
        <v>5</v>
      </c>
      <c r="P18" s="47">
        <v>15</v>
      </c>
      <c r="Q18" s="26" t="b">
        <v>0</v>
      </c>
      <c r="R18" s="26" t="b">
        <v>0</v>
      </c>
      <c r="S18" s="26" t="b">
        <v>0</v>
      </c>
      <c r="T18" s="25" t="b">
        <v>1</v>
      </c>
      <c r="U18" s="26" t="b">
        <v>0</v>
      </c>
      <c r="AA18" s="189"/>
      <c r="AB18" s="189"/>
      <c r="AC18" s="189"/>
      <c r="AD18" s="189"/>
      <c r="AE18" s="189"/>
      <c r="AF18" s="189"/>
      <c r="AG18" s="189"/>
    </row>
    <row r="19" spans="1:33" x14ac:dyDescent="0.35">
      <c r="A19" t="str">
        <f t="shared" si="0"/>
        <v>Minst 12 t</v>
      </c>
      <c r="B19" s="21" t="s">
        <v>225</v>
      </c>
      <c r="C19">
        <v>6</v>
      </c>
      <c r="D19">
        <f>MATCH(A19,Processor!$A$14:$A$20,0)</f>
        <v>6</v>
      </c>
      <c r="E19">
        <f>MATCH(A19,Processor!$A$14:$A$20,0)</f>
        <v>6</v>
      </c>
      <c r="AA19" s="189"/>
      <c r="AB19" s="189"/>
      <c r="AC19" s="189"/>
      <c r="AD19" s="189"/>
      <c r="AE19" s="189"/>
      <c r="AF19" s="189"/>
      <c r="AG19" s="189"/>
    </row>
    <row r="20" spans="1:33" x14ac:dyDescent="0.35">
      <c r="A20" t="str">
        <f t="shared" si="0"/>
        <v xml:space="preserve">Mer än 13 </v>
      </c>
      <c r="B20" t="s">
        <v>146</v>
      </c>
      <c r="C20">
        <v>7</v>
      </c>
      <c r="D20">
        <f>MATCH(A20,Processor!$A$14:$A$20,0)</f>
        <v>7</v>
      </c>
      <c r="E20">
        <f>MATCH(A20,Processor!$A$14:$A$20,0)</f>
        <v>7</v>
      </c>
      <c r="AA20" s="189"/>
      <c r="AB20" s="189"/>
      <c r="AC20" s="189"/>
      <c r="AD20" s="189"/>
      <c r="AE20" s="189"/>
      <c r="AF20" s="189"/>
      <c r="AG20" s="189"/>
    </row>
    <row r="21" spans="1:33" x14ac:dyDescent="0.35">
      <c r="AA21" s="189"/>
      <c r="AB21" s="189"/>
      <c r="AC21" s="189"/>
      <c r="AD21" s="189"/>
      <c r="AE21" s="189"/>
      <c r="AF21" s="189"/>
      <c r="AG21" s="189"/>
    </row>
    <row r="22" spans="1:33" x14ac:dyDescent="0.35">
      <c r="AA22" s="189"/>
      <c r="AB22" s="189"/>
      <c r="AC22" s="189"/>
      <c r="AD22" s="189"/>
      <c r="AE22" s="189"/>
      <c r="AF22" s="189"/>
      <c r="AG22" s="189"/>
    </row>
    <row r="23" spans="1:33" x14ac:dyDescent="0.35">
      <c r="AA23" s="189"/>
      <c r="AB23" s="189"/>
      <c r="AC23" s="189"/>
      <c r="AD23" s="189"/>
      <c r="AE23" s="189"/>
      <c r="AF23" s="189"/>
      <c r="AG23" s="18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3c515da55cf78c43a490f6954cb68dd9">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5d13effd7d0d2160af5c55a997c4458d"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4D3FC-C841-4DA8-A18D-8B006D5F6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1e773-5436-4a23-b793-4f32d14ae52b"/>
    <ds:schemaRef ds:uri="50cb4935-6153-4c8f-bdbc-1a497b606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C90AE-C1C3-400B-9567-6244FD4A329B}">
  <ds:schemaRefs>
    <ds:schemaRef ds:uri="http://schemas.microsoft.com/office/2006/metadata/properties"/>
    <ds:schemaRef ds:uri="http://schemas.microsoft.com/office/infopath/2007/PartnerControls"/>
    <ds:schemaRef ds:uri="50cb4935-6153-4c8f-bdbc-1a497b6063e1"/>
    <ds:schemaRef ds:uri="1191e773-5436-4a23-b793-4f32d14ae52b"/>
  </ds:schemaRefs>
</ds:datastoreItem>
</file>

<file path=customXml/itemProps3.xml><?xml version="1.0" encoding="utf-8"?>
<ds:datastoreItem xmlns:ds="http://schemas.openxmlformats.org/officeDocument/2006/customXml" ds:itemID="{9DB4236F-C1A2-4AE1-8A60-AE5FF81449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Instruktionsflik</vt:lpstr>
      <vt:lpstr>Bärbara datorer (A)</vt:lpstr>
      <vt:lpstr>Kontaktuppgifter</vt:lpstr>
      <vt:lpstr>Bärbara datorer (B)</vt:lpstr>
      <vt:lpstr>Surfplattor</vt:lpstr>
      <vt:lpstr>Bildskärmar</vt:lpstr>
      <vt:lpstr>Tillbehör</vt:lpstr>
      <vt:lpstr>Överblick</vt:lpstr>
      <vt:lpstr>Sammanfattning</vt:lpstr>
      <vt:lpstr>Sammanfattning diskussion</vt:lpstr>
      <vt:lpstr>Sheet1</vt:lpstr>
      <vt:lpstr>Databas</vt:lpstr>
      <vt:lpstr>TillbehörDB</vt:lpstr>
      <vt:lpstr>Processor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Lilja</dc:creator>
  <cp:lastModifiedBy>Olsson Tommy</cp:lastModifiedBy>
  <cp:lastPrinted>2021-10-27T06:59:18Z</cp:lastPrinted>
  <dcterms:created xsi:type="dcterms:W3CDTF">2020-10-21T11:48:36Z</dcterms:created>
  <dcterms:modified xsi:type="dcterms:W3CDTF">2024-09-19T20:47:56Z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y fmtid="{D5CDD505-2E9C-101B-9397-08002B2CF9AE}" pid="3" name="MediaServiceImageTags">
    <vt:lpwstr/>
  </property>
</Properties>
</file>